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1" documentId="8_{97089857-EC15-456A-9376-AE6BD50C9070}" xr6:coauthVersionLast="47" xr6:coauthVersionMax="47" xr10:uidLastSave="{B26FAC5E-C6B7-42E8-A69F-DC956F264BA0}"/>
  <bookViews>
    <workbookView xWindow="-120" yWindow="-120" windowWidth="29040" windowHeight="15840" tabRatio="804" activeTab="7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dms_BaseYear_Choice">#REF!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53" l="1"/>
  <c r="P66" i="2" l="1"/>
  <c r="P77" i="2"/>
  <c r="G74" i="55" l="1"/>
  <c r="G78" i="55"/>
  <c r="G80" i="55"/>
  <c r="G82" i="55"/>
  <c r="G84" i="55"/>
  <c r="J57" i="58" l="1"/>
  <c r="J47" i="58"/>
  <c r="Q66" i="2" l="1"/>
  <c r="R66" i="2" s="1"/>
  <c r="S66" i="2" s="1"/>
  <c r="T66" i="2" s="1"/>
  <c r="C77" i="42"/>
  <c r="C94" i="42"/>
  <c r="G76" i="55" l="1"/>
  <c r="K15" i="58"/>
  <c r="T68" i="55"/>
  <c r="S67" i="42"/>
  <c r="R67" i="42"/>
  <c r="P67" i="42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6" i="53"/>
  <c r="F15" i="53"/>
  <c r="F14" i="53"/>
  <c r="F13" i="53"/>
  <c r="F12" i="53"/>
  <c r="F13" i="58"/>
  <c r="F25" i="58" s="1"/>
  <c r="F69" i="58"/>
  <c r="F28" i="42" s="1"/>
  <c r="F67" i="58"/>
  <c r="F49" i="42" s="1"/>
  <c r="F66" i="58"/>
  <c r="F65" i="58"/>
  <c r="F64" i="58"/>
  <c r="F63" i="58"/>
  <c r="E69" i="58"/>
  <c r="E67" i="58"/>
  <c r="E66" i="58"/>
  <c r="E65" i="58"/>
  <c r="E64" i="58"/>
  <c r="E63" i="58"/>
  <c r="E57" i="58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1" i="58"/>
  <c r="E20" i="58"/>
  <c r="E19" i="58"/>
  <c r="E13" i="58"/>
  <c r="E15" i="58" s="1"/>
  <c r="J4" i="42"/>
  <c r="J49" i="42" s="1"/>
  <c r="K4" i="42"/>
  <c r="K103" i="42" s="1"/>
  <c r="L4" i="42"/>
  <c r="L103" i="42" s="1"/>
  <c r="M4" i="42"/>
  <c r="M43" i="42" s="1"/>
  <c r="N4" i="42"/>
  <c r="N103" i="42" s="1"/>
  <c r="O4" i="42"/>
  <c r="O103" i="42" s="1"/>
  <c r="P4" i="42"/>
  <c r="P46" i="42" s="1"/>
  <c r="Q4" i="42"/>
  <c r="Q103" i="42" s="1"/>
  <c r="R4" i="42"/>
  <c r="R103" i="42" s="1"/>
  <c r="S4" i="42"/>
  <c r="S103" i="42" s="1"/>
  <c r="T4" i="42"/>
  <c r="T75" i="42" s="1"/>
  <c r="J4" i="58"/>
  <c r="J61" i="58" s="1"/>
  <c r="F8" i="42"/>
  <c r="E18" i="44"/>
  <c r="C18" i="44"/>
  <c r="C96" i="42"/>
  <c r="E96" i="42"/>
  <c r="C97" i="42"/>
  <c r="E97" i="42"/>
  <c r="E16" i="44"/>
  <c r="C15" i="44"/>
  <c r="C16" i="44"/>
  <c r="C17" i="44"/>
  <c r="C95" i="42"/>
  <c r="T4" i="44"/>
  <c r="T11" i="44" s="1"/>
  <c r="T64" i="42"/>
  <c r="T67" i="42"/>
  <c r="U79" i="2"/>
  <c r="U80" i="2"/>
  <c r="U4" i="2"/>
  <c r="U95" i="2" s="1"/>
  <c r="U98" i="2" s="1"/>
  <c r="H78" i="4"/>
  <c r="G78" i="4" s="1"/>
  <c r="T4" i="53"/>
  <c r="T38" i="53" s="1"/>
  <c r="T42" i="53" s="1"/>
  <c r="T4" i="58"/>
  <c r="J93" i="2" a="1"/>
  <c r="J93" i="2" s="1"/>
  <c r="K93" i="2" a="1"/>
  <c r="K93" i="2" s="1"/>
  <c r="L93" i="2" a="1"/>
  <c r="L93" i="2" s="1"/>
  <c r="M93" i="2" a="1"/>
  <c r="M93" i="2" s="1"/>
  <c r="U78" i="2"/>
  <c r="T65" i="55"/>
  <c r="T66" i="55"/>
  <c r="T70" i="55"/>
  <c r="T72" i="55"/>
  <c r="T76" i="55"/>
  <c r="T80" i="55"/>
  <c r="T83" i="55"/>
  <c r="T84" i="55"/>
  <c r="G63" i="55"/>
  <c r="G64" i="55"/>
  <c r="G65" i="55"/>
  <c r="G66" i="55"/>
  <c r="G68" i="55"/>
  <c r="G72" i="55"/>
  <c r="C16" i="16"/>
  <c r="D16" i="16" s="1"/>
  <c r="C15" i="16"/>
  <c r="D15" i="16" s="1"/>
  <c r="C14" i="16"/>
  <c r="D14" i="16" s="1"/>
  <c r="C13" i="16"/>
  <c r="C12" i="16"/>
  <c r="D12" i="16" s="1"/>
  <c r="C11" i="16"/>
  <c r="D11" i="16" s="1"/>
  <c r="H72" i="4"/>
  <c r="G72" i="4" s="1"/>
  <c r="U77" i="2"/>
  <c r="N47" i="58"/>
  <c r="O47" i="58"/>
  <c r="P47" i="58"/>
  <c r="Q47" i="58"/>
  <c r="R47" i="58"/>
  <c r="S47" i="58"/>
  <c r="V29" i="58"/>
  <c r="C97" i="2" a="1"/>
  <c r="C100" i="2" s="1"/>
  <c r="T93" i="2" a="1"/>
  <c r="T93" i="2" s="1"/>
  <c r="S93" i="2" a="1"/>
  <c r="S93" i="2" s="1"/>
  <c r="R93" i="2" a="1"/>
  <c r="R93" i="2" s="1"/>
  <c r="Q93" i="2" a="1"/>
  <c r="Q93" i="2" s="1"/>
  <c r="P93" i="2" a="1"/>
  <c r="P93" i="2" s="1"/>
  <c r="O93" i="2" a="1"/>
  <c r="O93" i="2" s="1"/>
  <c r="N93" i="2" a="1"/>
  <c r="N93" i="2" s="1"/>
  <c r="C91" i="2"/>
  <c r="C90" i="2"/>
  <c r="C89" i="2"/>
  <c r="C88" i="2"/>
  <c r="C87" i="2"/>
  <c r="F19" i="42"/>
  <c r="F8" i="44"/>
  <c r="F16" i="44" s="1"/>
  <c r="E24" i="42"/>
  <c r="E22" i="42"/>
  <c r="E20" i="42"/>
  <c r="K29" i="58"/>
  <c r="L29" i="58"/>
  <c r="M29" i="58"/>
  <c r="N29" i="58"/>
  <c r="O29" i="58"/>
  <c r="P29" i="58"/>
  <c r="Q29" i="58"/>
  <c r="R29" i="58"/>
  <c r="S29" i="58"/>
  <c r="J29" i="58"/>
  <c r="D15" i="58"/>
  <c r="L15" i="58"/>
  <c r="L14" i="42" s="1"/>
  <c r="M15" i="58"/>
  <c r="N15" i="58"/>
  <c r="O15" i="58"/>
  <c r="P15" i="58"/>
  <c r="Q15" i="58"/>
  <c r="R15" i="58"/>
  <c r="S15" i="58"/>
  <c r="J15" i="58"/>
  <c r="E29" i="42"/>
  <c r="C29" i="42"/>
  <c r="E28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G75" i="4" s="1"/>
  <c r="H74" i="4"/>
  <c r="G74" i="4" s="1"/>
  <c r="H83" i="4"/>
  <c r="G83" i="4" s="1"/>
  <c r="H82" i="4"/>
  <c r="G82" i="4" s="1"/>
  <c r="H81" i="4"/>
  <c r="G81" i="4" s="1"/>
  <c r="H80" i="4"/>
  <c r="G80" i="4" s="1"/>
  <c r="H79" i="4"/>
  <c r="G79" i="4" s="1"/>
  <c r="H73" i="4"/>
  <c r="G73" i="4" s="1"/>
  <c r="C47" i="4"/>
  <c r="E31" i="42"/>
  <c r="E26" i="42"/>
  <c r="S4" i="44"/>
  <c r="S11" i="44" s="1"/>
  <c r="R4" i="44"/>
  <c r="R11" i="44" s="1"/>
  <c r="Q4" i="44"/>
  <c r="Q11" i="44" s="1"/>
  <c r="P4" i="44"/>
  <c r="P11" i="44" s="1"/>
  <c r="O4" i="44"/>
  <c r="O11" i="44" s="1"/>
  <c r="N4" i="44"/>
  <c r="N11" i="44" s="1"/>
  <c r="M4" i="44"/>
  <c r="L4" i="44"/>
  <c r="L11" i="44" s="1"/>
  <c r="K4" i="44"/>
  <c r="K11" i="44" s="1"/>
  <c r="J4" i="44"/>
  <c r="J11" i="44" s="1"/>
  <c r="R35" i="42"/>
  <c r="S4" i="53"/>
  <c r="S10" i="53" s="1"/>
  <c r="R4" i="53"/>
  <c r="R26" i="53" s="1"/>
  <c r="Q4" i="53"/>
  <c r="Q38" i="53" s="1"/>
  <c r="Q42" i="53" s="1"/>
  <c r="P4" i="53"/>
  <c r="O4" i="53"/>
  <c r="O38" i="53" s="1"/>
  <c r="O42" i="53" s="1"/>
  <c r="N4" i="53"/>
  <c r="N10" i="53" s="1"/>
  <c r="N22" i="53" s="1"/>
  <c r="M4" i="53"/>
  <c r="M38" i="53" s="1"/>
  <c r="M42" i="53" s="1"/>
  <c r="L4" i="53"/>
  <c r="L10" i="53" s="1"/>
  <c r="L22" i="53" s="1"/>
  <c r="K4" i="53"/>
  <c r="J4" i="53"/>
  <c r="J38" i="53" s="1"/>
  <c r="J42" i="53" s="1"/>
  <c r="J4" i="2"/>
  <c r="J95" i="2" s="1"/>
  <c r="J97" i="2" s="1"/>
  <c r="T4" i="2"/>
  <c r="T75" i="2" s="1"/>
  <c r="S4" i="2"/>
  <c r="S64" i="2" s="1"/>
  <c r="S73" i="2" s="1"/>
  <c r="R4" i="2"/>
  <c r="R10" i="2" s="1"/>
  <c r="R12" i="2" s="1"/>
  <c r="Q4" i="2"/>
  <c r="Q95" i="2" s="1"/>
  <c r="P4" i="2"/>
  <c r="P10" i="2" s="1"/>
  <c r="P12" i="2" s="1"/>
  <c r="O4" i="2"/>
  <c r="O64" i="2" s="1"/>
  <c r="O73" i="2" s="1"/>
  <c r="N4" i="2"/>
  <c r="M4" i="2"/>
  <c r="M95" i="2" s="1"/>
  <c r="M99" i="2" s="1"/>
  <c r="L4" i="2"/>
  <c r="L104" i="2" s="1"/>
  <c r="L108" i="2" s="1"/>
  <c r="K4" i="2"/>
  <c r="S4" i="58"/>
  <c r="S34" i="58" s="1"/>
  <c r="R4" i="58"/>
  <c r="R61" i="58" s="1"/>
  <c r="Q4" i="58"/>
  <c r="Q10" i="58" s="1"/>
  <c r="P4" i="58"/>
  <c r="O4" i="58"/>
  <c r="N4" i="58"/>
  <c r="N61" i="58" s="1"/>
  <c r="M4" i="58"/>
  <c r="M61" i="58" s="1"/>
  <c r="L4" i="58"/>
  <c r="K4" i="58"/>
  <c r="K34" i="58" s="1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Q77" i="2"/>
  <c r="R77" i="2"/>
  <c r="S77" i="2"/>
  <c r="T77" i="2"/>
  <c r="N77" i="2"/>
  <c r="J19" i="42"/>
  <c r="N21" i="42"/>
  <c r="R23" i="42"/>
  <c r="R21" i="42"/>
  <c r="R19" i="42"/>
  <c r="S21" i="42"/>
  <c r="J33" i="42"/>
  <c r="R33" i="42"/>
  <c r="Q49" i="42"/>
  <c r="R49" i="42"/>
  <c r="R12" i="42"/>
  <c r="L49" i="2"/>
  <c r="L60" i="2" s="1"/>
  <c r="R31" i="42"/>
  <c r="J10" i="42"/>
  <c r="R10" i="42"/>
  <c r="R37" i="42"/>
  <c r="R40" i="42"/>
  <c r="R43" i="42"/>
  <c r="J46" i="42"/>
  <c r="N46" i="42"/>
  <c r="R46" i="42"/>
  <c r="S10" i="42"/>
  <c r="O10" i="42"/>
  <c r="Q16" i="42"/>
  <c r="Q37" i="42"/>
  <c r="O43" i="42"/>
  <c r="Q43" i="42"/>
  <c r="S8" i="54"/>
  <c r="J14" i="42"/>
  <c r="C49" i="42"/>
  <c r="C50" i="42" s="1"/>
  <c r="F46" i="42"/>
  <c r="C46" i="42"/>
  <c r="C47" i="42" s="1"/>
  <c r="F43" i="42"/>
  <c r="C43" i="42"/>
  <c r="C44" i="42" s="1"/>
  <c r="F40" i="42"/>
  <c r="C40" i="42"/>
  <c r="C41" i="42" s="1"/>
  <c r="F37" i="42"/>
  <c r="C37" i="42"/>
  <c r="C38" i="42" s="1"/>
  <c r="F12" i="42"/>
  <c r="E12" i="42"/>
  <c r="V75" i="2"/>
  <c r="E49" i="42"/>
  <c r="E46" i="42"/>
  <c r="E43" i="42"/>
  <c r="E37" i="42"/>
  <c r="C2" i="58"/>
  <c r="C1" i="58"/>
  <c r="E21" i="42"/>
  <c r="E23" i="42"/>
  <c r="E40" i="42"/>
  <c r="E19" i="42"/>
  <c r="E17" i="44"/>
  <c r="E15" i="44"/>
  <c r="E14" i="44"/>
  <c r="C13" i="44"/>
  <c r="C14" i="44"/>
  <c r="M11" i="44"/>
  <c r="E105" i="42"/>
  <c r="F94" i="42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C31" i="4"/>
  <c r="S9" i="54"/>
  <c r="O14" i="42"/>
  <c r="N14" i="42"/>
  <c r="R14" i="42"/>
  <c r="N75" i="42"/>
  <c r="R91" i="42"/>
  <c r="R75" i="42"/>
  <c r="K75" i="42"/>
  <c r="M91" i="42"/>
  <c r="O91" i="42"/>
  <c r="S91" i="42"/>
  <c r="E50" i="42"/>
  <c r="F47" i="42"/>
  <c r="E47" i="42"/>
  <c r="E44" i="42"/>
  <c r="E41" i="42"/>
  <c r="E38" i="42"/>
  <c r="E87" i="42"/>
  <c r="E107" i="42"/>
  <c r="C78" i="42"/>
  <c r="C79" i="42"/>
  <c r="C80" i="42"/>
  <c r="C81" i="42"/>
  <c r="C82" i="42"/>
  <c r="C83" i="42"/>
  <c r="C84" i="42"/>
  <c r="C85" i="42"/>
  <c r="C93" i="42"/>
  <c r="E54" i="42"/>
  <c r="E52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B2" i="55"/>
  <c r="S11" i="54"/>
  <c r="S14" i="54"/>
  <c r="G15" i="16"/>
  <c r="G16" i="16"/>
  <c r="B1" i="55"/>
  <c r="E12" i="2"/>
  <c r="O64" i="4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Q67" i="42"/>
  <c r="C78" i="2"/>
  <c r="C79" i="2"/>
  <c r="C80" i="2"/>
  <c r="C81" i="2"/>
  <c r="C82" i="2"/>
  <c r="S7" i="54"/>
  <c r="S10" i="54"/>
  <c r="S12" i="54"/>
  <c r="S13" i="54"/>
  <c r="D13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6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K47" i="58"/>
  <c r="L57" i="58"/>
  <c r="K57" i="58"/>
  <c r="K19" i="42" s="1"/>
  <c r="M47" i="58"/>
  <c r="M57" i="58"/>
  <c r="V57" i="58"/>
  <c r="T64" i="2" l="1"/>
  <c r="T73" i="2" s="1"/>
  <c r="S46" i="42"/>
  <c r="L40" i="42"/>
  <c r="N10" i="42"/>
  <c r="K12" i="42"/>
  <c r="S24" i="2"/>
  <c r="T24" i="2"/>
  <c r="S10" i="2"/>
  <c r="S12" i="2" s="1"/>
  <c r="O23" i="42"/>
  <c r="N10" i="58"/>
  <c r="N28" i="42" s="1"/>
  <c r="P21" i="42"/>
  <c r="P49" i="2"/>
  <c r="P60" i="2" s="1"/>
  <c r="P12" i="42"/>
  <c r="O49" i="42"/>
  <c r="P75" i="2"/>
  <c r="Q23" i="42"/>
  <c r="P31" i="42"/>
  <c r="P14" i="2"/>
  <c r="O40" i="42"/>
  <c r="R16" i="42"/>
  <c r="P64" i="2"/>
  <c r="P73" i="2" s="1"/>
  <c r="O21" i="42"/>
  <c r="S40" i="42"/>
  <c r="R10" i="53"/>
  <c r="S37" i="42"/>
  <c r="J10" i="53"/>
  <c r="J22" i="53" s="1"/>
  <c r="J26" i="53"/>
  <c r="J34" i="53" s="1"/>
  <c r="S33" i="42"/>
  <c r="J37" i="42"/>
  <c r="E16" i="42"/>
  <c r="E14" i="42"/>
  <c r="M36" i="2"/>
  <c r="M47" i="2" s="1"/>
  <c r="R38" i="53"/>
  <c r="R42" i="53" s="1"/>
  <c r="J10" i="2"/>
  <c r="J12" i="2" s="1"/>
  <c r="O75" i="2"/>
  <c r="N26" i="53"/>
  <c r="N34" i="53" s="1"/>
  <c r="R58" i="42"/>
  <c r="R65" i="42" s="1" a="1"/>
  <c r="R65" i="42" s="1"/>
  <c r="C98" i="2"/>
  <c r="C97" i="2"/>
  <c r="S1" i="58"/>
  <c r="G12" i="16" s="1"/>
  <c r="T58" i="42"/>
  <c r="T65" i="42" s="1" a="1"/>
  <c r="T65" i="42" s="1"/>
  <c r="S14" i="42"/>
  <c r="N40" i="42"/>
  <c r="L10" i="42"/>
  <c r="S36" i="2"/>
  <c r="S47" i="2" s="1"/>
  <c r="Q34" i="58"/>
  <c r="S23" i="42"/>
  <c r="N19" i="42"/>
  <c r="N38" i="53"/>
  <c r="N42" i="53" s="1"/>
  <c r="S35" i="42"/>
  <c r="T103" i="42"/>
  <c r="Q24" i="2"/>
  <c r="N91" i="42"/>
  <c r="K46" i="42"/>
  <c r="N37" i="42"/>
  <c r="S49" i="42"/>
  <c r="L36" i="2"/>
  <c r="L47" i="2" s="1"/>
  <c r="L49" i="42"/>
  <c r="L14" i="2"/>
  <c r="K33" i="42"/>
  <c r="L21" i="42"/>
  <c r="T12" i="42"/>
  <c r="L58" i="42"/>
  <c r="L68" i="42" s="1" a="1"/>
  <c r="L68" i="42" s="1"/>
  <c r="L46" i="42"/>
  <c r="L75" i="42"/>
  <c r="S43" i="42"/>
  <c r="S16" i="42"/>
  <c r="L37" i="42"/>
  <c r="K31" i="42"/>
  <c r="O10" i="53"/>
  <c r="P36" i="2"/>
  <c r="P47" i="2" s="1"/>
  <c r="M34" i="58"/>
  <c r="N12" i="42"/>
  <c r="L23" i="42"/>
  <c r="N23" i="42"/>
  <c r="T91" i="42"/>
  <c r="N58" i="42"/>
  <c r="N68" i="42" s="1" a="1"/>
  <c r="N68" i="42" s="1"/>
  <c r="L19" i="42"/>
  <c r="T10" i="53"/>
  <c r="T22" i="53" s="1"/>
  <c r="K91" i="42"/>
  <c r="L91" i="42"/>
  <c r="K10" i="42"/>
  <c r="N43" i="42"/>
  <c r="L16" i="42"/>
  <c r="S31" i="42"/>
  <c r="O26" i="53"/>
  <c r="T36" i="2"/>
  <c r="T47" i="2" s="1"/>
  <c r="N49" i="42"/>
  <c r="U75" i="2"/>
  <c r="S75" i="42"/>
  <c r="L43" i="42"/>
  <c r="N16" i="42"/>
  <c r="S12" i="42"/>
  <c r="S19" i="42"/>
  <c r="S58" i="42"/>
  <c r="S65" i="42" s="1" a="1"/>
  <c r="S65" i="42" s="1"/>
  <c r="K14" i="42"/>
  <c r="F95" i="42"/>
  <c r="F97" i="42"/>
  <c r="F99" i="42"/>
  <c r="F35" i="42"/>
  <c r="F33" i="42"/>
  <c r="F79" i="42"/>
  <c r="F14" i="44"/>
  <c r="F13" i="44"/>
  <c r="F80" i="42"/>
  <c r="F105" i="42"/>
  <c r="F15" i="44"/>
  <c r="F81" i="42"/>
  <c r="F17" i="44"/>
  <c r="F22" i="42"/>
  <c r="F52" i="42"/>
  <c r="F44" i="42"/>
  <c r="F50" i="42"/>
  <c r="F82" i="42"/>
  <c r="F93" i="42"/>
  <c r="F24" i="42"/>
  <c r="J75" i="2"/>
  <c r="J14" i="2"/>
  <c r="M10" i="2"/>
  <c r="M14" i="2"/>
  <c r="M14" i="42"/>
  <c r="M49" i="2"/>
  <c r="M60" i="2" s="1"/>
  <c r="Q10" i="2"/>
  <c r="Q12" i="2" s="1"/>
  <c r="U104" i="2"/>
  <c r="U108" i="2" s="1"/>
  <c r="M64" i="2"/>
  <c r="M73" i="2" s="1"/>
  <c r="M12" i="42"/>
  <c r="M97" i="2"/>
  <c r="Q58" i="42"/>
  <c r="Q65" i="42" s="1" a="1"/>
  <c r="Q65" i="42" s="1"/>
  <c r="J98" i="2"/>
  <c r="J36" i="2"/>
  <c r="J47" i="2" s="1"/>
  <c r="J64" i="2"/>
  <c r="J73" i="2" s="1"/>
  <c r="N34" i="58"/>
  <c r="J104" i="2"/>
  <c r="J108" i="2" s="1"/>
  <c r="M75" i="2"/>
  <c r="J24" i="2"/>
  <c r="M104" i="2"/>
  <c r="M108" i="2" s="1"/>
  <c r="M24" i="2"/>
  <c r="J49" i="2"/>
  <c r="J60" i="2" s="1"/>
  <c r="Q14" i="2"/>
  <c r="F54" i="42"/>
  <c r="F38" i="42"/>
  <c r="F83" i="42"/>
  <c r="F106" i="42"/>
  <c r="F18" i="44"/>
  <c r="F13" i="42"/>
  <c r="F15" i="42"/>
  <c r="F84" i="42"/>
  <c r="F107" i="42"/>
  <c r="F26" i="42"/>
  <c r="F17" i="42"/>
  <c r="F41" i="42"/>
  <c r="F77" i="42"/>
  <c r="F85" i="42"/>
  <c r="F29" i="42"/>
  <c r="F78" i="42"/>
  <c r="F87" i="42"/>
  <c r="F31" i="42"/>
  <c r="F20" i="42"/>
  <c r="T20" i="42" s="1"/>
  <c r="F96" i="42"/>
  <c r="P35" i="42"/>
  <c r="P10" i="42"/>
  <c r="Q104" i="2"/>
  <c r="Q108" i="2" s="1"/>
  <c r="O58" i="42"/>
  <c r="O65" i="42" s="1" a="1"/>
  <c r="O65" i="42" s="1"/>
  <c r="F26" i="58"/>
  <c r="S38" i="53"/>
  <c r="S42" i="53" s="1"/>
  <c r="Q91" i="42"/>
  <c r="Q14" i="42"/>
  <c r="K40" i="42"/>
  <c r="P40" i="42"/>
  <c r="L26" i="53"/>
  <c r="L34" i="53" s="1"/>
  <c r="O12" i="42"/>
  <c r="O19" i="42"/>
  <c r="P19" i="42"/>
  <c r="L38" i="53"/>
  <c r="L42" i="53" s="1"/>
  <c r="P58" i="42"/>
  <c r="P68" i="42" s="1" a="1"/>
  <c r="P68" i="42" s="1"/>
  <c r="P103" i="42"/>
  <c r="J103" i="42"/>
  <c r="F19" i="58"/>
  <c r="F27" i="58"/>
  <c r="O37" i="42"/>
  <c r="Q10" i="42"/>
  <c r="P43" i="42"/>
  <c r="J40" i="42"/>
  <c r="Q31" i="42"/>
  <c r="M10" i="53"/>
  <c r="M22" i="53" s="1"/>
  <c r="J34" i="58"/>
  <c r="O10" i="2"/>
  <c r="J12" i="42"/>
  <c r="K21" i="42"/>
  <c r="J23" i="42"/>
  <c r="K35" i="42"/>
  <c r="J58" i="42"/>
  <c r="J68" i="42" s="1" a="1"/>
  <c r="J68" i="42" s="1"/>
  <c r="F22" i="58"/>
  <c r="P23" i="42"/>
  <c r="J21" i="42"/>
  <c r="F21" i="58"/>
  <c r="F15" i="58"/>
  <c r="J91" i="42"/>
  <c r="P91" i="42"/>
  <c r="K43" i="42"/>
  <c r="K37" i="42"/>
  <c r="J16" i="42"/>
  <c r="M26" i="53"/>
  <c r="M34" i="53" s="1"/>
  <c r="R49" i="2"/>
  <c r="R60" i="2" s="1"/>
  <c r="Q75" i="2"/>
  <c r="K23" i="42"/>
  <c r="Q35" i="42"/>
  <c r="K58" i="42"/>
  <c r="K68" i="42" s="1" a="1"/>
  <c r="K68" i="42" s="1"/>
  <c r="F23" i="58"/>
  <c r="F20" i="58"/>
  <c r="F29" i="58"/>
  <c r="J75" i="42"/>
  <c r="P16" i="42"/>
  <c r="Q49" i="2"/>
  <c r="Q60" i="2" s="1"/>
  <c r="P49" i="42"/>
  <c r="J35" i="42"/>
  <c r="P75" i="42"/>
  <c r="P33" i="42"/>
  <c r="Q75" i="42"/>
  <c r="P14" i="42"/>
  <c r="Q46" i="42"/>
  <c r="K16" i="42"/>
  <c r="P37" i="42"/>
  <c r="Q36" i="2"/>
  <c r="Q47" i="2" s="1"/>
  <c r="K49" i="42"/>
  <c r="Q64" i="2"/>
  <c r="Q73" i="2" s="1"/>
  <c r="R10" i="58"/>
  <c r="R28" i="42" s="1"/>
  <c r="Q19" i="42"/>
  <c r="J10" i="58"/>
  <c r="J28" i="42" s="1"/>
  <c r="F24" i="58"/>
  <c r="O75" i="42"/>
  <c r="O46" i="42"/>
  <c r="Q40" i="42"/>
  <c r="O16" i="42"/>
  <c r="J43" i="42"/>
  <c r="J31" i="42"/>
  <c r="S26" i="53"/>
  <c r="Q12" i="42"/>
  <c r="Q33" i="42"/>
  <c r="Q21" i="42"/>
  <c r="R34" i="58"/>
  <c r="G70" i="55"/>
  <c r="O61" i="58"/>
  <c r="O10" i="58"/>
  <c r="O34" i="58"/>
  <c r="T68" i="42" a="1"/>
  <c r="T68" i="42" s="1"/>
  <c r="P38" i="53"/>
  <c r="P42" i="53" s="1"/>
  <c r="P10" i="53"/>
  <c r="P26" i="53"/>
  <c r="N95" i="2"/>
  <c r="N64" i="2"/>
  <c r="N73" i="2" s="1"/>
  <c r="N24" i="2"/>
  <c r="N104" i="2"/>
  <c r="N108" i="2" s="1"/>
  <c r="N75" i="2"/>
  <c r="N14" i="2"/>
  <c r="N10" i="2"/>
  <c r="N49" i="2"/>
  <c r="N60" i="2" s="1"/>
  <c r="N36" i="2"/>
  <c r="N47" i="2" s="1"/>
  <c r="P10" i="58"/>
  <c r="P34" i="58"/>
  <c r="P61" i="58"/>
  <c r="K26" i="53"/>
  <c r="K34" i="53" s="1"/>
  <c r="K10" i="53"/>
  <c r="K22" i="53" s="1"/>
  <c r="K38" i="53"/>
  <c r="K42" i="53" s="1"/>
  <c r="U100" i="2"/>
  <c r="U97" i="2"/>
  <c r="U99" i="2"/>
  <c r="Q97" i="2"/>
  <c r="Q100" i="2"/>
  <c r="Q99" i="2"/>
  <c r="Q98" i="2"/>
  <c r="S1" i="54"/>
  <c r="G10" i="16" s="1"/>
  <c r="K61" i="58"/>
  <c r="K10" i="58"/>
  <c r="S61" i="58"/>
  <c r="S10" i="58"/>
  <c r="R95" i="2"/>
  <c r="R64" i="2"/>
  <c r="R73" i="2" s="1"/>
  <c r="R24" i="2"/>
  <c r="R104" i="2"/>
  <c r="R108" i="2" s="1"/>
  <c r="R75" i="2"/>
  <c r="R14" i="2"/>
  <c r="R36" i="2"/>
  <c r="R47" i="2" s="1"/>
  <c r="L10" i="58"/>
  <c r="L34" i="58"/>
  <c r="L61" i="58"/>
  <c r="K10" i="2"/>
  <c r="K14" i="2"/>
  <c r="K24" i="2"/>
  <c r="K64" i="2"/>
  <c r="K73" i="2" s="1"/>
  <c r="K104" i="2"/>
  <c r="K108" i="2" s="1"/>
  <c r="K36" i="2"/>
  <c r="K47" i="2" s="1"/>
  <c r="K75" i="2"/>
  <c r="K49" i="2"/>
  <c r="K60" i="2" s="1"/>
  <c r="K95" i="2"/>
  <c r="X93" i="2"/>
  <c r="G67" i="55"/>
  <c r="T67" i="55"/>
  <c r="M103" i="42"/>
  <c r="M40" i="42"/>
  <c r="M75" i="42"/>
  <c r="M16" i="42"/>
  <c r="M23" i="42"/>
  <c r="M46" i="42"/>
  <c r="M21" i="42"/>
  <c r="M37" i="42"/>
  <c r="M58" i="42"/>
  <c r="M19" i="42"/>
  <c r="M10" i="42"/>
  <c r="M49" i="42"/>
  <c r="M98" i="2"/>
  <c r="M100" i="2"/>
  <c r="J100" i="2"/>
  <c r="J99" i="2"/>
  <c r="S104" i="2"/>
  <c r="S108" i="2" s="1"/>
  <c r="O49" i="2"/>
  <c r="O60" i="2" s="1"/>
  <c r="S75" i="2"/>
  <c r="O95" i="2"/>
  <c r="S95" i="2"/>
  <c r="C99" i="2"/>
  <c r="U36" i="2"/>
  <c r="U47" i="2" s="1"/>
  <c r="T26" i="53"/>
  <c r="T34" i="53" s="1"/>
  <c r="O104" i="2"/>
  <c r="O108" i="2" s="1"/>
  <c r="L10" i="2"/>
  <c r="L12" i="2" s="1"/>
  <c r="M10" i="58"/>
  <c r="M28" i="42" s="1"/>
  <c r="Q61" i="58"/>
  <c r="Q28" i="42" s="1"/>
  <c r="L95" i="2"/>
  <c r="P95" i="2"/>
  <c r="T95" i="2"/>
  <c r="O24" i="2"/>
  <c r="S14" i="2"/>
  <c r="U64" i="2"/>
  <c r="U73" i="2" s="1"/>
  <c r="Q10" i="53"/>
  <c r="T104" i="2"/>
  <c r="T108" i="2" s="1"/>
  <c r="P24" i="2"/>
  <c r="T10" i="2"/>
  <c r="T12" i="2" s="1"/>
  <c r="L75" i="2"/>
  <c r="O14" i="2"/>
  <c r="O36" i="2"/>
  <c r="O47" i="2" s="1"/>
  <c r="Q26" i="53"/>
  <c r="P104" i="2"/>
  <c r="P108" i="2" s="1"/>
  <c r="L24" i="2"/>
  <c r="T14" i="2"/>
  <c r="L64" i="2"/>
  <c r="L73" i="2" s="1"/>
  <c r="U49" i="2"/>
  <c r="U60" i="2" s="1"/>
  <c r="S49" i="2"/>
  <c r="S60" i="2" s="1"/>
  <c r="T49" i="2"/>
  <c r="T60" i="2" s="1"/>
  <c r="R68" i="42" l="1" a="1"/>
  <c r="R68" i="42" s="1"/>
  <c r="S68" i="42" a="1"/>
  <c r="S68" i="42" s="1"/>
  <c r="L65" i="42" a="1"/>
  <c r="L65" i="42" s="1"/>
  <c r="N65" i="42" a="1"/>
  <c r="N65" i="42" s="1"/>
  <c r="L61" i="42"/>
  <c r="L70" i="42" s="1"/>
  <c r="T61" i="42"/>
  <c r="T70" i="42" s="1"/>
  <c r="L28" i="42"/>
  <c r="T13" i="42"/>
  <c r="G71" i="55"/>
  <c r="T71" i="55"/>
  <c r="O68" i="42" a="1"/>
  <c r="O68" i="42" s="1"/>
  <c r="P61" i="42"/>
  <c r="P70" i="42" s="1"/>
  <c r="P65" i="42" a="1"/>
  <c r="P65" i="42" s="1"/>
  <c r="J61" i="42"/>
  <c r="Q68" i="42" a="1"/>
  <c r="Q68" i="42" s="1"/>
  <c r="J65" i="42" a="1"/>
  <c r="J65" i="42" s="1"/>
  <c r="S28" i="42"/>
  <c r="P28" i="42"/>
  <c r="K28" i="42"/>
  <c r="K65" i="42" a="1"/>
  <c r="K65" i="42" s="1"/>
  <c r="K61" i="42"/>
  <c r="K70" i="42" s="1"/>
  <c r="W42" i="53"/>
  <c r="F16" i="42"/>
  <c r="F14" i="42"/>
  <c r="F21" i="42"/>
  <c r="F23" i="42"/>
  <c r="G69" i="55"/>
  <c r="T69" i="55"/>
  <c r="X60" i="2"/>
  <c r="L97" i="2"/>
  <c r="L99" i="2"/>
  <c r="L100" i="2"/>
  <c r="L98" i="2"/>
  <c r="O28" i="42"/>
  <c r="K99" i="2"/>
  <c r="K98" i="2"/>
  <c r="K97" i="2"/>
  <c r="K100" i="2"/>
  <c r="C16" i="2" a="1"/>
  <c r="K12" i="2"/>
  <c r="C26" i="2" a="1"/>
  <c r="P100" i="2"/>
  <c r="P99" i="2"/>
  <c r="P98" i="2"/>
  <c r="P97" i="2"/>
  <c r="O61" i="42" s="1"/>
  <c r="O70" i="42" s="1"/>
  <c r="S99" i="2"/>
  <c r="S98" i="2"/>
  <c r="S97" i="2"/>
  <c r="R61" i="42" s="1"/>
  <c r="R70" i="42" s="1"/>
  <c r="S100" i="2"/>
  <c r="X47" i="2"/>
  <c r="N98" i="2"/>
  <c r="N99" i="2"/>
  <c r="N100" i="2"/>
  <c r="N97" i="2"/>
  <c r="M61" i="42" s="1"/>
  <c r="O100" i="2"/>
  <c r="O98" i="2"/>
  <c r="O99" i="2"/>
  <c r="O97" i="2"/>
  <c r="N61" i="42" s="1"/>
  <c r="N70" i="42" s="1"/>
  <c r="M65" i="42" a="1"/>
  <c r="M65" i="42" s="1"/>
  <c r="M68" i="42" a="1"/>
  <c r="M68" i="42" s="1"/>
  <c r="X108" i="2"/>
  <c r="R99" i="2"/>
  <c r="R97" i="2"/>
  <c r="Q61" i="42" s="1"/>
  <c r="Q70" i="42" s="1"/>
  <c r="R98" i="2"/>
  <c r="R100" i="2"/>
  <c r="T98" i="2"/>
  <c r="T99" i="2"/>
  <c r="T100" i="2"/>
  <c r="T97" i="2"/>
  <c r="S61" i="42" s="1"/>
  <c r="S70" i="42" s="1"/>
  <c r="X73" i="2"/>
  <c r="J62" i="42" l="1" a="1"/>
  <c r="J62" i="42" s="1"/>
  <c r="N62" i="42" a="1"/>
  <c r="N62" i="42" s="1"/>
  <c r="M62" i="42" a="1"/>
  <c r="M62" i="42" s="1"/>
  <c r="J70" i="42"/>
  <c r="L62" i="42" a="1"/>
  <c r="L62" i="42" s="1"/>
  <c r="K62" i="42" a="1"/>
  <c r="K62" i="42" s="1"/>
  <c r="T62" i="42" a="1"/>
  <c r="T62" i="42" s="1"/>
  <c r="T1" i="2"/>
  <c r="G13" i="16" s="1"/>
  <c r="S62" i="42" a="1"/>
  <c r="S62" i="42" s="1"/>
  <c r="C31" i="2"/>
  <c r="C27" i="2"/>
  <c r="C26" i="2"/>
  <c r="C29" i="2"/>
  <c r="C32" i="2"/>
  <c r="C30" i="2"/>
  <c r="C28" i="2"/>
  <c r="M70" i="42"/>
  <c r="T71" i="42" s="1" a="1"/>
  <c r="T71" i="42" s="1"/>
  <c r="O62" i="42" a="1"/>
  <c r="O62" i="42" s="1"/>
  <c r="R62" i="42" a="1"/>
  <c r="R62" i="42" s="1"/>
  <c r="P62" i="42" a="1"/>
  <c r="P62" i="42" s="1"/>
  <c r="C16" i="2"/>
  <c r="C17" i="2"/>
  <c r="C18" i="2"/>
  <c r="C21" i="2"/>
  <c r="C19" i="2"/>
  <c r="C20" i="2"/>
  <c r="C22" i="2"/>
  <c r="Q62" i="42" a="1"/>
  <c r="Q62" i="42" s="1"/>
  <c r="N71" i="42" l="1" a="1"/>
  <c r="N71" i="42" s="1"/>
  <c r="L71" i="42" a="1"/>
  <c r="L71" i="42" s="1"/>
  <c r="J71" i="42" a="1"/>
  <c r="J71" i="42" s="1"/>
  <c r="K71" i="42" a="1"/>
  <c r="K71" i="42" s="1"/>
  <c r="M71" i="42" a="1"/>
  <c r="M71" i="42" s="1"/>
  <c r="Q27" i="2"/>
  <c r="T27" i="2"/>
  <c r="E27" i="2"/>
  <c r="D27" i="2"/>
  <c r="S27" i="2"/>
  <c r="R27" i="2"/>
  <c r="O21" i="2"/>
  <c r="E21" i="2"/>
  <c r="D21" i="2"/>
  <c r="E31" i="2"/>
  <c r="T31" i="2"/>
  <c r="D31" i="2"/>
  <c r="Q31" i="2"/>
  <c r="S31" i="2"/>
  <c r="R31" i="2"/>
  <c r="D18" i="2"/>
  <c r="L18" i="2"/>
  <c r="E18" i="2"/>
  <c r="K17" i="2"/>
  <c r="K27" i="2" s="1"/>
  <c r="E17" i="2"/>
  <c r="D17" i="2"/>
  <c r="Q28" i="2"/>
  <c r="T28" i="2"/>
  <c r="S28" i="2"/>
  <c r="E28" i="2"/>
  <c r="D28" i="2"/>
  <c r="R28" i="2"/>
  <c r="J16" i="2"/>
  <c r="K16" i="2" s="1"/>
  <c r="E16" i="2"/>
  <c r="D16" i="2"/>
  <c r="S71" i="42" a="1"/>
  <c r="S71" i="42" s="1"/>
  <c r="Q71" i="42" a="1"/>
  <c r="Q71" i="42" s="1"/>
  <c r="R71" i="42" a="1"/>
  <c r="R71" i="42" s="1"/>
  <c r="P71" i="42" a="1"/>
  <c r="P71" i="42" s="1"/>
  <c r="O71" i="42" a="1"/>
  <c r="O71" i="42" s="1"/>
  <c r="Q30" i="2"/>
  <c r="T30" i="2"/>
  <c r="E30" i="2"/>
  <c r="D30" i="2"/>
  <c r="S30" i="2"/>
  <c r="R30" i="2"/>
  <c r="E19" i="2"/>
  <c r="M19" i="2"/>
  <c r="D19" i="2"/>
  <c r="Q32" i="2"/>
  <c r="D32" i="2"/>
  <c r="E32" i="2"/>
  <c r="S32" i="2"/>
  <c r="T32" i="2"/>
  <c r="R32" i="2"/>
  <c r="P32" i="2"/>
  <c r="D22" i="2"/>
  <c r="O22" i="2"/>
  <c r="N22" i="2" s="1"/>
  <c r="E22" i="2"/>
  <c r="P22" i="2"/>
  <c r="E29" i="2"/>
  <c r="D29" i="2"/>
  <c r="Q29" i="2"/>
  <c r="T29" i="2"/>
  <c r="S29" i="2"/>
  <c r="R29" i="2"/>
  <c r="N20" i="2"/>
  <c r="D20" i="2"/>
  <c r="E20" i="2"/>
  <c r="D26" i="2"/>
  <c r="E26" i="2"/>
  <c r="Q26" i="2"/>
  <c r="T26" i="2"/>
  <c r="S26" i="2"/>
  <c r="R26" i="2"/>
  <c r="N81" i="42" l="1"/>
  <c r="Q79" i="42"/>
  <c r="N32" i="2"/>
  <c r="M22" i="2"/>
  <c r="O32" i="2"/>
  <c r="P21" i="2"/>
  <c r="P31" i="2" s="1"/>
  <c r="M97" i="42"/>
  <c r="M18" i="44" s="1"/>
  <c r="M47" i="42"/>
  <c r="R29" i="42"/>
  <c r="R79" i="42"/>
  <c r="N44" i="42"/>
  <c r="K97" i="42"/>
  <c r="K18" i="44" s="1"/>
  <c r="O85" i="42"/>
  <c r="K83" i="42"/>
  <c r="M41" i="42"/>
  <c r="Q44" i="42"/>
  <c r="J93" i="42"/>
  <c r="J14" i="44" s="1"/>
  <c r="T78" i="42"/>
  <c r="K29" i="42"/>
  <c r="M50" i="42"/>
  <c r="L83" i="42"/>
  <c r="P82" i="42"/>
  <c r="M44" i="42"/>
  <c r="S83" i="42"/>
  <c r="O97" i="42"/>
  <c r="O18" i="44" s="1"/>
  <c r="P44" i="42"/>
  <c r="N94" i="42"/>
  <c r="N15" i="44" s="1"/>
  <c r="K81" i="42"/>
  <c r="N95" i="42"/>
  <c r="N16" i="44" s="1"/>
  <c r="K38" i="42"/>
  <c r="Q84" i="42"/>
  <c r="P29" i="42"/>
  <c r="M29" i="42"/>
  <c r="J97" i="42"/>
  <c r="J18" i="44" s="1"/>
  <c r="N83" i="42"/>
  <c r="S82" i="42"/>
  <c r="T83" i="42"/>
  <c r="L97" i="42"/>
  <c r="L18" i="44" s="1"/>
  <c r="R50" i="42"/>
  <c r="J78" i="42"/>
  <c r="M82" i="42"/>
  <c r="Q85" i="42"/>
  <c r="J29" i="42"/>
  <c r="T29" i="42"/>
  <c r="Q47" i="42"/>
  <c r="J47" i="42"/>
  <c r="N97" i="42"/>
  <c r="N18" i="44" s="1"/>
  <c r="R83" i="42"/>
  <c r="O83" i="42"/>
  <c r="P83" i="42"/>
  <c r="K96" i="42"/>
  <c r="K17" i="44" s="1"/>
  <c r="T47" i="42"/>
  <c r="N41" i="42"/>
  <c r="J77" i="42"/>
  <c r="N77" i="42"/>
  <c r="S80" i="42"/>
  <c r="O79" i="42"/>
  <c r="L29" i="42"/>
  <c r="M83" i="42"/>
  <c r="J82" i="42"/>
  <c r="J83" i="42"/>
  <c r="R47" i="42"/>
  <c r="N47" i="42"/>
  <c r="K47" i="42"/>
  <c r="N82" i="42"/>
  <c r="M94" i="42"/>
  <c r="M15" i="44" s="1"/>
  <c r="N79" i="42"/>
  <c r="J85" i="42"/>
  <c r="T38" i="42"/>
  <c r="K93" i="42"/>
  <c r="K14" i="44" s="1"/>
  <c r="O41" i="42"/>
  <c r="Q38" i="42"/>
  <c r="Q29" i="42"/>
  <c r="P47" i="42"/>
  <c r="P97" i="42"/>
  <c r="P18" i="44" s="1"/>
  <c r="Q97" i="42"/>
  <c r="Q18" i="44" s="1"/>
  <c r="O82" i="42"/>
  <c r="O44" i="42"/>
  <c r="L44" i="42"/>
  <c r="M96" i="42"/>
  <c r="M17" i="44" s="1"/>
  <c r="L94" i="42"/>
  <c r="L15" i="44" s="1"/>
  <c r="N78" i="42"/>
  <c r="L93" i="42"/>
  <c r="L14" i="44" s="1"/>
  <c r="N84" i="42"/>
  <c r="J81" i="42"/>
  <c r="L41" i="42"/>
  <c r="N50" i="42"/>
  <c r="L50" i="42"/>
  <c r="M38" i="42"/>
  <c r="R97" i="42"/>
  <c r="R18" i="44" s="1"/>
  <c r="J44" i="42"/>
  <c r="S50" i="42"/>
  <c r="S97" i="42"/>
  <c r="S18" i="44" s="1"/>
  <c r="K44" i="42"/>
  <c r="L82" i="42"/>
  <c r="L96" i="42"/>
  <c r="L17" i="44" s="1"/>
  <c r="M78" i="42"/>
  <c r="T85" i="42"/>
  <c r="L78" i="42"/>
  <c r="P93" i="42"/>
  <c r="P14" i="44" s="1"/>
  <c r="S38" i="42"/>
  <c r="S29" i="42"/>
  <c r="T97" i="42"/>
  <c r="T18" i="44" s="1"/>
  <c r="N29" i="42"/>
  <c r="R44" i="42"/>
  <c r="S44" i="42"/>
  <c r="Q82" i="42"/>
  <c r="R82" i="42"/>
  <c r="S79" i="42"/>
  <c r="K94" i="42"/>
  <c r="K15" i="44" s="1"/>
  <c r="T96" i="42"/>
  <c r="T17" i="44" s="1"/>
  <c r="S84" i="42"/>
  <c r="P85" i="42"/>
  <c r="O29" i="42"/>
  <c r="J17" i="2"/>
  <c r="J27" i="2" s="1"/>
  <c r="K80" i="42"/>
  <c r="N93" i="42"/>
  <c r="N14" i="44" s="1"/>
  <c r="L80" i="42"/>
  <c r="N96" i="42"/>
  <c r="N17" i="44" s="1"/>
  <c r="M79" i="42"/>
  <c r="S93" i="42"/>
  <c r="S14" i="44" s="1"/>
  <c r="T41" i="42"/>
  <c r="M84" i="42"/>
  <c r="R41" i="42"/>
  <c r="T50" i="42"/>
  <c r="L47" i="42"/>
  <c r="R93" i="42"/>
  <c r="R14" i="44" s="1"/>
  <c r="P80" i="42"/>
  <c r="R81" i="42"/>
  <c r="S85" i="42"/>
  <c r="K50" i="42"/>
  <c r="O50" i="42"/>
  <c r="T79" i="42"/>
  <c r="Q80" i="42"/>
  <c r="K95" i="42"/>
  <c r="K16" i="44" s="1"/>
  <c r="K78" i="42"/>
  <c r="T82" i="42"/>
  <c r="N85" i="42"/>
  <c r="S47" i="42"/>
  <c r="M93" i="42"/>
  <c r="M14" i="44" s="1"/>
  <c r="K84" i="42"/>
  <c r="M95" i="42"/>
  <c r="M16" i="44" s="1"/>
  <c r="L85" i="42"/>
  <c r="Q50" i="42"/>
  <c r="P79" i="42"/>
  <c r="R80" i="42"/>
  <c r="J38" i="42"/>
  <c r="S81" i="42"/>
  <c r="N80" i="42"/>
  <c r="J96" i="42"/>
  <c r="J17" i="44" s="1"/>
  <c r="T77" i="42"/>
  <c r="O47" i="42"/>
  <c r="M77" i="42"/>
  <c r="J80" i="42"/>
  <c r="T44" i="42"/>
  <c r="T84" i="42"/>
  <c r="L81" i="42"/>
  <c r="L77" i="42"/>
  <c r="R38" i="42"/>
  <c r="P81" i="42"/>
  <c r="O38" i="42"/>
  <c r="P41" i="42"/>
  <c r="O80" i="42"/>
  <c r="J26" i="2"/>
  <c r="T81" i="42"/>
  <c r="J94" i="42"/>
  <c r="J15" i="44" s="1"/>
  <c r="K82" i="42"/>
  <c r="R85" i="42"/>
  <c r="Q93" i="42"/>
  <c r="Q14" i="44" s="1"/>
  <c r="J79" i="42"/>
  <c r="L79" i="42"/>
  <c r="K41" i="42"/>
  <c r="M85" i="42"/>
  <c r="T95" i="42"/>
  <c r="T16" i="44" s="1"/>
  <c r="K79" i="42"/>
  <c r="T93" i="42"/>
  <c r="P50" i="42"/>
  <c r="O84" i="42"/>
  <c r="L38" i="42"/>
  <c r="T80" i="42"/>
  <c r="O81" i="42"/>
  <c r="Q41" i="42"/>
  <c r="Q81" i="42"/>
  <c r="Q83" i="42"/>
  <c r="L84" i="42"/>
  <c r="M80" i="42"/>
  <c r="M81" i="42"/>
  <c r="J84" i="42"/>
  <c r="R84" i="42"/>
  <c r="L95" i="42"/>
  <c r="L16" i="44" s="1"/>
  <c r="K77" i="42"/>
  <c r="J95" i="42"/>
  <c r="J16" i="44" s="1"/>
  <c r="K85" i="42"/>
  <c r="N38" i="42"/>
  <c r="S41" i="42"/>
  <c r="J50" i="42"/>
  <c r="T94" i="42"/>
  <c r="T15" i="44" s="1"/>
  <c r="P38" i="42"/>
  <c r="J41" i="42"/>
  <c r="P84" i="42"/>
  <c r="K18" i="2"/>
  <c r="J18" i="2" s="1"/>
  <c r="L28" i="2"/>
  <c r="K26" i="2"/>
  <c r="L16" i="2"/>
  <c r="L17" i="2"/>
  <c r="R13" i="42"/>
  <c r="R26" i="42" s="1"/>
  <c r="R20" i="42"/>
  <c r="P20" i="42"/>
  <c r="P13" i="42"/>
  <c r="P26" i="42" s="1"/>
  <c r="S13" i="42"/>
  <c r="S26" i="42" s="1"/>
  <c r="S20" i="42"/>
  <c r="Q20" i="42"/>
  <c r="Q13" i="42"/>
  <c r="Q26" i="42" s="1"/>
  <c r="J28" i="2" l="1"/>
  <c r="L99" i="42"/>
  <c r="N99" i="42"/>
  <c r="K52" i="42"/>
  <c r="K54" i="42" s="1"/>
  <c r="M32" i="2"/>
  <c r="L22" i="2"/>
  <c r="P19" i="2"/>
  <c r="P29" i="2" s="1"/>
  <c r="P20" i="2"/>
  <c r="P30" i="2" s="1"/>
  <c r="T99" i="42"/>
  <c r="T14" i="44"/>
  <c r="K99" i="42"/>
  <c r="Q52" i="42"/>
  <c r="Q54" i="42" s="1"/>
  <c r="P52" i="42"/>
  <c r="P54" i="42" s="1"/>
  <c r="R52" i="42"/>
  <c r="R54" i="42" s="1"/>
  <c r="M99" i="42"/>
  <c r="N87" i="42"/>
  <c r="S52" i="42"/>
  <c r="S54" i="42" s="1"/>
  <c r="J99" i="42"/>
  <c r="J52" i="42"/>
  <c r="J54" i="42" s="1"/>
  <c r="M87" i="42"/>
  <c r="J87" i="42"/>
  <c r="L87" i="42"/>
  <c r="K87" i="42"/>
  <c r="T87" i="42"/>
  <c r="K28" i="2"/>
  <c r="L27" i="2"/>
  <c r="L26" i="2"/>
  <c r="O20" i="42" l="1"/>
  <c r="O13" i="42"/>
  <c r="O26" i="42" s="1"/>
  <c r="K106" i="42"/>
  <c r="K107" i="42" s="1"/>
  <c r="K105" i="42"/>
  <c r="K13" i="44" s="1"/>
  <c r="J105" i="42"/>
  <c r="J13" i="44" s="1"/>
  <c r="J106" i="42"/>
  <c r="J107" i="42" s="1"/>
  <c r="L105" i="42"/>
  <c r="L13" i="44" s="1"/>
  <c r="L106" i="42"/>
  <c r="L107" i="42" s="1"/>
  <c r="L32" i="2"/>
  <c r="K22" i="2"/>
  <c r="P18" i="2"/>
  <c r="P28" i="2" s="1"/>
  <c r="K32" i="2" l="1"/>
  <c r="J22" i="2"/>
  <c r="J32" i="2" s="1"/>
  <c r="P17" i="2" l="1"/>
  <c r="P27" i="2" s="1"/>
  <c r="O31" i="42" l="1"/>
  <c r="L31" i="42"/>
  <c r="M31" i="42"/>
  <c r="O35" i="42" l="1"/>
  <c r="L35" i="42"/>
  <c r="O33" i="42"/>
  <c r="O52" i="42" s="1"/>
  <c r="L33" i="42"/>
  <c r="L52" i="42" s="1"/>
  <c r="M35" i="42"/>
  <c r="M33" i="42"/>
  <c r="M52" i="42" s="1"/>
  <c r="L54" i="42" l="1"/>
  <c r="O54" i="42"/>
  <c r="M54" i="42"/>
  <c r="N106" i="42" l="1"/>
  <c r="N107" i="42" s="1"/>
  <c r="N105" i="42"/>
  <c r="N13" i="44" s="1"/>
  <c r="M105" i="42" l="1"/>
  <c r="M13" i="44" s="1"/>
  <c r="M106" i="42"/>
  <c r="M107" i="42" s="1"/>
  <c r="T106" i="42"/>
  <c r="T107" i="42" s="1"/>
  <c r="T105" i="42"/>
  <c r="T13" i="44" s="1"/>
  <c r="P26" i="2" l="1"/>
  <c r="P16" i="2"/>
  <c r="T74" i="55"/>
  <c r="M12" i="2"/>
  <c r="M17" i="2" s="1"/>
  <c r="G83" i="55"/>
  <c r="G73" i="55"/>
  <c r="T73" i="55"/>
  <c r="T75" i="55" l="1"/>
  <c r="G75" i="55"/>
  <c r="G79" i="55"/>
  <c r="M16" i="2"/>
  <c r="M26" i="2" s="1"/>
  <c r="M27" i="2"/>
  <c r="T79" i="55"/>
  <c r="M18" i="2"/>
  <c r="L19" i="2"/>
  <c r="M29" i="2"/>
  <c r="N12" i="2"/>
  <c r="N17" i="2" s="1"/>
  <c r="T82" i="55"/>
  <c r="T78" i="55"/>
  <c r="O12" i="2"/>
  <c r="N27" i="2" l="1"/>
  <c r="O17" i="2"/>
  <c r="O27" i="2" s="1"/>
  <c r="O20" i="2"/>
  <c r="O30" i="2" s="1"/>
  <c r="O31" i="2"/>
  <c r="N21" i="2"/>
  <c r="O22" i="53"/>
  <c r="O77" i="42"/>
  <c r="P12" i="53"/>
  <c r="M28" i="2"/>
  <c r="N18" i="2"/>
  <c r="N19" i="2"/>
  <c r="N30" i="2"/>
  <c r="M20" i="2"/>
  <c r="L29" i="2"/>
  <c r="K19" i="2"/>
  <c r="O78" i="42"/>
  <c r="N16" i="2"/>
  <c r="O87" i="42" l="1"/>
  <c r="N31" i="2"/>
  <c r="M21" i="2"/>
  <c r="P78" i="42"/>
  <c r="M30" i="2"/>
  <c r="L20" i="2"/>
  <c r="N13" i="42"/>
  <c r="N26" i="42" s="1"/>
  <c r="N20" i="42"/>
  <c r="O16" i="2"/>
  <c r="N26" i="2"/>
  <c r="K29" i="2"/>
  <c r="J19" i="2"/>
  <c r="J29" i="2" s="1"/>
  <c r="P77" i="42"/>
  <c r="P22" i="53"/>
  <c r="Q12" i="53"/>
  <c r="O19" i="2"/>
  <c r="O29" i="2" s="1"/>
  <c r="N29" i="2"/>
  <c r="N28" i="2"/>
  <c r="O18" i="2"/>
  <c r="O28" i="2" s="1"/>
  <c r="P87" i="42" l="1"/>
  <c r="Q77" i="42"/>
  <c r="Q22" i="53"/>
  <c r="Q78" i="42"/>
  <c r="M31" i="2"/>
  <c r="L21" i="2"/>
  <c r="M20" i="42"/>
  <c r="M13" i="42"/>
  <c r="M26" i="42" s="1"/>
  <c r="L30" i="2"/>
  <c r="K20" i="2"/>
  <c r="P24" i="42"/>
  <c r="O26" i="2"/>
  <c r="L17" i="42"/>
  <c r="O22" i="42"/>
  <c r="N17" i="42"/>
  <c r="T22" i="42"/>
  <c r="Q15" i="42"/>
  <c r="N24" i="42"/>
  <c r="M15" i="42"/>
  <c r="Q22" i="42"/>
  <c r="O24" i="42"/>
  <c r="K24" i="42"/>
  <c r="P22" i="42"/>
  <c r="P15" i="42"/>
  <c r="J15" i="42"/>
  <c r="T15" i="42"/>
  <c r="K22" i="42"/>
  <c r="R17" i="42"/>
  <c r="M22" i="42"/>
  <c r="L15" i="42"/>
  <c r="Q17" i="42"/>
  <c r="P17" i="42"/>
  <c r="O17" i="42"/>
  <c r="S17" i="42"/>
  <c r="S15" i="42"/>
  <c r="N22" i="42"/>
  <c r="R22" i="42"/>
  <c r="Q24" i="42"/>
  <c r="S24" i="42"/>
  <c r="M17" i="42"/>
  <c r="J22" i="42"/>
  <c r="J17" i="42"/>
  <c r="L22" i="42"/>
  <c r="R15" i="42"/>
  <c r="J24" i="42"/>
  <c r="S22" i="42"/>
  <c r="T24" i="42"/>
  <c r="T17" i="42"/>
  <c r="K15" i="42"/>
  <c r="M24" i="42"/>
  <c r="O15" i="42"/>
  <c r="L24" i="42"/>
  <c r="R24" i="42"/>
  <c r="N15" i="42"/>
  <c r="K17" i="42"/>
  <c r="N31" i="42" l="1"/>
  <c r="S78" i="42"/>
  <c r="R78" i="42"/>
  <c r="R77" i="42"/>
  <c r="R22" i="53"/>
  <c r="J20" i="2"/>
  <c r="J30" i="2" s="1"/>
  <c r="K30" i="2"/>
  <c r="Q87" i="42"/>
  <c r="L31" i="2"/>
  <c r="K21" i="2"/>
  <c r="L20" i="42"/>
  <c r="R87" i="42" l="1"/>
  <c r="S77" i="42"/>
  <c r="S87" i="42" s="1"/>
  <c r="S22" i="53"/>
  <c r="W22" i="53" s="1"/>
  <c r="K31" i="2"/>
  <c r="J21" i="2"/>
  <c r="J31" i="2" s="1"/>
  <c r="K20" i="42"/>
  <c r="K13" i="42"/>
  <c r="K26" i="42" s="1"/>
  <c r="J20" i="42" l="1"/>
  <c r="N35" i="42" s="1"/>
  <c r="J13" i="42"/>
  <c r="J26" i="42" s="1"/>
  <c r="O93" i="42" l="1"/>
  <c r="O14" i="44" l="1"/>
  <c r="G81" i="55" l="1"/>
  <c r="T81" i="55"/>
  <c r="T77" i="55"/>
  <c r="G77" i="55"/>
  <c r="T1" i="55" l="1"/>
  <c r="G11" i="16" s="1"/>
  <c r="O94" i="42" l="1"/>
  <c r="O15" i="44" s="1"/>
  <c r="P94" i="42" l="1"/>
  <c r="P15" i="44" s="1"/>
  <c r="Q94" i="42" l="1"/>
  <c r="Q15" i="44" s="1"/>
  <c r="R94" i="42" l="1"/>
  <c r="R15" i="44" s="1"/>
  <c r="S94" i="42" l="1"/>
  <c r="S15" i="44" s="1"/>
  <c r="L47" i="58" l="1"/>
  <c r="L12" i="42" s="1"/>
  <c r="L13" i="42" s="1"/>
  <c r="L26" i="42" s="1"/>
  <c r="N33" i="42" s="1"/>
  <c r="N52" i="42" s="1"/>
  <c r="N54" i="42" s="1"/>
  <c r="O105" i="42" l="1"/>
  <c r="O13" i="44" s="1"/>
  <c r="S105" i="42"/>
  <c r="S13" i="44" s="1"/>
  <c r="R105" i="42"/>
  <c r="R13" i="44" s="1"/>
  <c r="P105" i="42"/>
  <c r="P13" i="44" s="1"/>
  <c r="Q105" i="42"/>
  <c r="Q13" i="44" s="1"/>
  <c r="R95" i="42" l="1"/>
  <c r="O95" i="42"/>
  <c r="S95" i="42"/>
  <c r="P95" i="42"/>
  <c r="Q95" i="42"/>
  <c r="Q16" i="44" l="1"/>
  <c r="P16" i="44"/>
  <c r="S16" i="44"/>
  <c r="O16" i="44"/>
  <c r="R16" i="44"/>
  <c r="S34" i="53" l="1"/>
  <c r="S96" i="42"/>
  <c r="Q34" i="53"/>
  <c r="Q96" i="42"/>
  <c r="R96" i="42"/>
  <c r="R34" i="53"/>
  <c r="P96" i="42"/>
  <c r="P34" i="53"/>
  <c r="O34" i="53"/>
  <c r="O96" i="42"/>
  <c r="W34" i="53" l="1"/>
  <c r="S1" i="53" s="1"/>
  <c r="G14" i="16" s="1"/>
  <c r="S1" i="16" s="1"/>
  <c r="X1" i="2" s="1"/>
  <c r="O99" i="42"/>
  <c r="O106" i="42" s="1"/>
  <c r="O107" i="42" s="1"/>
  <c r="O17" i="44"/>
  <c r="P17" i="44"/>
  <c r="P99" i="42"/>
  <c r="P106" i="42" s="1"/>
  <c r="P107" i="42" s="1"/>
  <c r="R99" i="42"/>
  <c r="R106" i="42" s="1"/>
  <c r="R107" i="42" s="1"/>
  <c r="R17" i="44"/>
  <c r="Q17" i="44"/>
  <c r="Q99" i="42"/>
  <c r="Q106" i="42" s="1"/>
  <c r="Q107" i="42" s="1"/>
  <c r="S17" i="44"/>
  <c r="S99" i="42"/>
  <c r="S106" i="42" s="1"/>
  <c r="S107" i="42" s="1"/>
  <c r="W1" i="42" l="1"/>
  <c r="W1" i="55"/>
  <c r="W1" i="44"/>
  <c r="V1" i="58"/>
  <c r="V1" i="54"/>
  <c r="V1" i="4"/>
  <c r="V1" i="53"/>
</calcChain>
</file>

<file path=xl/sharedStrings.xml><?xml version="1.0" encoding="utf-8"?>
<sst xmlns="http://schemas.openxmlformats.org/spreadsheetml/2006/main" count="722" uniqueCount="211">
  <si>
    <t>AER opex model v2.0</t>
  </si>
  <si>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</si>
  <si>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</si>
  <si>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</si>
  <si>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</si>
  <si>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</si>
  <si>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</si>
  <si>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</t>
  </si>
  <si>
    <t>Inputs inflation data.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</si>
  <si>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</si>
  <si>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</si>
  <si>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Input | Rate of change</t>
  </si>
  <si>
    <t>Inputs the cost escalation weights, cost escalation forecast, and inflation actuals and forecast. Sheet used when the rate of change is applied from the final year.</t>
  </si>
  <si>
    <t>Input | 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</si>
  <si>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</si>
  <si>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Calc | Opex Forecast</t>
  </si>
  <si>
    <t>Calculates the opex forecast. Sheet used when the rate of change is applied from the final year.</t>
  </si>
  <si>
    <t>Output | Models</t>
  </si>
  <si>
    <t>Outputs the forecasts needed as a post tax revenue model inputs. Sheet used when the rate of change is applied from the final year.</t>
  </si>
  <si>
    <t>Lookup | Tables</t>
  </si>
  <si>
    <t>Includes the lookup tables used within this opex model.</t>
  </si>
  <si>
    <t>Check | List</t>
  </si>
  <si>
    <t>Shows checks on the calculations within the model</t>
  </si>
  <si>
    <t>End</t>
  </si>
  <si>
    <t>Back to Index</t>
  </si>
  <si>
    <t>Key:</t>
  </si>
  <si>
    <t>Input</t>
  </si>
  <si>
    <t>External Link</t>
  </si>
  <si>
    <t>Internal Link</t>
  </si>
  <si>
    <t>Worksheet check:</t>
  </si>
  <si>
    <t>Overall Check:</t>
  </si>
  <si>
    <t>Input | General inputs</t>
  </si>
  <si>
    <t>Inputs</t>
  </si>
  <si>
    <t>Source</t>
  </si>
  <si>
    <t>Value</t>
  </si>
  <si>
    <t>NSP name</t>
  </si>
  <si>
    <t>NSP</t>
  </si>
  <si>
    <t>Basslink</t>
  </si>
  <si>
    <t>Decision stage</t>
  </si>
  <si>
    <t>AER</t>
  </si>
  <si>
    <t>Pre-submission</t>
  </si>
  <si>
    <t>Year ending</t>
  </si>
  <si>
    <t>Previous regulatory control period, first year</t>
  </si>
  <si>
    <t>Forecast base year</t>
  </si>
  <si>
    <t>Previous regulatory control period, last year</t>
  </si>
  <si>
    <t>Forecast regulatory control period, first year</t>
  </si>
  <si>
    <t>Forecast regulatory control period, last year</t>
  </si>
  <si>
    <t>Units</t>
  </si>
  <si>
    <t>$millions</t>
  </si>
  <si>
    <t>Index value, new base</t>
  </si>
  <si>
    <t>Percentage Change from Corresponding Quarter of Previous Year</t>
  </si>
  <si>
    <t>ABS</t>
  </si>
  <si>
    <t>Calculated</t>
  </si>
  <si>
    <t>Unit</t>
  </si>
  <si>
    <t>index</t>
  </si>
  <si>
    <t>Percent</t>
  </si>
  <si>
    <t>Basis</t>
  </si>
  <si>
    <t>Input | Opex allowances</t>
  </si>
  <si>
    <t>Cost category</t>
  </si>
  <si>
    <t>Notes</t>
  </si>
  <si>
    <t>Total opex</t>
  </si>
  <si>
    <t>AER PTRM for the current control period.</t>
  </si>
  <si>
    <t>Allowances related to category specific forecasts</t>
  </si>
  <si>
    <t>Debt raising costs</t>
  </si>
  <si>
    <t>These inputs should be entered as positive values.</t>
  </si>
  <si>
    <t>Total opex, categories forecast specifically</t>
  </si>
  <si>
    <t>Actual</t>
  </si>
  <si>
    <t>Estimate</t>
  </si>
  <si>
    <t>RIN</t>
  </si>
  <si>
    <t>nominal</t>
  </si>
  <si>
    <t>Annual RIN for each year and/or reset RIN.</t>
  </si>
  <si>
    <t>Categories of opex to be excluded from forecast opex (excluding category specific forecasts)</t>
  </si>
  <si>
    <t>One off costs</t>
  </si>
  <si>
    <t>These inputs should be entered as reported.</t>
  </si>
  <si>
    <t>Total opex to be trended</t>
  </si>
  <si>
    <t>Expenditure related to category specific forecasts</t>
  </si>
  <si>
    <t>Insurance</t>
  </si>
  <si>
    <t>Input | Adjustments</t>
  </si>
  <si>
    <t>Adjustment</t>
  </si>
  <si>
    <t>External</t>
  </si>
  <si>
    <t>Adjustments can be postive or negative.</t>
  </si>
  <si>
    <t>Adjustment 2</t>
  </si>
  <si>
    <t>Adjustment 3</t>
  </si>
  <si>
    <t>Adjustment 4</t>
  </si>
  <si>
    <t>Adjustment 5</t>
  </si>
  <si>
    <t>Non-recurrent efficiency gain in the base year</t>
  </si>
  <si>
    <t>Efficiency adjustment</t>
  </si>
  <si>
    <t>Per cent</t>
  </si>
  <si>
    <t>Inflation</t>
  </si>
  <si>
    <t>calculated</t>
  </si>
  <si>
    <t>CPI indexes (real to real)</t>
  </si>
  <si>
    <t>CPI indexes (nominal to real)</t>
  </si>
  <si>
    <t>Input | Forecast price change</t>
  </si>
  <si>
    <t>Forecast price change</t>
  </si>
  <si>
    <t>Labour</t>
  </si>
  <si>
    <t>external</t>
  </si>
  <si>
    <t>Non Labour</t>
  </si>
  <si>
    <t>Check</t>
  </si>
  <si>
    <t>Ok/Check</t>
  </si>
  <si>
    <t>n/a</t>
  </si>
  <si>
    <t>Weights</t>
  </si>
  <si>
    <t>Input | Forecast output growth</t>
  </si>
  <si>
    <t>Output measure</t>
  </si>
  <si>
    <t>Higher Reliabiility Standard</t>
  </si>
  <si>
    <t>number</t>
  </si>
  <si>
    <t>Growth rate</t>
  </si>
  <si>
    <t>Output weights</t>
  </si>
  <si>
    <t>No growth</t>
  </si>
  <si>
    <t>Forecast output growth</t>
  </si>
  <si>
    <t>Input | Forecast productivity</t>
  </si>
  <si>
    <t>Partial factor productivity</t>
  </si>
  <si>
    <t>Input |Step changes</t>
  </si>
  <si>
    <t>Step change</t>
  </si>
  <si>
    <t>Sub Sea Cable Repair Strategy</t>
  </si>
  <si>
    <t>Input | Category specifc forecasts</t>
  </si>
  <si>
    <t>Category specific forecasts</t>
  </si>
  <si>
    <t>Corporate Opex</t>
  </si>
  <si>
    <t>SOCI Cyber</t>
  </si>
  <si>
    <t>IT and OT</t>
  </si>
  <si>
    <t>Input | Debt raising costs</t>
  </si>
  <si>
    <t>Debt Raising Costs</t>
  </si>
  <si>
    <t>PTRM</t>
  </si>
  <si>
    <t>Calc | Estimated final year expenditure</t>
  </si>
  <si>
    <t>Reported opex, total</t>
  </si>
  <si>
    <t>Inputs|Reported opex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</si>
  <si>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</si>
  <si>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</si>
  <si>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</si>
  <si>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</si>
  <si>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</si>
  <si>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Reported base year opex</t>
  </si>
  <si>
    <t>Add back non-recurrent efficiency gains in the base year</t>
  </si>
  <si>
    <t>Add estimated change in opex between the base year and the final year</t>
  </si>
  <si>
    <t>Estimated final year opex</t>
  </si>
  <si>
    <t>Remove estimated final year opex for categories forecast specifically</t>
  </si>
  <si>
    <t>Adjusted final year opex</t>
  </si>
  <si>
    <t>Calc | Rate of change</t>
  </si>
  <si>
    <t>Rate of change</t>
  </si>
  <si>
    <t>Forecast output change, year-on-year</t>
  </si>
  <si>
    <t>Forecast output change, cumulative</t>
  </si>
  <si>
    <t>Forecast price change, year-on-year</t>
  </si>
  <si>
    <t>Forecast price change, cumulative</t>
  </si>
  <si>
    <t>Forecast productivity change, year-on-year</t>
  </si>
  <si>
    <t>Forecast productivity change, cumulative</t>
  </si>
  <si>
    <t>Forecast rate of change, year-on-year</t>
  </si>
  <si>
    <t>Forecast rate of change, cumulative</t>
  </si>
  <si>
    <t>Calc | Step changes</t>
  </si>
  <si>
    <t>Step changes</t>
  </si>
  <si>
    <t>Total step changes</t>
  </si>
  <si>
    <t>Calc | Category specific forecasts</t>
  </si>
  <si>
    <t>Total category specific forecasts</t>
  </si>
  <si>
    <t>Calc | Total forecast operating expenditure</t>
  </si>
  <si>
    <t>Total forecast opex, excluding category specific forecasts</t>
  </si>
  <si>
    <t>Total forecast opex, excluding debt raising costs</t>
  </si>
  <si>
    <t>Total forecast opex, including debt raising costs</t>
  </si>
  <si>
    <t>Inputs for Post Tax Revenue Model</t>
  </si>
  <si>
    <t>Note. The dollar base should be consistent with the post tax revenue model</t>
  </si>
  <si>
    <t>Operating expenditure</t>
  </si>
  <si>
    <t>Calc | Opex forecast</t>
  </si>
  <si>
    <t>Stage</t>
  </si>
  <si>
    <t>Ref</t>
  </si>
  <si>
    <t>Network</t>
  </si>
  <si>
    <t>Proposal</t>
  </si>
  <si>
    <t>Draft decision</t>
  </si>
  <si>
    <t>Revised proposal</t>
  </si>
  <si>
    <t>Final decision</t>
  </si>
  <si>
    <t>Unit Denominations</t>
  </si>
  <si>
    <t>Dollars</t>
  </si>
  <si>
    <t>$dollars</t>
  </si>
  <si>
    <t>Thousands</t>
  </si>
  <si>
    <t>$000</t>
  </si>
  <si>
    <t>Millions</t>
  </si>
  <si>
    <t>unit</t>
  </si>
  <si>
    <t>Number</t>
  </si>
  <si>
    <t>Factor</t>
  </si>
  <si>
    <t>factor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</si>
  <si>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</si>
  <si>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</si>
  <si>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</si>
  <si>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</si>
  <si>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</si>
  <si>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</si>
  <si>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</si>
  <si>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</si>
  <si>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</si>
  <si>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</si>
  <si>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</si>
  <si>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</si>
  <si>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</si>
  <si>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</si>
  <si>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</si>
  <si>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</si>
  <si>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</si>
  <si>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Regulatory years</t>
  </si>
  <si>
    <t>Year</t>
  </si>
  <si>
    <t>Previous period year 0</t>
  </si>
  <si>
    <t>Previous period year 1</t>
  </si>
  <si>
    <t>Previous period year 2</t>
  </si>
  <si>
    <t>Previous period year 3</t>
  </si>
  <si>
    <t>Previous period year 4</t>
  </si>
  <si>
    <t>Previous period year 5</t>
  </si>
  <si>
    <t>Previous period year 6</t>
  </si>
  <si>
    <t>Forecast period year 1</t>
  </si>
  <si>
    <t>Forecast period year 2</t>
  </si>
  <si>
    <t>Forecast period year 3</t>
  </si>
  <si>
    <t>Forecast period year 4</t>
  </si>
  <si>
    <t>Forecast period year 5</t>
  </si>
  <si>
    <t>Check List</t>
  </si>
  <si>
    <t>Sheet</t>
  </si>
  <si>
    <t>Status</t>
  </si>
  <si>
    <t>Economic Regulation Obligations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</si>
</sst>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8" formatCode="&quot;$&quot;#,##0.00;[Red]\-&quot;$&quot;#,##0.00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_-* #,##0_-;[Red]\(#,##0\)_-;_-* &quot;-&quot;??_-;_-@_-"/>
  </numFmts>
  <fonts count="10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8"/>
      <color rgb="FF9C0006"/>
      <name val="Arial"/>
      <family val="2"/>
    </font>
    <font>
      <sz val="8"/>
      <color rgb="FF3F3F76"/>
      <name val="Arial"/>
      <family val="2"/>
    </font>
    <font>
      <sz val="8"/>
      <color rgb="FFFA7D00"/>
      <name val="Arial"/>
      <family val="2"/>
    </font>
    <font>
      <sz val="11"/>
      <name val="Calibri"/>
      <family val="2"/>
      <scheme val="minor"/>
    </font>
    <font>
      <b/>
      <sz val="10"/>
      <color indexed="8"/>
      <name val="Arial"/>
      <family val="2"/>
    </font>
    <font>
      <b/>
      <sz val="12"/>
      <color theme="0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67">
    <xf numFmtId="0" fontId="0" fillId="0" borderId="0"/>
    <xf numFmtId="170" fontId="7" fillId="7" borderId="0" applyProtection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7" fillId="0" borderId="0" applyFont="0" applyFill="0" applyBorder="0" applyAlignment="0" applyProtection="0"/>
    <xf numFmtId="171" fontId="16" fillId="0" borderId="5">
      <alignment horizontal="right" vertical="center"/>
      <protection locked="0"/>
    </xf>
    <xf numFmtId="167" fontId="14" fillId="0" borderId="0" applyFont="0" applyFill="0" applyBorder="0" applyAlignment="0" applyProtection="0"/>
    <xf numFmtId="0" fontId="23" fillId="0" borderId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8" fontId="16" fillId="0" borderId="0"/>
    <xf numFmtId="178" fontId="16" fillId="0" borderId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7" fillId="0" borderId="0"/>
    <xf numFmtId="164" fontId="28" fillId="0" borderId="0" applyFont="0" applyFill="0" applyBorder="0" applyAlignment="0" applyProtection="0"/>
    <xf numFmtId="0" fontId="29" fillId="30" borderId="0" applyNumberFormat="0" applyBorder="0" applyAlignment="0" applyProtection="0"/>
    <xf numFmtId="0" fontId="30" fillId="0" borderId="0" applyNumberFormat="0" applyFill="0" applyBorder="0" applyAlignment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14" borderId="11" applyNumberFormat="0" applyAlignment="0" applyProtection="0"/>
    <xf numFmtId="0" fontId="33" fillId="31" borderId="12" applyNumberFormat="0" applyAlignment="0" applyProtection="0"/>
    <xf numFmtId="165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180" fontId="2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39" fillId="0" borderId="0"/>
    <xf numFmtId="0" fontId="40" fillId="0" borderId="0"/>
    <xf numFmtId="0" fontId="41" fillId="35" borderId="0" applyNumberFormat="0" applyBorder="0" applyAlignment="0" applyProtection="0"/>
    <xf numFmtId="0" fontId="25" fillId="0" borderId="0" applyFill="0" applyBorder="0">
      <alignment vertical="center"/>
    </xf>
    <xf numFmtId="0" fontId="42" fillId="0" borderId="13" applyNumberFormat="0" applyFill="0" applyAlignment="0" applyProtection="0"/>
    <xf numFmtId="0" fontId="25" fillId="0" borderId="0" applyFill="0" applyBorder="0">
      <alignment vertical="center"/>
    </xf>
    <xf numFmtId="0" fontId="43" fillId="0" borderId="0" applyFill="0" applyBorder="0">
      <alignment vertical="center"/>
    </xf>
    <xf numFmtId="0" fontId="44" fillId="0" borderId="14" applyNumberFormat="0" applyFill="0" applyAlignment="0" applyProtection="0"/>
    <xf numFmtId="0" fontId="43" fillId="0" borderId="0" applyFill="0" applyBorder="0">
      <alignment vertical="center"/>
    </xf>
    <xf numFmtId="0" fontId="13" fillId="0" borderId="0" applyFill="0" applyBorder="0">
      <alignment vertical="center"/>
    </xf>
    <xf numFmtId="0" fontId="45" fillId="0" borderId="15" applyNumberFormat="0" applyFill="0" applyAlignment="0" applyProtection="0"/>
    <xf numFmtId="0" fontId="13" fillId="0" borderId="0" applyFill="0" applyBorder="0">
      <alignment vertical="center"/>
    </xf>
    <xf numFmtId="0" fontId="16" fillId="0" borderId="0" applyFill="0" applyBorder="0">
      <alignment vertical="center"/>
    </xf>
    <xf numFmtId="0" fontId="45" fillId="0" borderId="0" applyNumberFormat="0" applyFill="0" applyBorder="0" applyAlignment="0" applyProtection="0"/>
    <xf numFmtId="0" fontId="16" fillId="0" borderId="0" applyFill="0" applyBorder="0">
      <alignment vertical="center"/>
    </xf>
    <xf numFmtId="182" fontId="4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Fill="0" applyBorder="0">
      <alignment horizontal="center" vertical="center"/>
      <protection locked="0"/>
    </xf>
    <xf numFmtId="0" fontId="49" fillId="0" borderId="0" applyFill="0" applyBorder="0">
      <alignment horizontal="left" vertical="center"/>
      <protection locked="0"/>
    </xf>
    <xf numFmtId="0" fontId="50" fillId="12" borderId="11" applyNumberFormat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83" fontId="23" fillId="6" borderId="0" applyFont="0" applyBorder="0">
      <alignment horizontal="right"/>
      <protection locked="0"/>
    </xf>
    <xf numFmtId="183" fontId="23" fillId="6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16" fillId="4" borderId="0"/>
    <xf numFmtId="0" fontId="51" fillId="0" borderId="16" applyNumberFormat="0" applyFill="0" applyAlignment="0" applyProtection="0"/>
    <xf numFmtId="184" fontId="52" fillId="0" borderId="0"/>
    <xf numFmtId="0" fontId="53" fillId="0" borderId="0" applyFill="0" applyBorder="0">
      <alignment horizontal="left" vertical="center"/>
    </xf>
    <xf numFmtId="0" fontId="54" fillId="15" borderId="0" applyNumberFormat="0" applyBorder="0" applyAlignment="0" applyProtection="0"/>
    <xf numFmtId="185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8" fillId="0" borderId="0"/>
    <xf numFmtId="0" fontId="23" fillId="3" borderId="0"/>
    <xf numFmtId="0" fontId="56" fillId="0" borderId="0"/>
    <xf numFmtId="0" fontId="23" fillId="0" borderId="0"/>
    <xf numFmtId="0" fontId="23" fillId="0" borderId="0"/>
    <xf numFmtId="0" fontId="23" fillId="13" borderId="17" applyNumberFormat="0" applyFont="0" applyAlignment="0" applyProtection="0"/>
    <xf numFmtId="0" fontId="57" fillId="14" borderId="18" applyNumberFormat="0" applyAlignment="0" applyProtection="0"/>
    <xf numFmtId="186" fontId="23" fillId="0" borderId="0" applyFill="0" applyBorder="0"/>
    <xf numFmtId="186" fontId="23" fillId="0" borderId="0" applyFill="0" applyBorder="0"/>
    <xf numFmtId="186" fontId="23" fillId="0" borderId="0" applyFill="0" applyBorder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58" fillId="0" borderId="0"/>
    <xf numFmtId="0" fontId="13" fillId="0" borderId="0" applyFill="0" applyBorder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187" fontId="59" fillId="0" borderId="19"/>
    <xf numFmtId="0" fontId="60" fillId="0" borderId="20">
      <alignment horizontal="center"/>
    </xf>
    <xf numFmtId="3" fontId="34" fillId="0" borderId="0" applyFont="0" applyFill="0" applyBorder="0" applyAlignment="0" applyProtection="0"/>
    <xf numFmtId="0" fontId="34" fillId="37" borderId="0" applyNumberFormat="0" applyFont="0" applyBorder="0" applyAlignment="0" applyProtection="0"/>
    <xf numFmtId="188" fontId="23" fillId="0" borderId="0"/>
    <xf numFmtId="188" fontId="23" fillId="0" borderId="0"/>
    <xf numFmtId="188" fontId="23" fillId="0" borderId="0"/>
    <xf numFmtId="189" fontId="16" fillId="0" borderId="0" applyFill="0" applyBorder="0">
      <alignment horizontal="right" vertical="center"/>
    </xf>
    <xf numFmtId="190" fontId="16" fillId="0" borderId="0" applyFill="0" applyBorder="0">
      <alignment horizontal="right" vertical="center"/>
    </xf>
    <xf numFmtId="191" fontId="16" fillId="0" borderId="0" applyFill="0" applyBorder="0">
      <alignment horizontal="right" vertical="center"/>
    </xf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6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3" fillId="0" borderId="0"/>
    <xf numFmtId="0" fontId="62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63" fillId="9" borderId="7" applyBorder="0" applyProtection="0">
      <alignment horizontal="centerContinuous" vertical="center"/>
    </xf>
    <xf numFmtId="0" fontId="64" fillId="0" borderId="0" applyBorder="0" applyProtection="0">
      <alignment vertical="center"/>
    </xf>
    <xf numFmtId="0" fontId="65" fillId="0" borderId="0">
      <alignment horizontal="left"/>
    </xf>
    <xf numFmtId="0" fontId="65" fillId="0" borderId="10" applyFill="0" applyBorder="0" applyProtection="0">
      <alignment horizontal="left" vertical="top"/>
    </xf>
    <xf numFmtId="49" fontId="23" fillId="0" borderId="0" applyFont="0" applyFill="0" applyBorder="0" applyAlignment="0" applyProtection="0"/>
    <xf numFmtId="0" fontId="66" fillId="0" borderId="0"/>
    <xf numFmtId="49" fontId="23" fillId="0" borderId="0" applyFont="0" applyFill="0" applyBorder="0" applyAlignment="0" applyProtection="0"/>
    <xf numFmtId="0" fontId="67" fillId="0" borderId="0"/>
    <xf numFmtId="0" fontId="67" fillId="0" borderId="0"/>
    <xf numFmtId="0" fontId="66" fillId="0" borderId="0"/>
    <xf numFmtId="184" fontId="68" fillId="0" borderId="0"/>
    <xf numFmtId="0" fontId="61" fillId="0" borderId="0" applyNumberFormat="0" applyFill="0" applyBorder="0" applyAlignment="0" applyProtection="0"/>
    <xf numFmtId="0" fontId="69" fillId="0" borderId="0" applyFill="0" applyBorder="0">
      <alignment horizontal="left" vertical="center"/>
      <protection locked="0"/>
    </xf>
    <xf numFmtId="0" fontId="66" fillId="0" borderId="0"/>
    <xf numFmtId="0" fontId="70" fillId="0" borderId="0" applyFill="0" applyBorder="0">
      <alignment horizontal="left" vertical="center"/>
      <protection locked="0"/>
    </xf>
    <xf numFmtId="0" fontId="37" fillId="0" borderId="21" applyNumberFormat="0" applyFill="0" applyAlignment="0" applyProtection="0"/>
    <xf numFmtId="0" fontId="71" fillId="0" borderId="0" applyNumberFormat="0" applyFill="0" applyBorder="0" applyAlignment="0" applyProtection="0"/>
    <xf numFmtId="192" fontId="23" fillId="0" borderId="7" applyBorder="0" applyProtection="0">
      <alignment horizontal="right"/>
    </xf>
    <xf numFmtId="192" fontId="23" fillId="0" borderId="7" applyBorder="0" applyProtection="0">
      <alignment horizontal="right"/>
    </xf>
    <xf numFmtId="192" fontId="23" fillId="0" borderId="7" applyBorder="0" applyProtection="0">
      <alignment horizontal="right"/>
    </xf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7" fillId="42" borderId="0"/>
    <xf numFmtId="202" fontId="78" fillId="0" borderId="22">
      <alignment horizontal="center"/>
    </xf>
    <xf numFmtId="0" fontId="79" fillId="43" borderId="6">
      <alignment horizontal="center" vertical="center"/>
    </xf>
    <xf numFmtId="0" fontId="23" fillId="44" borderId="11"/>
    <xf numFmtId="0" fontId="80" fillId="0" borderId="0" applyFill="0" applyBorder="0"/>
    <xf numFmtId="0" fontId="81" fillId="0" borderId="0" applyNumberFormat="0" applyFill="0"/>
    <xf numFmtId="0" fontId="82" fillId="0" borderId="0" applyFill="0"/>
    <xf numFmtId="0" fontId="83" fillId="0" borderId="0" applyFill="0"/>
    <xf numFmtId="0" fontId="84" fillId="0" borderId="0" applyFill="0"/>
    <xf numFmtId="0" fontId="77" fillId="45" borderId="0"/>
    <xf numFmtId="0" fontId="23" fillId="38" borderId="23" applyNumberFormat="0" applyFont="0" applyAlignment="0"/>
    <xf numFmtId="0" fontId="85" fillId="7" borderId="24" applyNumberFormat="0"/>
    <xf numFmtId="0" fontId="86" fillId="46" borderId="0"/>
    <xf numFmtId="0" fontId="87" fillId="46" borderId="0" applyNumberFormat="0"/>
    <xf numFmtId="0" fontId="88" fillId="46" borderId="0"/>
    <xf numFmtId="0" fontId="89" fillId="47" borderId="6" applyNumberFormat="0">
      <alignment horizontal="center" vertical="center"/>
    </xf>
    <xf numFmtId="0" fontId="90" fillId="48" borderId="11" applyNumberFormat="0" applyAlignment="0">
      <alignment horizontal="right"/>
    </xf>
    <xf numFmtId="0" fontId="25" fillId="38" borderId="23" applyNumberFormat="0" applyAlignment="0"/>
    <xf numFmtId="0" fontId="78" fillId="0" borderId="0" applyNumberFormat="0" applyFill="0" applyBorder="0"/>
    <xf numFmtId="0" fontId="91" fillId="49" borderId="23" applyNumberFormat="0">
      <protection locked="0"/>
    </xf>
    <xf numFmtId="0" fontId="4" fillId="0" borderId="0"/>
    <xf numFmtId="0" fontId="93" fillId="50" borderId="27">
      <alignment vertical="center"/>
    </xf>
    <xf numFmtId="167" fontId="14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4" fillId="0" borderId="0"/>
    <xf numFmtId="9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0" fontId="3" fillId="0" borderId="0"/>
    <xf numFmtId="167" fontId="94" fillId="0" borderId="0" applyFont="0" applyFill="0" applyBorder="0" applyAlignment="0" applyProtection="0"/>
    <xf numFmtId="0" fontId="94" fillId="0" borderId="0"/>
    <xf numFmtId="207" fontId="23" fillId="0" borderId="0" applyFill="0" applyBorder="0">
      <alignment vertical="center"/>
    </xf>
    <xf numFmtId="0" fontId="95" fillId="0" borderId="0"/>
    <xf numFmtId="0" fontId="95" fillId="0" borderId="0"/>
    <xf numFmtId="167" fontId="14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167" fontId="14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94" fillId="0" borderId="0" applyFont="0" applyFill="0" applyBorder="0" applyAlignment="0" applyProtection="0"/>
    <xf numFmtId="0" fontId="2" fillId="0" borderId="0"/>
    <xf numFmtId="167" fontId="9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7" fontId="14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1" fillId="0" borderId="0"/>
    <xf numFmtId="0" fontId="1" fillId="0" borderId="0"/>
    <xf numFmtId="167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" fillId="0" borderId="0"/>
    <xf numFmtId="167" fontId="14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4" fillId="0" borderId="0" applyFont="0" applyFill="0" applyBorder="0" applyAlignment="0" applyProtection="0"/>
    <xf numFmtId="0" fontId="1" fillId="0" borderId="0"/>
    <xf numFmtId="167" fontId="9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96" fillId="52" borderId="0" applyNumberFormat="0" applyBorder="0" applyAlignment="0" applyProtection="0"/>
    <xf numFmtId="0" fontId="97" fillId="51" borderId="29" applyNumberFormat="0" applyProtection="0">
      <alignment horizontal="left" vertical="center"/>
    </xf>
    <xf numFmtId="43" fontId="97" fillId="51" borderId="29" applyAlignment="0" applyProtection="0"/>
    <xf numFmtId="0" fontId="98" fillId="40" borderId="29" applyNumberFormat="0" applyAlignment="0" applyProtection="0"/>
    <xf numFmtId="0" fontId="101" fillId="50" borderId="0">
      <alignment vertical="center"/>
      <protection locked="0"/>
    </xf>
  </cellStyleXfs>
  <cellXfs count="172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6" fillId="2" borderId="1" xfId="0" applyFont="1" applyFill="1" applyBorder="1"/>
    <xf numFmtId="168" fontId="7" fillId="3" borderId="0" xfId="0" applyNumberFormat="1" applyFont="1" applyFill="1"/>
    <xf numFmtId="168" fontId="8" fillId="0" borderId="0" xfId="0" applyNumberFormat="1" applyFont="1"/>
    <xf numFmtId="168" fontId="7" fillId="0" borderId="0" xfId="0" applyNumberFormat="1" applyFont="1"/>
    <xf numFmtId="168" fontId="9" fillId="0" borderId="0" xfId="0" applyNumberFormat="1" applyFont="1"/>
    <xf numFmtId="168" fontId="10" fillId="0" borderId="0" xfId="0" applyNumberFormat="1" applyFont="1"/>
    <xf numFmtId="0" fontId="7" fillId="5" borderId="0" xfId="0" applyFont="1" applyFill="1"/>
    <xf numFmtId="0" fontId="7" fillId="6" borderId="0" xfId="0" applyFont="1" applyFill="1"/>
    <xf numFmtId="168" fontId="13" fillId="0" borderId="0" xfId="0" applyNumberFormat="1" applyFont="1"/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 indent="1"/>
    </xf>
    <xf numFmtId="168" fontId="8" fillId="0" borderId="0" xfId="0" applyNumberFormat="1" applyFont="1" applyAlignment="1">
      <alignment horizontal="center"/>
    </xf>
    <xf numFmtId="168" fontId="0" fillId="0" borderId="0" xfId="0" applyNumberFormat="1"/>
    <xf numFmtId="167" fontId="13" fillId="0" borderId="6" xfId="0" applyNumberFormat="1" applyFont="1" applyBorder="1" applyAlignment="1">
      <alignment horizontal="center"/>
    </xf>
    <xf numFmtId="168" fontId="18" fillId="0" borderId="0" xfId="3" applyNumberFormat="1" applyFont="1" applyAlignment="1" applyProtection="1"/>
    <xf numFmtId="168" fontId="8" fillId="3" borderId="0" xfId="0" applyNumberFormat="1" applyFont="1" applyFill="1"/>
    <xf numFmtId="168" fontId="19" fillId="0" borderId="0" xfId="0" applyNumberFormat="1" applyFont="1" applyAlignment="1">
      <alignment horizontal="center"/>
    </xf>
    <xf numFmtId="168" fontId="8" fillId="3" borderId="0" xfId="0" applyNumberFormat="1" applyFont="1" applyFill="1" applyAlignment="1">
      <alignment horizontal="center"/>
    </xf>
    <xf numFmtId="173" fontId="16" fillId="0" borderId="0" xfId="5" applyNumberFormat="1" applyBorder="1" applyAlignment="1" applyProtection="1">
      <alignment horizontal="center" vertical="center"/>
    </xf>
    <xf numFmtId="174" fontId="13" fillId="0" borderId="0" xfId="5" applyNumberFormat="1" applyFont="1" applyBorder="1" applyAlignment="1" applyProtection="1">
      <alignment horizontal="center" vertical="center"/>
    </xf>
    <xf numFmtId="174" fontId="21" fillId="0" borderId="0" xfId="5" applyNumberFormat="1" applyFont="1" applyBorder="1" applyAlignment="1" applyProtection="1">
      <alignment horizontal="center" vertical="center"/>
    </xf>
    <xf numFmtId="175" fontId="7" fillId="0" borderId="0" xfId="0" applyNumberFormat="1" applyFont="1"/>
    <xf numFmtId="177" fontId="16" fillId="0" borderId="0" xfId="5" applyNumberFormat="1" applyBorder="1" applyAlignment="1" applyProtection="1">
      <alignment horizontal="center" vertical="center"/>
    </xf>
    <xf numFmtId="168" fontId="18" fillId="0" borderId="0" xfId="3" applyNumberFormat="1" applyFont="1" applyAlignment="1" applyProtection="1">
      <alignment horizontal="center"/>
    </xf>
    <xf numFmtId="0" fontId="72" fillId="38" borderId="0" xfId="0" applyFont="1" applyFill="1" applyAlignment="1">
      <alignment horizontal="left" vertical="center"/>
    </xf>
    <xf numFmtId="0" fontId="72" fillId="38" borderId="0" xfId="0" applyFont="1" applyFill="1" applyAlignment="1">
      <alignment horizontal="left" indent="9"/>
    </xf>
    <xf numFmtId="0" fontId="73" fillId="38" borderId="0" xfId="0" applyFont="1" applyFill="1"/>
    <xf numFmtId="0" fontId="0" fillId="38" borderId="0" xfId="0" applyFill="1"/>
    <xf numFmtId="0" fontId="0" fillId="38" borderId="0" xfId="0" applyFill="1" applyAlignment="1">
      <alignment horizontal="right"/>
    </xf>
    <xf numFmtId="167" fontId="24" fillId="38" borderId="0" xfId="0" applyNumberFormat="1" applyFont="1" applyFill="1" applyAlignment="1">
      <alignment horizontal="center"/>
    </xf>
    <xf numFmtId="0" fontId="0" fillId="38" borderId="1" xfId="0" applyFill="1" applyBorder="1"/>
    <xf numFmtId="0" fontId="0" fillId="39" borderId="4" xfId="0" applyFill="1" applyBorder="1"/>
    <xf numFmtId="0" fontId="25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6" fontId="25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4" fillId="39" borderId="4" xfId="0" applyFont="1" applyFill="1" applyBorder="1"/>
    <xf numFmtId="169" fontId="7" fillId="41" borderId="3" xfId="0" applyNumberFormat="1" applyFont="1" applyFill="1" applyBorder="1" applyAlignment="1" applyProtection="1">
      <alignment horizontal="center"/>
      <protection locked="0"/>
    </xf>
    <xf numFmtId="0" fontId="76" fillId="39" borderId="4" xfId="0" applyFont="1" applyFill="1" applyBorder="1"/>
    <xf numFmtId="0" fontId="74" fillId="38" borderId="0" xfId="0" applyFont="1" applyFill="1" applyAlignment="1">
      <alignment horizontal="left"/>
    </xf>
    <xf numFmtId="0" fontId="74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7" fillId="40" borderId="0" xfId="0" applyFont="1" applyFill="1" applyAlignment="1">
      <alignment horizontal="center"/>
    </xf>
    <xf numFmtId="10" fontId="7" fillId="41" borderId="3" xfId="2" applyNumberFormat="1" applyFont="1" applyFill="1" applyBorder="1" applyAlignment="1" applyProtection="1">
      <alignment horizontal="center"/>
      <protection locked="0"/>
    </xf>
    <xf numFmtId="49" fontId="7" fillId="41" borderId="3" xfId="0" applyNumberFormat="1" applyFont="1" applyFill="1" applyBorder="1" applyAlignment="1" applyProtection="1">
      <alignment horizontal="left" indent="1"/>
      <protection locked="0"/>
    </xf>
    <xf numFmtId="168" fontId="19" fillId="0" borderId="0" xfId="0" applyNumberFormat="1" applyFont="1" applyAlignment="1">
      <alignment horizontal="center" wrapText="1"/>
    </xf>
    <xf numFmtId="193" fontId="7" fillId="41" borderId="3" xfId="0" applyNumberFormat="1" applyFont="1" applyFill="1" applyBorder="1" applyAlignment="1" applyProtection="1">
      <alignment horizontal="center"/>
      <protection locked="0"/>
    </xf>
    <xf numFmtId="197" fontId="7" fillId="0" borderId="0" xfId="0" applyNumberFormat="1" applyFont="1" applyAlignment="1">
      <alignment horizontal="left"/>
    </xf>
    <xf numFmtId="195" fontId="7" fillId="0" borderId="0" xfId="0" applyNumberFormat="1" applyFont="1"/>
    <xf numFmtId="168" fontId="8" fillId="0" borderId="0" xfId="0" applyNumberFormat="1" applyFont="1" applyAlignment="1">
      <alignment horizontal="center" wrapText="1"/>
    </xf>
    <xf numFmtId="168" fontId="20" fillId="40" borderId="9" xfId="0" applyNumberFormat="1" applyFont="1" applyFill="1" applyBorder="1" applyAlignment="1" applyProtection="1">
      <alignment horizontal="center"/>
      <protection locked="0"/>
    </xf>
    <xf numFmtId="0" fontId="24" fillId="38" borderId="2" xfId="0" applyFont="1" applyFill="1" applyBorder="1"/>
    <xf numFmtId="0" fontId="75" fillId="38" borderId="2" xfId="0" applyFont="1" applyFill="1" applyBorder="1"/>
    <xf numFmtId="0" fontId="75" fillId="39" borderId="4" xfId="0" applyFont="1" applyFill="1" applyBorder="1"/>
    <xf numFmtId="0" fontId="75" fillId="39" borderId="4" xfId="0" applyFont="1" applyFill="1" applyBorder="1" applyAlignment="1">
      <alignment horizontal="center"/>
    </xf>
    <xf numFmtId="0" fontId="20" fillId="39" borderId="4" xfId="0" applyFont="1" applyFill="1" applyBorder="1" applyAlignment="1">
      <alignment horizontal="center" vertical="center"/>
    </xf>
    <xf numFmtId="0" fontId="20" fillId="39" borderId="4" xfId="0" applyFont="1" applyFill="1" applyBorder="1" applyAlignment="1">
      <alignment vertical="center"/>
    </xf>
    <xf numFmtId="0" fontId="75" fillId="39" borderId="4" xfId="0" applyFont="1" applyFill="1" applyBorder="1" applyAlignment="1">
      <alignment wrapText="1"/>
    </xf>
    <xf numFmtId="166" fontId="20" fillId="39" borderId="4" xfId="0" applyNumberFormat="1" applyFont="1" applyFill="1" applyBorder="1" applyAlignment="1">
      <alignment horizontal="center" wrapText="1"/>
    </xf>
    <xf numFmtId="0" fontId="75" fillId="3" borderId="0" xfId="0" applyFont="1" applyFill="1" applyAlignment="1">
      <alignment wrapText="1"/>
    </xf>
    <xf numFmtId="0" fontId="75" fillId="3" borderId="0" xfId="0" applyFont="1" applyFill="1"/>
    <xf numFmtId="0" fontId="75" fillId="0" borderId="0" xfId="0" applyFont="1"/>
    <xf numFmtId="168" fontId="7" fillId="0" borderId="0" xfId="0" applyNumberFormat="1" applyFont="1" applyAlignment="1">
      <alignment horizontal="center"/>
    </xf>
    <xf numFmtId="168" fontId="18" fillId="0" borderId="0" xfId="3" applyNumberFormat="1" applyFont="1" applyFill="1" applyAlignment="1" applyProtection="1">
      <alignment horizontal="center"/>
    </xf>
    <xf numFmtId="198" fontId="7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center"/>
    </xf>
    <xf numFmtId="168" fontId="9" fillId="0" borderId="8" xfId="0" applyNumberFormat="1" applyFont="1" applyBorder="1" applyAlignment="1">
      <alignment horizontal="left" indent="1"/>
    </xf>
    <xf numFmtId="168" fontId="8" fillId="0" borderId="8" xfId="0" applyNumberFormat="1" applyFont="1" applyBorder="1" applyAlignment="1">
      <alignment horizontal="center"/>
    </xf>
    <xf numFmtId="198" fontId="9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left"/>
    </xf>
    <xf numFmtId="10" fontId="7" fillId="0" borderId="0" xfId="2" applyNumberFormat="1" applyFont="1" applyAlignment="1" applyProtection="1">
      <alignment horizontal="center"/>
    </xf>
    <xf numFmtId="168" fontId="9" fillId="0" borderId="8" xfId="0" applyNumberFormat="1" applyFont="1" applyBorder="1"/>
    <xf numFmtId="176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 indent="2"/>
    </xf>
    <xf numFmtId="168" fontId="19" fillId="0" borderId="8" xfId="0" applyNumberFormat="1" applyFont="1" applyBorder="1" applyAlignment="1">
      <alignment horizontal="center"/>
    </xf>
    <xf numFmtId="168" fontId="9" fillId="0" borderId="0" xfId="0" applyNumberFormat="1" applyFont="1" applyAlignment="1">
      <alignment horizontal="left" indent="1"/>
    </xf>
    <xf numFmtId="195" fontId="9" fillId="0" borderId="0" xfId="0" applyNumberFormat="1" applyFont="1" applyAlignment="1">
      <alignment horizontal="center"/>
    </xf>
    <xf numFmtId="201" fontId="7" fillId="0" borderId="0" xfId="0" applyNumberFormat="1" applyFont="1" applyAlignment="1">
      <alignment horizontal="center"/>
    </xf>
    <xf numFmtId="201" fontId="9" fillId="0" borderId="0" xfId="0" applyNumberFormat="1" applyFont="1" applyAlignment="1">
      <alignment horizontal="center"/>
    </xf>
    <xf numFmtId="199" fontId="13" fillId="0" borderId="4" xfId="5" applyNumberFormat="1" applyFont="1" applyBorder="1" applyAlignment="1" applyProtection="1">
      <alignment horizontal="center" vertical="center"/>
    </xf>
    <xf numFmtId="167" fontId="13" fillId="0" borderId="3" xfId="0" applyNumberFormat="1" applyFont="1" applyBorder="1" applyAlignment="1">
      <alignment horizontal="center"/>
    </xf>
    <xf numFmtId="167" fontId="13" fillId="0" borderId="0" xfId="0" applyNumberFormat="1" applyFont="1" applyAlignment="1">
      <alignment horizontal="center"/>
    </xf>
    <xf numFmtId="0" fontId="11" fillId="38" borderId="2" xfId="0" applyFont="1" applyFill="1" applyBorder="1"/>
    <xf numFmtId="0" fontId="12" fillId="38" borderId="2" xfId="0" applyFont="1" applyFill="1" applyBorder="1" applyAlignment="1">
      <alignment horizontal="center"/>
    </xf>
    <xf numFmtId="0" fontId="12" fillId="38" borderId="2" xfId="0" applyFont="1" applyFill="1" applyBorder="1"/>
    <xf numFmtId="168" fontId="9" fillId="0" borderId="7" xfId="0" applyNumberFormat="1" applyFont="1" applyBorder="1"/>
    <xf numFmtId="168" fontId="7" fillId="0" borderId="7" xfId="0" applyNumberFormat="1" applyFont="1" applyBorder="1"/>
    <xf numFmtId="168" fontId="9" fillId="0" borderId="4" xfId="0" applyNumberFormat="1" applyFont="1" applyBorder="1" applyAlignment="1">
      <alignment horizontal="left"/>
    </xf>
    <xf numFmtId="168" fontId="8" fillId="0" borderId="4" xfId="0" applyNumberFormat="1" applyFont="1" applyBorder="1" applyAlignment="1">
      <alignment horizontal="center"/>
    </xf>
    <xf numFmtId="167" fontId="7" fillId="0" borderId="0" xfId="0" applyNumberFormat="1" applyFont="1"/>
    <xf numFmtId="10" fontId="7" fillId="0" borderId="0" xfId="2" applyNumberFormat="1" applyFont="1" applyBorder="1" applyAlignment="1" applyProtection="1">
      <alignment horizontal="center"/>
    </xf>
    <xf numFmtId="168" fontId="8" fillId="0" borderId="0" xfId="6" applyNumberFormat="1" applyFont="1" applyAlignment="1" applyProtection="1">
      <alignment horizontal="center"/>
    </xf>
    <xf numFmtId="172" fontId="16" fillId="0" borderId="0" xfId="2" applyNumberFormat="1" applyFont="1" applyFill="1" applyBorder="1" applyAlignment="1" applyProtection="1">
      <alignment horizontal="center" vertical="center"/>
    </xf>
    <xf numFmtId="176" fontId="7" fillId="0" borderId="0" xfId="0" applyNumberFormat="1" applyFont="1"/>
    <xf numFmtId="168" fontId="7" fillId="0" borderId="0" xfId="0" applyNumberFormat="1" applyFont="1" applyAlignment="1">
      <alignment horizontal="left"/>
    </xf>
    <xf numFmtId="194" fontId="7" fillId="8" borderId="3" xfId="0" applyNumberFormat="1" applyFont="1" applyFill="1" applyBorder="1" applyAlignment="1">
      <alignment horizontal="left" indent="1"/>
    </xf>
    <xf numFmtId="200" fontId="9" fillId="0" borderId="0" xfId="0" applyNumberFormat="1" applyFont="1" applyAlignment="1">
      <alignment horizontal="center"/>
    </xf>
    <xf numFmtId="168" fontId="7" fillId="0" borderId="0" xfId="0" applyNumberFormat="1" applyFont="1" applyProtection="1">
      <protection locked="0"/>
    </xf>
    <xf numFmtId="203" fontId="7" fillId="41" borderId="3" xfId="0" applyNumberFormat="1" applyFont="1" applyFill="1" applyBorder="1" applyAlignment="1" applyProtection="1">
      <alignment horizontal="center"/>
      <protection locked="0"/>
    </xf>
    <xf numFmtId="1" fontId="7" fillId="41" borderId="3" xfId="0" applyNumberFormat="1" applyFont="1" applyFill="1" applyBorder="1" applyAlignment="1" applyProtection="1">
      <alignment horizontal="center"/>
      <protection locked="0"/>
    </xf>
    <xf numFmtId="204" fontId="75" fillId="39" borderId="4" xfId="0" applyNumberFormat="1" applyFont="1" applyFill="1" applyBorder="1" applyAlignment="1">
      <alignment horizontal="center" wrapText="1"/>
    </xf>
    <xf numFmtId="204" fontId="92" fillId="38" borderId="2" xfId="0" applyNumberFormat="1" applyFont="1" applyFill="1" applyBorder="1" applyAlignment="1">
      <alignment horizontal="center"/>
    </xf>
    <xf numFmtId="204" fontId="75" fillId="38" borderId="2" xfId="0" applyNumberFormat="1" applyFont="1" applyFill="1" applyBorder="1" applyAlignment="1">
      <alignment horizontal="left"/>
    </xf>
    <xf numFmtId="204" fontId="9" fillId="0" borderId="7" xfId="0" applyNumberFormat="1" applyFont="1" applyBorder="1" applyAlignment="1">
      <alignment horizontal="center"/>
    </xf>
    <xf numFmtId="204" fontId="7" fillId="0" borderId="0" xfId="0" applyNumberFormat="1" applyFont="1" applyAlignment="1">
      <alignment horizontal="left" indent="1"/>
    </xf>
    <xf numFmtId="204" fontId="8" fillId="0" borderId="0" xfId="0" applyNumberFormat="1" applyFont="1" applyAlignment="1">
      <alignment horizontal="center"/>
    </xf>
    <xf numFmtId="204" fontId="9" fillId="0" borderId="0" xfId="0" applyNumberFormat="1" applyFont="1" applyAlignment="1">
      <alignment horizontal="center"/>
    </xf>
    <xf numFmtId="2" fontId="7" fillId="0" borderId="0" xfId="0" applyNumberFormat="1" applyFont="1" applyAlignment="1" applyProtection="1">
      <alignment horizontal="center"/>
      <protection locked="0"/>
    </xf>
    <xf numFmtId="168" fontId="15" fillId="0" borderId="0" xfId="3" applyNumberFormat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  <protection locked="0"/>
    </xf>
    <xf numFmtId="196" fontId="7" fillId="0" borderId="0" xfId="2" applyNumberFormat="1" applyFont="1" applyFill="1" applyBorder="1" applyAlignment="1" applyProtection="1">
      <alignment horizontal="center"/>
      <protection locked="0"/>
    </xf>
    <xf numFmtId="0" fontId="75" fillId="38" borderId="25" xfId="0" applyFont="1" applyFill="1" applyBorder="1"/>
    <xf numFmtId="204" fontId="19" fillId="0" borderId="0" xfId="0" applyNumberFormat="1" applyFont="1" applyAlignment="1">
      <alignment horizontal="center"/>
    </xf>
    <xf numFmtId="168" fontId="9" fillId="0" borderId="7" xfId="0" applyNumberFormat="1" applyFont="1" applyBorder="1" applyAlignment="1">
      <alignment horizontal="left" indent="1"/>
    </xf>
    <xf numFmtId="204" fontId="8" fillId="0" borderId="7" xfId="0" applyNumberFormat="1" applyFont="1" applyBorder="1" applyAlignment="1">
      <alignment horizontal="center"/>
    </xf>
    <xf numFmtId="205" fontId="7" fillId="0" borderId="0" xfId="2" applyNumberFormat="1" applyFont="1" applyFill="1" applyBorder="1" applyAlignment="1" applyProtection="1">
      <alignment horizontal="center"/>
    </xf>
    <xf numFmtId="0" fontId="15" fillId="38" borderId="0" xfId="3" applyFill="1" applyBorder="1" applyAlignment="1">
      <alignment horizontal="right"/>
    </xf>
    <xf numFmtId="0" fontId="75" fillId="38" borderId="2" xfId="0" applyFont="1" applyFill="1" applyBorder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204" fontId="7" fillId="0" borderId="3" xfId="0" applyNumberFormat="1" applyFont="1" applyBorder="1" applyAlignment="1" applyProtection="1">
      <alignment horizontal="center"/>
      <protection locked="0"/>
    </xf>
    <xf numFmtId="2" fontId="13" fillId="0" borderId="4" xfId="5" applyNumberFormat="1" applyFont="1" applyBorder="1" applyAlignment="1" applyProtection="1">
      <alignment horizontal="center" vertical="center"/>
    </xf>
    <xf numFmtId="0" fontId="15" fillId="38" borderId="0" xfId="3" applyFill="1" applyBorder="1" applyAlignment="1" applyProtection="1">
      <alignment horizontal="right"/>
    </xf>
    <xf numFmtId="195" fontId="7" fillId="0" borderId="0" xfId="0" applyNumberFormat="1" applyFont="1" applyProtection="1">
      <protection locked="0"/>
    </xf>
    <xf numFmtId="195" fontId="9" fillId="0" borderId="0" xfId="0" applyNumberFormat="1" applyFont="1" applyProtection="1">
      <protection locked="0"/>
    </xf>
    <xf numFmtId="10" fontId="7" fillId="0" borderId="0" xfId="2" applyNumberFormat="1" applyFont="1" applyFill="1" applyBorder="1" applyAlignment="1" applyProtection="1">
      <alignment horizontal="center"/>
    </xf>
    <xf numFmtId="182" fontId="7" fillId="0" borderId="0" xfId="2" applyNumberFormat="1" applyFont="1" applyAlignment="1" applyProtection="1">
      <alignment horizontal="center"/>
      <protection locked="0"/>
    </xf>
    <xf numFmtId="174" fontId="13" fillId="0" borderId="0" xfId="5" applyNumberFormat="1" applyFont="1" applyBorder="1" applyAlignment="1">
      <alignment horizontal="center" vertical="center"/>
      <protection locked="0"/>
    </xf>
    <xf numFmtId="168" fontId="16" fillId="0" borderId="0" xfId="5" applyNumberFormat="1" applyBorder="1" applyAlignment="1">
      <alignment horizontal="center" vertical="center"/>
      <protection locked="0"/>
    </xf>
    <xf numFmtId="168" fontId="7" fillId="0" borderId="0" xfId="0" applyNumberFormat="1" applyFont="1" applyAlignment="1" applyProtection="1">
      <alignment horizontal="center"/>
      <protection locked="0"/>
    </xf>
    <xf numFmtId="204" fontId="7" fillId="0" borderId="0" xfId="2" applyNumberFormat="1" applyFont="1" applyFill="1" applyBorder="1" applyAlignment="1" applyProtection="1">
      <alignment horizontal="center"/>
      <protection locked="0"/>
    </xf>
    <xf numFmtId="182" fontId="7" fillId="0" borderId="0" xfId="2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204" fontId="20" fillId="8" borderId="9" xfId="0" applyNumberFormat="1" applyFont="1" applyFill="1" applyBorder="1" applyAlignment="1" applyProtection="1">
      <alignment horizontal="center"/>
      <protection locked="0"/>
    </xf>
    <xf numFmtId="206" fontId="7" fillId="0" borderId="0" xfId="0" applyNumberFormat="1" applyFont="1" applyProtection="1">
      <protection locked="0"/>
    </xf>
    <xf numFmtId="10" fontId="16" fillId="0" borderId="0" xfId="2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Alignment="1" applyProtection="1">
      <alignment horizontal="center"/>
      <protection locked="0"/>
    </xf>
    <xf numFmtId="204" fontId="7" fillId="0" borderId="0" xfId="0" applyNumberFormat="1" applyFont="1" applyAlignment="1" applyProtection="1">
      <alignment horizontal="center"/>
      <protection locked="0"/>
    </xf>
    <xf numFmtId="0" fontId="73" fillId="38" borderId="0" xfId="3" applyFont="1" applyFill="1" applyBorder="1" applyAlignment="1" applyProtection="1"/>
    <xf numFmtId="194" fontId="9" fillId="40" borderId="26" xfId="0" applyNumberFormat="1" applyFont="1" applyFill="1" applyBorder="1" applyAlignment="1" applyProtection="1">
      <alignment horizontal="center"/>
      <protection locked="0"/>
    </xf>
    <xf numFmtId="10" fontId="7" fillId="0" borderId="0" xfId="2" applyNumberFormat="1" applyFont="1" applyFill="1" applyProtection="1">
      <protection locked="0"/>
    </xf>
    <xf numFmtId="204" fontId="7" fillId="0" borderId="0" xfId="2" applyNumberFormat="1" applyFont="1" applyFill="1" applyBorder="1" applyAlignment="1" applyProtection="1">
      <alignment horizontal="center"/>
    </xf>
    <xf numFmtId="49" fontId="7" fillId="0" borderId="0" xfId="0" applyNumberFormat="1" applyFont="1" applyAlignment="1">
      <alignment horizontal="left" indent="1"/>
    </xf>
    <xf numFmtId="49" fontId="7" fillId="0" borderId="28" xfId="0" applyNumberFormat="1" applyFont="1" applyBorder="1" applyAlignment="1">
      <alignment horizontal="left" indent="1"/>
    </xf>
    <xf numFmtId="49" fontId="8" fillId="0" borderId="4" xfId="0" applyNumberFormat="1" applyFont="1" applyBorder="1" applyAlignment="1">
      <alignment horizontal="center"/>
    </xf>
    <xf numFmtId="204" fontId="8" fillId="0" borderId="4" xfId="0" applyNumberFormat="1" applyFont="1" applyBorder="1" applyAlignment="1">
      <alignment horizontal="center"/>
    </xf>
    <xf numFmtId="182" fontId="7" fillId="0" borderId="0" xfId="2" applyNumberFormat="1" applyFont="1" applyFill="1" applyAlignment="1" applyProtection="1">
      <alignment horizontal="center"/>
      <protection locked="0"/>
    </xf>
    <xf numFmtId="168" fontId="15" fillId="0" borderId="0" xfId="3" applyNumberFormat="1" applyAlignment="1" applyProtection="1"/>
    <xf numFmtId="43" fontId="97" fillId="51" borderId="29" xfId="464" applyAlignment="1" applyProtection="1">
      <alignment horizontal="center"/>
      <protection locked="0"/>
    </xf>
    <xf numFmtId="49" fontId="96" fillId="52" borderId="3" xfId="462" applyNumberFormat="1" applyBorder="1" applyAlignment="1" applyProtection="1">
      <alignment horizontal="left" indent="1"/>
      <protection locked="0"/>
    </xf>
    <xf numFmtId="0" fontId="7" fillId="41" borderId="3" xfId="0" applyFont="1" applyFill="1" applyBorder="1" applyAlignment="1" applyProtection="1">
      <alignment horizontal="left" indent="1"/>
      <protection locked="0"/>
    </xf>
    <xf numFmtId="182" fontId="96" fillId="52" borderId="0" xfId="462" applyNumberFormat="1" applyBorder="1" applyAlignment="1" applyProtection="1">
      <alignment horizontal="center"/>
      <protection locked="0"/>
    </xf>
    <xf numFmtId="49" fontId="97" fillId="51" borderId="29" xfId="463" applyNumberFormat="1" applyAlignment="1" applyProtection="1">
      <alignment horizontal="left" indent="1"/>
      <protection locked="0"/>
    </xf>
    <xf numFmtId="2" fontId="97" fillId="51" borderId="29" xfId="463" applyNumberFormat="1" applyAlignment="1" applyProtection="1">
      <alignment horizontal="center"/>
      <protection locked="0"/>
    </xf>
    <xf numFmtId="2" fontId="98" fillId="40" borderId="29" xfId="465" applyNumberFormat="1" applyAlignment="1" applyProtection="1">
      <alignment horizontal="center"/>
      <protection locked="0"/>
    </xf>
    <xf numFmtId="168" fontId="97" fillId="51" borderId="29" xfId="463" applyNumberFormat="1" applyProtection="1">
      <alignment horizontal="left" vertical="center"/>
      <protection locked="0"/>
    </xf>
    <xf numFmtId="193" fontId="98" fillId="40" borderId="29" xfId="465" applyNumberFormat="1" applyAlignment="1" applyProtection="1">
      <alignment horizontal="center"/>
      <protection locked="0"/>
    </xf>
    <xf numFmtId="193" fontId="97" fillId="51" borderId="29" xfId="463" applyNumberFormat="1" applyProtection="1">
      <alignment horizontal="left" vertical="center"/>
      <protection locked="0"/>
    </xf>
    <xf numFmtId="0" fontId="0" fillId="38" borderId="32" xfId="0" applyFill="1" applyBorder="1"/>
    <xf numFmtId="0" fontId="74" fillId="38" borderId="32" xfId="0" applyFont="1" applyFill="1" applyBorder="1" applyAlignment="1">
      <alignment horizontal="left"/>
    </xf>
    <xf numFmtId="0" fontId="6" fillId="2" borderId="32" xfId="0" applyFont="1" applyFill="1" applyBorder="1"/>
    <xf numFmtId="0" fontId="74" fillId="38" borderId="32" xfId="0" applyFont="1" applyFill="1" applyBorder="1" applyAlignment="1">
      <alignment horizontal="left" indent="9"/>
    </xf>
    <xf numFmtId="8" fontId="0" fillId="0" borderId="0" xfId="0" quotePrefix="1" applyNumberFormat="1"/>
    <xf numFmtId="43" fontId="98" fillId="40" borderId="29" xfId="465" applyNumberFormat="1" applyAlignment="1" applyProtection="1">
      <alignment horizontal="center"/>
      <protection locked="0"/>
    </xf>
    <xf numFmtId="0" fontId="75" fillId="38" borderId="2" xfId="0" applyFont="1" applyFill="1" applyBorder="1" applyAlignment="1">
      <alignment horizontal="center"/>
    </xf>
  </cellXfs>
  <cellStyles count="467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" xfId="462" builtinId="27" customBuiltin="1"/>
    <cellStyle name="Bad 2" xfId="62" xr:uid="{00000000-0005-0000-0000-000036000000}"/>
    <cellStyle name="Black" xfId="63" xr:uid="{00000000-0005-0000-0000-000037000000}"/>
    <cellStyle name="Blockout" xfId="64" xr:uid="{00000000-0005-0000-0000-000038000000}"/>
    <cellStyle name="Blockout 2" xfId="65" xr:uid="{00000000-0005-0000-0000-000039000000}"/>
    <cellStyle name="Blockout 2 2" xfId="269" xr:uid="{00000000-0005-0000-0000-00003A000000}"/>
    <cellStyle name="Blockout 2 2 2" xfId="345" xr:uid="{00000000-0005-0000-0000-00003B000000}"/>
    <cellStyle name="Blockout 2 2 2 2" xfId="429" xr:uid="{00000000-0005-0000-0000-00003C000000}"/>
    <cellStyle name="Blockout 2 3" xfId="310" xr:uid="{00000000-0005-0000-0000-00003D000000}"/>
    <cellStyle name="Blockout 2 3 2" xfId="394" xr:uid="{00000000-0005-0000-0000-00003E000000}"/>
    <cellStyle name="Blockout 3" xfId="268" xr:uid="{00000000-0005-0000-0000-00003F000000}"/>
    <cellStyle name="Blockout 3 2" xfId="344" xr:uid="{00000000-0005-0000-0000-000040000000}"/>
    <cellStyle name="Blockout 3 2 2" xfId="428" xr:uid="{00000000-0005-0000-0000-000041000000}"/>
    <cellStyle name="Blockout 4" xfId="309" xr:uid="{00000000-0005-0000-0000-000042000000}"/>
    <cellStyle name="Blockout 4 2" xfId="393" xr:uid="{00000000-0005-0000-0000-000043000000}"/>
    <cellStyle name="Blue" xfId="66" xr:uid="{00000000-0005-0000-0000-000044000000}"/>
    <cellStyle name="Calcs_Divider" xfId="244" xr:uid="{00000000-0005-0000-0000-000045000000}"/>
    <cellStyle name="Calculation" xfId="465" builtinId="22" customBuiltin="1"/>
    <cellStyle name="Calculation 2" xfId="67" xr:uid="{00000000-0005-0000-0000-000047000000}"/>
    <cellStyle name="Check" xfId="245" xr:uid="{00000000-0005-0000-0000-000048000000}"/>
    <cellStyle name="Check Cell 2" xfId="68" xr:uid="{00000000-0005-0000-0000-000049000000}"/>
    <cellStyle name="Column_Heading_1" xfId="246" xr:uid="{00000000-0005-0000-0000-00004A000000}"/>
    <cellStyle name="Comma" xfId="6" builtinId="3"/>
    <cellStyle name="Comma [0]7Z_87C" xfId="69" xr:uid="{00000000-0005-0000-0000-00004C000000}"/>
    <cellStyle name="Comma 0" xfId="70" xr:uid="{00000000-0005-0000-0000-00004D000000}"/>
    <cellStyle name="Comma 1" xfId="71" xr:uid="{00000000-0005-0000-0000-00004E000000}"/>
    <cellStyle name="Comma 1 2" xfId="72" xr:uid="{00000000-0005-0000-0000-00004F000000}"/>
    <cellStyle name="Comma 10" xfId="266" xr:uid="{00000000-0005-0000-0000-000050000000}"/>
    <cellStyle name="Comma 10 2" xfId="342" xr:uid="{00000000-0005-0000-0000-000051000000}"/>
    <cellStyle name="Comma 10 2 2" xfId="426" xr:uid="{00000000-0005-0000-0000-000052000000}"/>
    <cellStyle name="Comma 11" xfId="307" xr:uid="{00000000-0005-0000-0000-000053000000}"/>
    <cellStyle name="Comma 11 2" xfId="391" xr:uid="{00000000-0005-0000-0000-000054000000}"/>
    <cellStyle name="Comma 12" xfId="340" xr:uid="{00000000-0005-0000-0000-000055000000}"/>
    <cellStyle name="Comma 12 2" xfId="424" xr:uid="{00000000-0005-0000-0000-000056000000}"/>
    <cellStyle name="Comma 13" xfId="377" xr:uid="{00000000-0005-0000-0000-000057000000}"/>
    <cellStyle name="Comma 13 2" xfId="461" xr:uid="{00000000-0005-0000-0000-000058000000}"/>
    <cellStyle name="Comma 14" xfId="336" xr:uid="{00000000-0005-0000-0000-000059000000}"/>
    <cellStyle name="Comma 14 2" xfId="420" xr:uid="{00000000-0005-0000-0000-00005A000000}"/>
    <cellStyle name="Comma 15" xfId="378" xr:uid="{00000000-0005-0000-0000-00005B000000}"/>
    <cellStyle name="Comma 2" xfId="8" xr:uid="{00000000-0005-0000-0000-00005C000000}"/>
    <cellStyle name="Comma 2 2" xfId="73" xr:uid="{00000000-0005-0000-0000-00005D000000}"/>
    <cellStyle name="Comma 2 2 2" xfId="270" xr:uid="{00000000-0005-0000-0000-00005E000000}"/>
    <cellStyle name="Comma 2 2 2 2" xfId="346" xr:uid="{00000000-0005-0000-0000-00005F000000}"/>
    <cellStyle name="Comma 2 2 2 2 2" xfId="430" xr:uid="{00000000-0005-0000-0000-000060000000}"/>
    <cellStyle name="Comma 2 2 3" xfId="311" xr:uid="{00000000-0005-0000-0000-000061000000}"/>
    <cellStyle name="Comma 2 2 3 2" xfId="395" xr:uid="{00000000-0005-0000-0000-000062000000}"/>
    <cellStyle name="Comma 2 3" xfId="74" xr:uid="{00000000-0005-0000-0000-000063000000}"/>
    <cellStyle name="Comma 2 3 2" xfId="75" xr:uid="{00000000-0005-0000-0000-000064000000}"/>
    <cellStyle name="Comma 2 3 2 2" xfId="272" xr:uid="{00000000-0005-0000-0000-000065000000}"/>
    <cellStyle name="Comma 2 3 2 2 2" xfId="348" xr:uid="{00000000-0005-0000-0000-000066000000}"/>
    <cellStyle name="Comma 2 3 2 2 2 2" xfId="432" xr:uid="{00000000-0005-0000-0000-000067000000}"/>
    <cellStyle name="Comma 2 3 2 3" xfId="313" xr:uid="{00000000-0005-0000-0000-000068000000}"/>
    <cellStyle name="Comma 2 3 2 3 2" xfId="397" xr:uid="{00000000-0005-0000-0000-000069000000}"/>
    <cellStyle name="Comma 2 3 3" xfId="271" xr:uid="{00000000-0005-0000-0000-00006A000000}"/>
    <cellStyle name="Comma 2 3 3 2" xfId="347" xr:uid="{00000000-0005-0000-0000-00006B000000}"/>
    <cellStyle name="Comma 2 3 3 2 2" xfId="431" xr:uid="{00000000-0005-0000-0000-00006C000000}"/>
    <cellStyle name="Comma 2 3 4" xfId="312" xr:uid="{00000000-0005-0000-0000-00006D000000}"/>
    <cellStyle name="Comma 2 3 4 2" xfId="396" xr:uid="{00000000-0005-0000-0000-00006E000000}"/>
    <cellStyle name="Comma 2 4" xfId="76" xr:uid="{00000000-0005-0000-0000-00006F000000}"/>
    <cellStyle name="Comma 2 4 2" xfId="273" xr:uid="{00000000-0005-0000-0000-000070000000}"/>
    <cellStyle name="Comma 2 4 2 2" xfId="349" xr:uid="{00000000-0005-0000-0000-000071000000}"/>
    <cellStyle name="Comma 2 4 2 2 2" xfId="433" xr:uid="{00000000-0005-0000-0000-000072000000}"/>
    <cellStyle name="Comma 2 4 3" xfId="314" xr:uid="{00000000-0005-0000-0000-000073000000}"/>
    <cellStyle name="Comma 2 4 3 2" xfId="398" xr:uid="{00000000-0005-0000-0000-000074000000}"/>
    <cellStyle name="Comma 2 5" xfId="77" xr:uid="{00000000-0005-0000-0000-000075000000}"/>
    <cellStyle name="Comma 2 5 2" xfId="274" xr:uid="{00000000-0005-0000-0000-000076000000}"/>
    <cellStyle name="Comma 2 5 2 2" xfId="350" xr:uid="{00000000-0005-0000-0000-000077000000}"/>
    <cellStyle name="Comma 2 5 2 2 2" xfId="434" xr:uid="{00000000-0005-0000-0000-000078000000}"/>
    <cellStyle name="Comma 2 5 3" xfId="315" xr:uid="{00000000-0005-0000-0000-000079000000}"/>
    <cellStyle name="Comma 2 5 3 2" xfId="399" xr:uid="{00000000-0005-0000-0000-00007A000000}"/>
    <cellStyle name="Comma 2 6" xfId="267" xr:uid="{00000000-0005-0000-0000-00007B000000}"/>
    <cellStyle name="Comma 2 6 2" xfId="343" xr:uid="{00000000-0005-0000-0000-00007C000000}"/>
    <cellStyle name="Comma 2 6 2 2" xfId="427" xr:uid="{00000000-0005-0000-0000-00007D000000}"/>
    <cellStyle name="Comma 2 7" xfId="308" xr:uid="{00000000-0005-0000-0000-00007E000000}"/>
    <cellStyle name="Comma 2 7 2" xfId="392" xr:uid="{00000000-0005-0000-0000-00007F000000}"/>
    <cellStyle name="Comma 3" xfId="78" xr:uid="{00000000-0005-0000-0000-000080000000}"/>
    <cellStyle name="Comma 3 2" xfId="79" xr:uid="{00000000-0005-0000-0000-000081000000}"/>
    <cellStyle name="Comma 3 3" xfId="80" xr:uid="{00000000-0005-0000-0000-000082000000}"/>
    <cellStyle name="Comma 3 3 2" xfId="275" xr:uid="{00000000-0005-0000-0000-000083000000}"/>
    <cellStyle name="Comma 3 3 2 2" xfId="351" xr:uid="{00000000-0005-0000-0000-000084000000}"/>
    <cellStyle name="Comma 3 3 2 2 2" xfId="435" xr:uid="{00000000-0005-0000-0000-000085000000}"/>
    <cellStyle name="Comma 3 3 3" xfId="316" xr:uid="{00000000-0005-0000-0000-000086000000}"/>
    <cellStyle name="Comma 3 3 3 2" xfId="400" xr:uid="{00000000-0005-0000-0000-000087000000}"/>
    <cellStyle name="Comma 4" xfId="81" xr:uid="{00000000-0005-0000-0000-000088000000}"/>
    <cellStyle name="Comma 4 2" xfId="276" xr:uid="{00000000-0005-0000-0000-000089000000}"/>
    <cellStyle name="Comma 4 2 2" xfId="352" xr:uid="{00000000-0005-0000-0000-00008A000000}"/>
    <cellStyle name="Comma 4 2 2 2" xfId="436" xr:uid="{00000000-0005-0000-0000-00008B000000}"/>
    <cellStyle name="Comma 4 3" xfId="317" xr:uid="{00000000-0005-0000-0000-00008C000000}"/>
    <cellStyle name="Comma 4 3 2" xfId="401" xr:uid="{00000000-0005-0000-0000-00008D000000}"/>
    <cellStyle name="Comma 5" xfId="82" xr:uid="{00000000-0005-0000-0000-00008E000000}"/>
    <cellStyle name="Comma 5 2" xfId="277" xr:uid="{00000000-0005-0000-0000-00008F000000}"/>
    <cellStyle name="Comma 5 2 2" xfId="353" xr:uid="{00000000-0005-0000-0000-000090000000}"/>
    <cellStyle name="Comma 5 2 2 2" xfId="437" xr:uid="{00000000-0005-0000-0000-000091000000}"/>
    <cellStyle name="Comma 5 3" xfId="318" xr:uid="{00000000-0005-0000-0000-000092000000}"/>
    <cellStyle name="Comma 5 3 2" xfId="402" xr:uid="{00000000-0005-0000-0000-000093000000}"/>
    <cellStyle name="Comma 6" xfId="83" xr:uid="{00000000-0005-0000-0000-000094000000}"/>
    <cellStyle name="Comma 6 2" xfId="278" xr:uid="{00000000-0005-0000-0000-000095000000}"/>
    <cellStyle name="Comma 6 2 2" xfId="354" xr:uid="{00000000-0005-0000-0000-000096000000}"/>
    <cellStyle name="Comma 6 2 2 2" xfId="438" xr:uid="{00000000-0005-0000-0000-000097000000}"/>
    <cellStyle name="Comma 6 3" xfId="319" xr:uid="{00000000-0005-0000-0000-000098000000}"/>
    <cellStyle name="Comma 6 3 2" xfId="403" xr:uid="{00000000-0005-0000-0000-000099000000}"/>
    <cellStyle name="Comma 7" xfId="84" xr:uid="{00000000-0005-0000-0000-00009A000000}"/>
    <cellStyle name="Comma 7 2" xfId="279" xr:uid="{00000000-0005-0000-0000-00009B000000}"/>
    <cellStyle name="Comma 7 2 2" xfId="355" xr:uid="{00000000-0005-0000-0000-00009C000000}"/>
    <cellStyle name="Comma 7 2 2 2" xfId="439" xr:uid="{00000000-0005-0000-0000-00009D000000}"/>
    <cellStyle name="Comma 7 3" xfId="320" xr:uid="{00000000-0005-0000-0000-00009E000000}"/>
    <cellStyle name="Comma 7 3 2" xfId="404" xr:uid="{00000000-0005-0000-0000-00009F000000}"/>
    <cellStyle name="Comma 8" xfId="85" xr:uid="{00000000-0005-0000-0000-0000A0000000}"/>
    <cellStyle name="Comma 8 2" xfId="280" xr:uid="{00000000-0005-0000-0000-0000A1000000}"/>
    <cellStyle name="Comma 8 2 2" xfId="356" xr:uid="{00000000-0005-0000-0000-0000A2000000}"/>
    <cellStyle name="Comma 8 2 2 2" xfId="440" xr:uid="{00000000-0005-0000-0000-0000A3000000}"/>
    <cellStyle name="Comma 8 3" xfId="321" xr:uid="{00000000-0005-0000-0000-0000A4000000}"/>
    <cellStyle name="Comma 8 3 2" xfId="405" xr:uid="{00000000-0005-0000-0000-0000A5000000}"/>
    <cellStyle name="Comma 9" xfId="302" xr:uid="{00000000-0005-0000-0000-0000A6000000}"/>
    <cellStyle name="Comma 9 2" xfId="376" xr:uid="{00000000-0005-0000-0000-0000A7000000}"/>
    <cellStyle name="Comma 9 2 2" xfId="460" xr:uid="{00000000-0005-0000-0000-0000A8000000}"/>
    <cellStyle name="Comma0" xfId="86" xr:uid="{00000000-0005-0000-0000-0000A9000000}"/>
    <cellStyle name="Currency 11" xfId="87" xr:uid="{00000000-0005-0000-0000-0000AA000000}"/>
    <cellStyle name="Currency 11 2" xfId="88" xr:uid="{00000000-0005-0000-0000-0000AB000000}"/>
    <cellStyle name="Currency 11 2 2" xfId="282" xr:uid="{00000000-0005-0000-0000-0000AC000000}"/>
    <cellStyle name="Currency 11 2 2 2" xfId="358" xr:uid="{00000000-0005-0000-0000-0000AD000000}"/>
    <cellStyle name="Currency 11 2 2 2 2" xfId="442" xr:uid="{00000000-0005-0000-0000-0000AE000000}"/>
    <cellStyle name="Currency 11 2 3" xfId="323" xr:uid="{00000000-0005-0000-0000-0000AF000000}"/>
    <cellStyle name="Currency 11 2 3 2" xfId="407" xr:uid="{00000000-0005-0000-0000-0000B0000000}"/>
    <cellStyle name="Currency 11 3" xfId="281" xr:uid="{00000000-0005-0000-0000-0000B1000000}"/>
    <cellStyle name="Currency 11 3 2" xfId="357" xr:uid="{00000000-0005-0000-0000-0000B2000000}"/>
    <cellStyle name="Currency 11 3 2 2" xfId="441" xr:uid="{00000000-0005-0000-0000-0000B3000000}"/>
    <cellStyle name="Currency 11 4" xfId="322" xr:uid="{00000000-0005-0000-0000-0000B4000000}"/>
    <cellStyle name="Currency 11 4 2" xfId="406" xr:uid="{00000000-0005-0000-0000-0000B5000000}"/>
    <cellStyle name="Currency 2" xfId="89" xr:uid="{00000000-0005-0000-0000-0000B6000000}"/>
    <cellStyle name="Currency 2 2" xfId="90" xr:uid="{00000000-0005-0000-0000-0000B7000000}"/>
    <cellStyle name="Currency 2 2 2" xfId="284" xr:uid="{00000000-0005-0000-0000-0000B8000000}"/>
    <cellStyle name="Currency 2 2 2 2" xfId="360" xr:uid="{00000000-0005-0000-0000-0000B9000000}"/>
    <cellStyle name="Currency 2 2 2 2 2" xfId="444" xr:uid="{00000000-0005-0000-0000-0000BA000000}"/>
    <cellStyle name="Currency 2 2 3" xfId="325" xr:uid="{00000000-0005-0000-0000-0000BB000000}"/>
    <cellStyle name="Currency 2 2 3 2" xfId="409" xr:uid="{00000000-0005-0000-0000-0000BC000000}"/>
    <cellStyle name="Currency 2 3" xfId="283" xr:uid="{00000000-0005-0000-0000-0000BD000000}"/>
    <cellStyle name="Currency 2 3 2" xfId="359" xr:uid="{00000000-0005-0000-0000-0000BE000000}"/>
    <cellStyle name="Currency 2 3 2 2" xfId="443" xr:uid="{00000000-0005-0000-0000-0000BF000000}"/>
    <cellStyle name="Currency 2 4" xfId="324" xr:uid="{00000000-0005-0000-0000-0000C0000000}"/>
    <cellStyle name="Currency 2 4 2" xfId="408" xr:uid="{00000000-0005-0000-0000-0000C1000000}"/>
    <cellStyle name="Currency 3" xfId="91" xr:uid="{00000000-0005-0000-0000-0000C2000000}"/>
    <cellStyle name="Currency 3 2" xfId="92" xr:uid="{00000000-0005-0000-0000-0000C3000000}"/>
    <cellStyle name="Currency 3 2 2" xfId="286" xr:uid="{00000000-0005-0000-0000-0000C4000000}"/>
    <cellStyle name="Currency 3 2 2 2" xfId="362" xr:uid="{00000000-0005-0000-0000-0000C5000000}"/>
    <cellStyle name="Currency 3 2 2 2 2" xfId="446" xr:uid="{00000000-0005-0000-0000-0000C6000000}"/>
    <cellStyle name="Currency 3 2 3" xfId="327" xr:uid="{00000000-0005-0000-0000-0000C7000000}"/>
    <cellStyle name="Currency 3 2 3 2" xfId="411" xr:uid="{00000000-0005-0000-0000-0000C8000000}"/>
    <cellStyle name="Currency 3 3" xfId="285" xr:uid="{00000000-0005-0000-0000-0000C9000000}"/>
    <cellStyle name="Currency 3 3 2" xfId="361" xr:uid="{00000000-0005-0000-0000-0000CA000000}"/>
    <cellStyle name="Currency 3 3 2 2" xfId="445" xr:uid="{00000000-0005-0000-0000-0000CB000000}"/>
    <cellStyle name="Currency 3 4" xfId="326" xr:uid="{00000000-0005-0000-0000-0000CC000000}"/>
    <cellStyle name="Currency 3 4 2" xfId="410" xr:uid="{00000000-0005-0000-0000-0000CD000000}"/>
    <cellStyle name="Currency 4" xfId="93" xr:uid="{00000000-0005-0000-0000-0000CE000000}"/>
    <cellStyle name="Currency 4 2" xfId="94" xr:uid="{00000000-0005-0000-0000-0000CF000000}"/>
    <cellStyle name="Currency 4 2 2" xfId="288" xr:uid="{00000000-0005-0000-0000-0000D0000000}"/>
    <cellStyle name="Currency 4 2 2 2" xfId="364" xr:uid="{00000000-0005-0000-0000-0000D1000000}"/>
    <cellStyle name="Currency 4 2 2 2 2" xfId="448" xr:uid="{00000000-0005-0000-0000-0000D2000000}"/>
    <cellStyle name="Currency 4 2 3" xfId="329" xr:uid="{00000000-0005-0000-0000-0000D3000000}"/>
    <cellStyle name="Currency 4 2 3 2" xfId="413" xr:uid="{00000000-0005-0000-0000-0000D4000000}"/>
    <cellStyle name="Currency 4 3" xfId="287" xr:uid="{00000000-0005-0000-0000-0000D5000000}"/>
    <cellStyle name="Currency 4 3 2" xfId="363" xr:uid="{00000000-0005-0000-0000-0000D6000000}"/>
    <cellStyle name="Currency 4 3 2 2" xfId="447" xr:uid="{00000000-0005-0000-0000-0000D7000000}"/>
    <cellStyle name="Currency 4 4" xfId="328" xr:uid="{00000000-0005-0000-0000-0000D8000000}"/>
    <cellStyle name="Currency 4 4 2" xfId="412" xr:uid="{00000000-0005-0000-0000-0000D9000000}"/>
    <cellStyle name="Currency 5" xfId="243" xr:uid="{00000000-0005-0000-0000-0000DA000000}"/>
    <cellStyle name="Currency 5 2" xfId="297" xr:uid="{00000000-0005-0000-0000-0000DB000000}"/>
    <cellStyle name="Currency 5 2 2" xfId="373" xr:uid="{00000000-0005-0000-0000-0000DC000000}"/>
    <cellStyle name="Currency 5 2 2 2" xfId="457" xr:uid="{00000000-0005-0000-0000-0000DD000000}"/>
    <cellStyle name="Currency 5 2 3" xfId="389" xr:uid="{00000000-0005-0000-0000-0000DE000000}"/>
    <cellStyle name="Currency 5 3" xfId="339" xr:uid="{00000000-0005-0000-0000-0000DF000000}"/>
    <cellStyle name="Currency 5 3 2" xfId="423" xr:uid="{00000000-0005-0000-0000-0000E0000000}"/>
    <cellStyle name="Currency 5 4" xfId="383" xr:uid="{00000000-0005-0000-0000-0000E1000000}"/>
    <cellStyle name="Currency 6" xfId="300" xr:uid="{00000000-0005-0000-0000-0000E2000000}"/>
    <cellStyle name="Currency 6 2" xfId="374" xr:uid="{00000000-0005-0000-0000-0000E3000000}"/>
    <cellStyle name="Currency 6 2 2" xfId="458" xr:uid="{00000000-0005-0000-0000-0000E4000000}"/>
    <cellStyle name="D4_B8B1_005004B79812_.wvu.PrintTitlest" xfId="95" xr:uid="{00000000-0005-0000-0000-0000E5000000}"/>
    <cellStyle name="Date" xfId="96" xr:uid="{00000000-0005-0000-0000-0000E6000000}"/>
    <cellStyle name="Date 2" xfId="97" xr:uid="{00000000-0005-0000-0000-0000E7000000}"/>
    <cellStyle name="dms_1" xfId="265" xr:uid="{00000000-0005-0000-0000-0000E8000000}"/>
    <cellStyle name="Emphasis 1" xfId="98" xr:uid="{00000000-0005-0000-0000-0000EB000000}"/>
    <cellStyle name="Emphasis 2" xfId="99" xr:uid="{00000000-0005-0000-0000-0000EC000000}"/>
    <cellStyle name="Emphasis 3" xfId="100" xr:uid="{00000000-0005-0000-0000-0000ED000000}"/>
    <cellStyle name="Empty_Cell" xfId="247" xr:uid="{00000000-0005-0000-0000-0000EE000000}"/>
    <cellStyle name="Euro" xfId="101" xr:uid="{00000000-0005-0000-0000-0000EF000000}"/>
    <cellStyle name="Explanatory Text 2" xfId="102" xr:uid="{00000000-0005-0000-0000-0000F0000000}"/>
    <cellStyle name="Fixed" xfId="103" xr:uid="{00000000-0005-0000-0000-0000F1000000}"/>
    <cellStyle name="Fixed 2" xfId="104" xr:uid="{00000000-0005-0000-0000-0000F2000000}"/>
    <cellStyle name="Gilsans" xfId="105" xr:uid="{00000000-0005-0000-0000-0000F3000000}"/>
    <cellStyle name="Gilsansl" xfId="106" xr:uid="{00000000-0005-0000-0000-0000F4000000}"/>
    <cellStyle name="Good 2" xfId="107" xr:uid="{00000000-0005-0000-0000-0000F5000000}"/>
    <cellStyle name="Header1" xfId="248" xr:uid="{00000000-0005-0000-0000-0000F6000000}"/>
    <cellStyle name="Header2" xfId="249" xr:uid="{00000000-0005-0000-0000-0000F7000000}"/>
    <cellStyle name="Header3" xfId="250" xr:uid="{00000000-0005-0000-0000-0000F8000000}"/>
    <cellStyle name="Header4" xfId="251" xr:uid="{00000000-0005-0000-0000-0000F9000000}"/>
    <cellStyle name="Header5" xfId="252" xr:uid="{00000000-0005-0000-0000-0000FA000000}"/>
    <cellStyle name="Heading 1 2" xfId="108" xr:uid="{00000000-0005-0000-0000-0000FB000000}"/>
    <cellStyle name="Heading 1 2 2" xfId="109" xr:uid="{00000000-0005-0000-0000-0000FC000000}"/>
    <cellStyle name="Heading 1 3" xfId="110" xr:uid="{00000000-0005-0000-0000-0000FD000000}"/>
    <cellStyle name="Heading 2 2" xfId="111" xr:uid="{00000000-0005-0000-0000-0000FE000000}"/>
    <cellStyle name="Heading 2 2 2" xfId="112" xr:uid="{00000000-0005-0000-0000-0000FF000000}"/>
    <cellStyle name="Heading 2 3" xfId="113" xr:uid="{00000000-0005-0000-0000-000000010000}"/>
    <cellStyle name="Heading 3 2" xfId="114" xr:uid="{00000000-0005-0000-0000-000001010000}"/>
    <cellStyle name="Heading 3 2 2" xfId="115" xr:uid="{00000000-0005-0000-0000-000002010000}"/>
    <cellStyle name="Heading 3 3" xfId="116" xr:uid="{00000000-0005-0000-0000-000003010000}"/>
    <cellStyle name="Heading 4 2" xfId="117" xr:uid="{00000000-0005-0000-0000-000004010000}"/>
    <cellStyle name="Heading 4 2 2" xfId="118" xr:uid="{00000000-0005-0000-0000-000005010000}"/>
    <cellStyle name="Heading 4 3" xfId="119" xr:uid="{00000000-0005-0000-0000-000006010000}"/>
    <cellStyle name="Heading(4)" xfId="120" xr:uid="{00000000-0005-0000-0000-000007010000}"/>
    <cellStyle name="Hyperlink" xfId="3" builtinId="8"/>
    <cellStyle name="Hyperlink 2" xfId="121" xr:uid="{00000000-0005-0000-0000-000009010000}"/>
    <cellStyle name="Hyperlink Arrow" xfId="122" xr:uid="{00000000-0005-0000-0000-00000A010000}"/>
    <cellStyle name="Hyperlink Text" xfId="123" xr:uid="{00000000-0005-0000-0000-00000B010000}"/>
    <cellStyle name="Input" xfId="463" builtinId="20" customBuiltin="1"/>
    <cellStyle name="Input 2" xfId="124" xr:uid="{00000000-0005-0000-0000-00000D010000}"/>
    <cellStyle name="Input Comma" xfId="464" xr:uid="{00000000-0005-0000-0000-00000E010000}"/>
    <cellStyle name="Input|Date" xfId="1" xr:uid="{00000000-0005-0000-0000-00000F010000}"/>
    <cellStyle name="Input1" xfId="125" xr:uid="{00000000-0005-0000-0000-000010010000}"/>
    <cellStyle name="Input1 2" xfId="126" xr:uid="{00000000-0005-0000-0000-000011010000}"/>
    <cellStyle name="Input1 2 2" xfId="290" xr:uid="{00000000-0005-0000-0000-000012010000}"/>
    <cellStyle name="Input1 2 2 2" xfId="366" xr:uid="{00000000-0005-0000-0000-000013010000}"/>
    <cellStyle name="Input1 2 2 2 2" xfId="450" xr:uid="{00000000-0005-0000-0000-000014010000}"/>
    <cellStyle name="Input1 2 3" xfId="331" xr:uid="{00000000-0005-0000-0000-000015010000}"/>
    <cellStyle name="Input1 2 3 2" xfId="415" xr:uid="{00000000-0005-0000-0000-000016010000}"/>
    <cellStyle name="Input1 3" xfId="289" xr:uid="{00000000-0005-0000-0000-000017010000}"/>
    <cellStyle name="Input1 3 2" xfId="365" xr:uid="{00000000-0005-0000-0000-000018010000}"/>
    <cellStyle name="Input1 3 2 2" xfId="449" xr:uid="{00000000-0005-0000-0000-000019010000}"/>
    <cellStyle name="Input1 4" xfId="330" xr:uid="{00000000-0005-0000-0000-00001A010000}"/>
    <cellStyle name="Input1 4 2" xfId="414" xr:uid="{00000000-0005-0000-0000-00001B010000}"/>
    <cellStyle name="Input2" xfId="127" xr:uid="{00000000-0005-0000-0000-00001C010000}"/>
    <cellStyle name="Input2 2" xfId="128" xr:uid="{00000000-0005-0000-0000-00001D010000}"/>
    <cellStyle name="Input3" xfId="129" xr:uid="{00000000-0005-0000-0000-00001E010000}"/>
    <cellStyle name="Input3 2" xfId="130" xr:uid="{00000000-0005-0000-0000-00001F010000}"/>
    <cellStyle name="Input3 2 2" xfId="292" xr:uid="{00000000-0005-0000-0000-000020010000}"/>
    <cellStyle name="Input3 2 2 2" xfId="368" xr:uid="{00000000-0005-0000-0000-000021010000}"/>
    <cellStyle name="Input3 2 2 2 2" xfId="452" xr:uid="{00000000-0005-0000-0000-000022010000}"/>
    <cellStyle name="Input3 2 3" xfId="333" xr:uid="{00000000-0005-0000-0000-000023010000}"/>
    <cellStyle name="Input3 2 3 2" xfId="417" xr:uid="{00000000-0005-0000-0000-000024010000}"/>
    <cellStyle name="Input3 3" xfId="291" xr:uid="{00000000-0005-0000-0000-000025010000}"/>
    <cellStyle name="Input3 3 2" xfId="367" xr:uid="{00000000-0005-0000-0000-000026010000}"/>
    <cellStyle name="Input3 3 2 2" xfId="451" xr:uid="{00000000-0005-0000-0000-000027010000}"/>
    <cellStyle name="Input3 4" xfId="332" xr:uid="{00000000-0005-0000-0000-000028010000}"/>
    <cellStyle name="Input3 4 2" xfId="416" xr:uid="{00000000-0005-0000-0000-000029010000}"/>
    <cellStyle name="Inputs_Divider" xfId="253" xr:uid="{00000000-0005-0000-0000-00002A010000}"/>
    <cellStyle name="InSheet" xfId="254" xr:uid="{00000000-0005-0000-0000-00002B010000}"/>
    <cellStyle name="K_Number" xfId="304" xr:uid="{00000000-0005-0000-0000-00002C010000}"/>
    <cellStyle name="Lines" xfId="131" xr:uid="{00000000-0005-0000-0000-00002D010000}"/>
    <cellStyle name="Linked Cell 2" xfId="132" xr:uid="{00000000-0005-0000-0000-00002E010000}"/>
    <cellStyle name="Mine" xfId="133" xr:uid="{00000000-0005-0000-0000-00002F010000}"/>
    <cellStyle name="Model Name" xfId="134" xr:uid="{00000000-0005-0000-0000-000030010000}"/>
    <cellStyle name="Neutral 2" xfId="135" xr:uid="{00000000-0005-0000-0000-000031010000}"/>
    <cellStyle name="Normal" xfId="0" builtinId="0"/>
    <cellStyle name="Normal - Style1" xfId="136" xr:uid="{00000000-0005-0000-0000-000033010000}"/>
    <cellStyle name="Normal 10" xfId="241" xr:uid="{00000000-0005-0000-0000-000034010000}"/>
    <cellStyle name="Normal 10 2" xfId="295" xr:uid="{00000000-0005-0000-0000-000035010000}"/>
    <cellStyle name="Normal 10 2 2" xfId="371" xr:uid="{00000000-0005-0000-0000-000036010000}"/>
    <cellStyle name="Normal 10 2 2 2" xfId="455" xr:uid="{00000000-0005-0000-0000-000037010000}"/>
    <cellStyle name="Normal 10 2 3" xfId="387" xr:uid="{00000000-0005-0000-0000-000038010000}"/>
    <cellStyle name="Normal 10 3" xfId="337" xr:uid="{00000000-0005-0000-0000-000039010000}"/>
    <cellStyle name="Normal 10 3 2" xfId="421" xr:uid="{00000000-0005-0000-0000-00003A010000}"/>
    <cellStyle name="Normal 10 4" xfId="381" xr:uid="{00000000-0005-0000-0000-00003B010000}"/>
    <cellStyle name="Normal 11" xfId="264" xr:uid="{00000000-0005-0000-0000-00003C010000}"/>
    <cellStyle name="Normal 11 2" xfId="298" xr:uid="{00000000-0005-0000-0000-00003D010000}"/>
    <cellStyle name="Normal 11 3" xfId="341" xr:uid="{00000000-0005-0000-0000-00003E010000}"/>
    <cellStyle name="Normal 11 3 2" xfId="425" xr:uid="{00000000-0005-0000-0000-00003F010000}"/>
    <cellStyle name="Normal 11 4" xfId="384" xr:uid="{00000000-0005-0000-0000-000040010000}"/>
    <cellStyle name="Normal 12" xfId="301" xr:uid="{00000000-0005-0000-0000-000041010000}"/>
    <cellStyle name="Normal 12 2" xfId="375" xr:uid="{00000000-0005-0000-0000-000042010000}"/>
    <cellStyle name="Normal 12 2 2" xfId="459" xr:uid="{00000000-0005-0000-0000-000043010000}"/>
    <cellStyle name="Normal 12 3" xfId="390" xr:uid="{00000000-0005-0000-0000-000044010000}"/>
    <cellStyle name="Normal 13" xfId="137" xr:uid="{00000000-0005-0000-0000-000045010000}"/>
    <cellStyle name="Normal 13 2" xfId="7" xr:uid="{00000000-0005-0000-0000-000046010000}"/>
    <cellStyle name="Normal 13_29(d) - Gas extensions -tariffs" xfId="138" xr:uid="{00000000-0005-0000-0000-000047010000}"/>
    <cellStyle name="Normal 14" xfId="305" xr:uid="{00000000-0005-0000-0000-000048010000}"/>
    <cellStyle name="Normal 15" xfId="139" xr:uid="{00000000-0005-0000-0000-000049010000}"/>
    <cellStyle name="Normal 16" xfId="140" xr:uid="{00000000-0005-0000-0000-00004A010000}"/>
    <cellStyle name="Normal 17" xfId="306" xr:uid="{00000000-0005-0000-0000-00004B010000}"/>
    <cellStyle name="Normal 2" xfId="141" xr:uid="{00000000-0005-0000-0000-00004C010000}"/>
    <cellStyle name="Normal 2 2" xfId="142" xr:uid="{00000000-0005-0000-0000-00004D010000}"/>
    <cellStyle name="Normal 2 2 2" xfId="143" xr:uid="{00000000-0005-0000-0000-00004E010000}"/>
    <cellStyle name="Normal 2 3" xfId="144" xr:uid="{00000000-0005-0000-0000-00004F010000}"/>
    <cellStyle name="Normal 2 3 2" xfId="145" xr:uid="{00000000-0005-0000-0000-000050010000}"/>
    <cellStyle name="Normal 2 3_29(d) - Gas extensions -tariffs" xfId="146" xr:uid="{00000000-0005-0000-0000-000051010000}"/>
    <cellStyle name="Normal 2 4" xfId="147" xr:uid="{00000000-0005-0000-0000-000052010000}"/>
    <cellStyle name="Normal 2 5" xfId="148" xr:uid="{00000000-0005-0000-0000-000053010000}"/>
    <cellStyle name="Normal 2_29(d) - Gas extensions -tariffs" xfId="149" xr:uid="{00000000-0005-0000-0000-000054010000}"/>
    <cellStyle name="Normal 3" xfId="150" xr:uid="{00000000-0005-0000-0000-000055010000}"/>
    <cellStyle name="Normal 3 2" xfId="151" xr:uid="{00000000-0005-0000-0000-000056010000}"/>
    <cellStyle name="Normal 3_29(d) - Gas extensions -tariffs" xfId="152" xr:uid="{00000000-0005-0000-0000-000057010000}"/>
    <cellStyle name="Normal 38" xfId="153" xr:uid="{00000000-0005-0000-0000-000058010000}"/>
    <cellStyle name="Normal 38 2" xfId="154" xr:uid="{00000000-0005-0000-0000-000059010000}"/>
    <cellStyle name="Normal 38_29(d) - Gas extensions -tariffs" xfId="155" xr:uid="{00000000-0005-0000-0000-00005A010000}"/>
    <cellStyle name="Normal 4" xfId="156" xr:uid="{00000000-0005-0000-0000-00005B010000}"/>
    <cellStyle name="Normal 4 2" xfId="157" xr:uid="{00000000-0005-0000-0000-00005C010000}"/>
    <cellStyle name="Normal 4 3" xfId="158" xr:uid="{00000000-0005-0000-0000-00005D010000}"/>
    <cellStyle name="Normal 4 3 2" xfId="293" xr:uid="{00000000-0005-0000-0000-00005E010000}"/>
    <cellStyle name="Normal 4 3 2 2" xfId="369" xr:uid="{00000000-0005-0000-0000-00005F010000}"/>
    <cellStyle name="Normal 4 3 2 2 2" xfId="453" xr:uid="{00000000-0005-0000-0000-000060010000}"/>
    <cellStyle name="Normal 4 3 2 3" xfId="385" xr:uid="{00000000-0005-0000-0000-000061010000}"/>
    <cellStyle name="Normal 4 3 3" xfId="334" xr:uid="{00000000-0005-0000-0000-000062010000}"/>
    <cellStyle name="Normal 4 3 3 2" xfId="418" xr:uid="{00000000-0005-0000-0000-000063010000}"/>
    <cellStyle name="Normal 4 3 4" xfId="379" xr:uid="{00000000-0005-0000-0000-000064010000}"/>
    <cellStyle name="Normal 4_29(d) - Gas extensions -tariffs" xfId="159" xr:uid="{00000000-0005-0000-0000-000065010000}"/>
    <cellStyle name="Normal 40" xfId="160" xr:uid="{00000000-0005-0000-0000-000066010000}"/>
    <cellStyle name="Normal 40 2" xfId="161" xr:uid="{00000000-0005-0000-0000-000067010000}"/>
    <cellStyle name="Normal 40_29(d) - Gas extensions -tariffs" xfId="162" xr:uid="{00000000-0005-0000-0000-000068010000}"/>
    <cellStyle name="Normal 42" xfId="303" xr:uid="{00000000-0005-0000-0000-000069010000}"/>
    <cellStyle name="Normal 5" xfId="163" xr:uid="{00000000-0005-0000-0000-00006A010000}"/>
    <cellStyle name="Normal 5 2" xfId="164" xr:uid="{00000000-0005-0000-0000-00006B010000}"/>
    <cellStyle name="Normal 6" xfId="165" xr:uid="{00000000-0005-0000-0000-00006C010000}"/>
    <cellStyle name="Normal 6 2" xfId="166" xr:uid="{00000000-0005-0000-0000-00006D010000}"/>
    <cellStyle name="Normal 7" xfId="9" xr:uid="{00000000-0005-0000-0000-00006E010000}"/>
    <cellStyle name="Normal 7 2" xfId="167" xr:uid="{00000000-0005-0000-0000-00006F010000}"/>
    <cellStyle name="Normal 7 2 2" xfId="294" xr:uid="{00000000-0005-0000-0000-000070010000}"/>
    <cellStyle name="Normal 7 2 2 2" xfId="370" xr:uid="{00000000-0005-0000-0000-000071010000}"/>
    <cellStyle name="Normal 7 2 2 2 2" xfId="454" xr:uid="{00000000-0005-0000-0000-000072010000}"/>
    <cellStyle name="Normal 7 2 2 3" xfId="386" xr:uid="{00000000-0005-0000-0000-000073010000}"/>
    <cellStyle name="Normal 7 2 3" xfId="335" xr:uid="{00000000-0005-0000-0000-000074010000}"/>
    <cellStyle name="Normal 7 2 3 2" xfId="419" xr:uid="{00000000-0005-0000-0000-000075010000}"/>
    <cellStyle name="Normal 7 2 4" xfId="380" xr:uid="{00000000-0005-0000-0000-000076010000}"/>
    <cellStyle name="Normal 8" xfId="168" xr:uid="{00000000-0005-0000-0000-000077010000}"/>
    <cellStyle name="Normal 9" xfId="169" xr:uid="{00000000-0005-0000-0000-000078010000}"/>
    <cellStyle name="Note 2" xfId="170" xr:uid="{00000000-0005-0000-0000-000079010000}"/>
    <cellStyle name="OffSheet" xfId="255" xr:uid="{00000000-0005-0000-0000-00007A010000}"/>
    <cellStyle name="Output 2" xfId="171" xr:uid="{00000000-0005-0000-0000-00007B010000}"/>
    <cellStyle name="Percent" xfId="2" builtinId="5"/>
    <cellStyle name="Percent [2]" xfId="172" xr:uid="{00000000-0005-0000-0000-00007D010000}"/>
    <cellStyle name="Percent [2] 2" xfId="173" xr:uid="{00000000-0005-0000-0000-00007E010000}"/>
    <cellStyle name="Percent [2]_29(d) - Gas extensions -tariffs" xfId="174" xr:uid="{00000000-0005-0000-0000-00007F010000}"/>
    <cellStyle name="Percent 2" xfId="4" xr:uid="{00000000-0005-0000-0000-000080010000}"/>
    <cellStyle name="Percent 2 2" xfId="175" xr:uid="{00000000-0005-0000-0000-000081010000}"/>
    <cellStyle name="Percent 3" xfId="176" xr:uid="{00000000-0005-0000-0000-000082010000}"/>
    <cellStyle name="Percent 3 2" xfId="177" xr:uid="{00000000-0005-0000-0000-000083010000}"/>
    <cellStyle name="Percent 4" xfId="178" xr:uid="{00000000-0005-0000-0000-000084010000}"/>
    <cellStyle name="Percent 5" xfId="242" xr:uid="{00000000-0005-0000-0000-000085010000}"/>
    <cellStyle name="Percent 5 2" xfId="296" xr:uid="{00000000-0005-0000-0000-000086010000}"/>
    <cellStyle name="Percent 5 2 2" xfId="372" xr:uid="{00000000-0005-0000-0000-000087010000}"/>
    <cellStyle name="Percent 5 2 2 2" xfId="456" xr:uid="{00000000-0005-0000-0000-000088010000}"/>
    <cellStyle name="Percent 5 2 3" xfId="388" xr:uid="{00000000-0005-0000-0000-000089010000}"/>
    <cellStyle name="Percent 5 3" xfId="338" xr:uid="{00000000-0005-0000-0000-00008A010000}"/>
    <cellStyle name="Percent 5 3 2" xfId="422" xr:uid="{00000000-0005-0000-0000-00008B010000}"/>
    <cellStyle name="Percent 5 4" xfId="382" xr:uid="{00000000-0005-0000-0000-00008C010000}"/>
    <cellStyle name="Percent 6" xfId="299" xr:uid="{00000000-0005-0000-0000-00008D010000}"/>
    <cellStyle name="Percent 7" xfId="179" xr:uid="{00000000-0005-0000-0000-00008E010000}"/>
    <cellStyle name="Percentage" xfId="180" xr:uid="{00000000-0005-0000-0000-00008F010000}"/>
    <cellStyle name="Period Title" xfId="181" xr:uid="{00000000-0005-0000-0000-000090010000}"/>
    <cellStyle name="PSChar" xfId="182" xr:uid="{00000000-0005-0000-0000-000091010000}"/>
    <cellStyle name="PSDate" xfId="183" xr:uid="{00000000-0005-0000-0000-000092010000}"/>
    <cellStyle name="PSDec" xfId="184" xr:uid="{00000000-0005-0000-0000-000093010000}"/>
    <cellStyle name="PSDetail" xfId="185" xr:uid="{00000000-0005-0000-0000-000094010000}"/>
    <cellStyle name="PSHeading" xfId="186" xr:uid="{00000000-0005-0000-0000-000095010000}"/>
    <cellStyle name="PSInt" xfId="187" xr:uid="{00000000-0005-0000-0000-000096010000}"/>
    <cellStyle name="PSSpacer" xfId="188" xr:uid="{00000000-0005-0000-0000-000097010000}"/>
    <cellStyle name="Ratio" xfId="189" xr:uid="{00000000-0005-0000-0000-000098010000}"/>
    <cellStyle name="Ratio 2" xfId="190" xr:uid="{00000000-0005-0000-0000-000099010000}"/>
    <cellStyle name="Ratio_29(d) - Gas extensions -tariffs" xfId="191" xr:uid="{00000000-0005-0000-0000-00009A010000}"/>
    <cellStyle name="Right Date" xfId="192" xr:uid="{00000000-0005-0000-0000-00009B010000}"/>
    <cellStyle name="Right Number" xfId="193" xr:uid="{00000000-0005-0000-0000-00009C010000}"/>
    <cellStyle name="Right Year" xfId="194" xr:uid="{00000000-0005-0000-0000-00009D010000}"/>
    <cellStyle name="SAPError" xfId="195" xr:uid="{00000000-0005-0000-0000-00009E010000}"/>
    <cellStyle name="SAPError 2" xfId="196" xr:uid="{00000000-0005-0000-0000-00009F010000}"/>
    <cellStyle name="SAPKey" xfId="197" xr:uid="{00000000-0005-0000-0000-0000A0010000}"/>
    <cellStyle name="SAPKey 2" xfId="198" xr:uid="{00000000-0005-0000-0000-0000A1010000}"/>
    <cellStyle name="SAPLocked" xfId="199" xr:uid="{00000000-0005-0000-0000-0000A2010000}"/>
    <cellStyle name="SAPLocked 2" xfId="200" xr:uid="{00000000-0005-0000-0000-0000A3010000}"/>
    <cellStyle name="SAPOutput" xfId="201" xr:uid="{00000000-0005-0000-0000-0000A4010000}"/>
    <cellStyle name="SAPOutput 2" xfId="202" xr:uid="{00000000-0005-0000-0000-0000A5010000}"/>
    <cellStyle name="SAPSpace" xfId="203" xr:uid="{00000000-0005-0000-0000-0000A6010000}"/>
    <cellStyle name="SAPSpace 2" xfId="204" xr:uid="{00000000-0005-0000-0000-0000A7010000}"/>
    <cellStyle name="SAPText" xfId="205" xr:uid="{00000000-0005-0000-0000-0000A8010000}"/>
    <cellStyle name="SAPText 2" xfId="206" xr:uid="{00000000-0005-0000-0000-0000A9010000}"/>
    <cellStyle name="SAPUnLocked" xfId="207" xr:uid="{00000000-0005-0000-0000-0000AA010000}"/>
    <cellStyle name="SAPUnLocked 2" xfId="208" xr:uid="{00000000-0005-0000-0000-0000AB010000}"/>
    <cellStyle name="Sheet Title" xfId="209" xr:uid="{00000000-0005-0000-0000-0000AC010000}"/>
    <cellStyle name="SheetHeader1" xfId="256" xr:uid="{00000000-0005-0000-0000-0000AD010000}"/>
    <cellStyle name="SheetHeader2" xfId="257" xr:uid="{00000000-0005-0000-0000-0000AE010000}"/>
    <cellStyle name="SheetHeader3" xfId="258" xr:uid="{00000000-0005-0000-0000-0000AF010000}"/>
    <cellStyle name="Style 1" xfId="210" xr:uid="{00000000-0005-0000-0000-0000B0010000}"/>
    <cellStyle name="Style 1 2" xfId="211" xr:uid="{00000000-0005-0000-0000-0000B1010000}"/>
    <cellStyle name="Style 1_29(d) - Gas extensions -tariffs" xfId="212" xr:uid="{00000000-0005-0000-0000-0000B2010000}"/>
    <cellStyle name="Style2" xfId="213" xr:uid="{00000000-0005-0000-0000-0000B3010000}"/>
    <cellStyle name="Style3" xfId="214" xr:uid="{00000000-0005-0000-0000-0000B4010000}"/>
    <cellStyle name="Style4" xfId="215" xr:uid="{00000000-0005-0000-0000-0000B5010000}"/>
    <cellStyle name="Style4 2" xfId="216" xr:uid="{00000000-0005-0000-0000-0000B6010000}"/>
    <cellStyle name="Style4_29(d) - Gas extensions -tariffs" xfId="217" xr:uid="{00000000-0005-0000-0000-0000B7010000}"/>
    <cellStyle name="Style5" xfId="218" xr:uid="{00000000-0005-0000-0000-0000B8010000}"/>
    <cellStyle name="Style5 2" xfId="219" xr:uid="{00000000-0005-0000-0000-0000B9010000}"/>
    <cellStyle name="Style5_29(d) - Gas extensions -tariffs" xfId="220" xr:uid="{00000000-0005-0000-0000-0000BA010000}"/>
    <cellStyle name="Table Head Green" xfId="221" xr:uid="{00000000-0005-0000-0000-0000BB010000}"/>
    <cellStyle name="Table Head_pldt" xfId="222" xr:uid="{00000000-0005-0000-0000-0000BC010000}"/>
    <cellStyle name="Table Source" xfId="223" xr:uid="{00000000-0005-0000-0000-0000BD010000}"/>
    <cellStyle name="Table Units" xfId="224" xr:uid="{00000000-0005-0000-0000-0000BE010000}"/>
    <cellStyle name="Table_Heading" xfId="259" xr:uid="{00000000-0005-0000-0000-0000BF010000}"/>
    <cellStyle name="TableLvl3" xfId="466" xr:uid="{00000000-0005-0000-0000-0000C0010000}"/>
    <cellStyle name="Technical_Input" xfId="260" xr:uid="{00000000-0005-0000-0000-0000C1010000}"/>
    <cellStyle name="Text" xfId="225" xr:uid="{00000000-0005-0000-0000-0000C2010000}"/>
    <cellStyle name="Text 2" xfId="226" xr:uid="{00000000-0005-0000-0000-0000C3010000}"/>
    <cellStyle name="Text 3" xfId="227" xr:uid="{00000000-0005-0000-0000-0000C4010000}"/>
    <cellStyle name="Text Head 1" xfId="228" xr:uid="{00000000-0005-0000-0000-0000C5010000}"/>
    <cellStyle name="Text Head 2" xfId="229" xr:uid="{00000000-0005-0000-0000-0000C6010000}"/>
    <cellStyle name="Text Indent 2" xfId="230" xr:uid="{00000000-0005-0000-0000-0000C7010000}"/>
    <cellStyle name="Theirs" xfId="231" xr:uid="{00000000-0005-0000-0000-0000C8010000}"/>
    <cellStyle name="Title 2" xfId="232" xr:uid="{00000000-0005-0000-0000-0000C9010000}"/>
    <cellStyle name="TOC 1" xfId="233" xr:uid="{00000000-0005-0000-0000-0000CA010000}"/>
    <cellStyle name="TOC 2" xfId="234" xr:uid="{00000000-0005-0000-0000-0000CB010000}"/>
    <cellStyle name="TOC 3" xfId="235" xr:uid="{00000000-0005-0000-0000-0000CC010000}"/>
    <cellStyle name="Total 2" xfId="236" xr:uid="{00000000-0005-0000-0000-0000CD010000}"/>
    <cellStyle name="Totals" xfId="261" xr:uid="{00000000-0005-0000-0000-0000CE010000}"/>
    <cellStyle name="unit" xfId="262" xr:uid="{00000000-0005-0000-0000-0000CF010000}"/>
    <cellStyle name="User_Input" xfId="263" xr:uid="{00000000-0005-0000-0000-0000D0010000}"/>
    <cellStyle name="Warning Text 2" xfId="237" xr:uid="{00000000-0005-0000-0000-0000D1010000}"/>
    <cellStyle name="year" xfId="238" xr:uid="{00000000-0005-0000-0000-0000D2010000}"/>
    <cellStyle name="year 2" xfId="239" xr:uid="{00000000-0005-0000-0000-0000D3010000}"/>
    <cellStyle name="year_29(d) - Gas extensions -tariffs" xfId="240" xr:uid="{00000000-0005-0000-0000-0000D4010000}"/>
  </cellStyles>
  <dxfs count="14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  <color rgb="FFFFFFCC"/>
      <color rgb="FFDBE5F1"/>
      <color rgb="FF006100"/>
      <color rgb="FFC6EFCE"/>
      <color rgb="FF9C0006"/>
      <color rgb="FFFFFF99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AD31"/>
  <sheetViews>
    <sheetView showGridLines="0" workbookViewId="0">
      <selection activeCell="A32" sqref="A32:XFD33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30" s="1" customFormat="1" ht="15.75" customHeight="1">
      <c r="A1" s="32"/>
      <c r="B1" s="29" t="s">
        <v>0</v>
      </c>
      <c r="C1" s="29"/>
      <c r="D1" s="32"/>
      <c r="E1" s="32"/>
      <c r="G1" s="2"/>
      <c r="H1" s="3"/>
      <c r="I1" s="4"/>
    </row>
    <row r="2" spans="1:30" s="5" customFormat="1" ht="13.5" customHeight="1" thickBot="1">
      <c r="A2" s="165"/>
      <c r="B2" s="166" t="s">
        <v>1</v>
      </c>
      <c r="C2" s="166"/>
      <c r="D2" s="165"/>
      <c r="E2" s="165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</row>
    <row r="3" spans="1:30" s="6" customFormat="1" ht="3" customHeight="1"/>
    <row r="4" spans="1:30" customFormat="1" ht="12.75">
      <c r="A4" s="36"/>
      <c r="B4" s="42" t="s">
        <v>2</v>
      </c>
      <c r="C4" s="36"/>
      <c r="D4" s="36"/>
      <c r="E4" s="36"/>
      <c r="F4" s="37"/>
      <c r="G4" s="37"/>
      <c r="H4" s="37"/>
      <c r="I4" s="37"/>
      <c r="J4" s="38"/>
      <c r="K4" s="39"/>
      <c r="L4" s="38"/>
      <c r="M4" s="39"/>
      <c r="N4" s="38"/>
      <c r="O4" s="38"/>
      <c r="P4" s="38"/>
      <c r="Q4" s="38"/>
      <c r="R4" s="38"/>
      <c r="S4" s="38"/>
      <c r="T4" s="38"/>
      <c r="U4" s="38"/>
      <c r="V4" s="39"/>
      <c r="W4" s="39"/>
      <c r="X4" s="40"/>
      <c r="Y4" s="40"/>
      <c r="Z4" s="40"/>
      <c r="AA4" s="40"/>
      <c r="AB4" s="40"/>
      <c r="AC4" s="41"/>
      <c r="AD4" s="41"/>
    </row>
    <row r="5" spans="1:30"/>
    <row r="6" spans="1:30">
      <c r="C6" s="9" t="s">
        <v>3</v>
      </c>
      <c r="D6" s="9" t="s">
        <v>4</v>
      </c>
    </row>
    <row r="7" spans="1:30">
      <c r="C7" s="19" t="s">
        <v>5</v>
      </c>
      <c r="D7" s="7" t="s">
        <v>6</v>
      </c>
    </row>
    <row r="8" spans="1:30">
      <c r="C8" s="19" t="s">
        <v>7</v>
      </c>
      <c r="D8" s="7" t="s">
        <v>8</v>
      </c>
    </row>
    <row r="9" spans="1:30">
      <c r="C9" s="19" t="s">
        <v>9</v>
      </c>
      <c r="D9" s="7" t="s">
        <v>10</v>
      </c>
    </row>
    <row r="10" spans="1:30">
      <c r="C10" s="19" t="s">
        <v>11</v>
      </c>
      <c r="D10" s="7" t="s">
        <v>12</v>
      </c>
    </row>
    <row r="11" spans="1:30">
      <c r="C11" s="19" t="s">
        <v>13</v>
      </c>
      <c r="D11" s="7" t="s">
        <v>14</v>
      </c>
    </row>
    <row r="12" spans="1:30">
      <c r="C12" s="19" t="s">
        <v>15</v>
      </c>
      <c r="D12" s="7" t="s">
        <v>16</v>
      </c>
    </row>
    <row r="13" spans="1:30">
      <c r="C13" s="154" t="s">
        <v>17</v>
      </c>
      <c r="D13" s="7" t="s">
        <v>18</v>
      </c>
    </row>
    <row r="14" spans="1:30">
      <c r="C14" s="19" t="s">
        <v>19</v>
      </c>
      <c r="D14" s="7" t="s">
        <v>20</v>
      </c>
    </row>
    <row r="15" spans="1:30">
      <c r="C15" s="19" t="s">
        <v>21</v>
      </c>
      <c r="D15" s="7" t="s">
        <v>22</v>
      </c>
    </row>
    <row r="16" spans="1:30" ht="12.75">
      <c r="C16" s="10"/>
      <c r="D16" s="7"/>
    </row>
    <row r="17" spans="1:30" customFormat="1" ht="12.75">
      <c r="A17" s="36"/>
      <c r="B17" s="42" t="s">
        <v>23</v>
      </c>
      <c r="C17" s="36"/>
      <c r="D17" s="36"/>
      <c r="E17" s="36"/>
      <c r="F17" s="37"/>
      <c r="G17" s="37"/>
      <c r="H17" s="37"/>
      <c r="I17" s="37"/>
      <c r="J17" s="38"/>
      <c r="K17" s="39"/>
      <c r="L17" s="38"/>
      <c r="M17" s="39"/>
      <c r="N17" s="38"/>
      <c r="O17" s="38"/>
      <c r="P17" s="38"/>
      <c r="Q17" s="38"/>
      <c r="R17" s="38"/>
      <c r="S17" s="38"/>
      <c r="T17" s="38"/>
      <c r="U17" s="38"/>
      <c r="V17" s="39"/>
      <c r="W17" s="39"/>
      <c r="X17" s="40"/>
      <c r="Y17" s="40"/>
      <c r="Z17" s="40"/>
      <c r="AA17" s="40"/>
      <c r="AB17" s="40"/>
      <c r="AC17" s="41"/>
      <c r="AD17" s="41"/>
    </row>
    <row r="18" spans="1:30" hidden="1">
      <c r="D18" s="7"/>
      <c r="F18" s="26"/>
    </row>
    <row r="19" spans="1:30" hidden="1">
      <c r="D19" s="7"/>
      <c r="F19" s="26"/>
    </row>
    <row r="20" spans="1:30" hidden="1">
      <c r="D20" s="7"/>
      <c r="F20" s="26"/>
    </row>
    <row r="21" spans="1:30" hidden="1">
      <c r="D21" s="7"/>
      <c r="F21" s="26"/>
    </row>
    <row r="22" spans="1:30" hidden="1">
      <c r="D22" s="7"/>
      <c r="F22" s="26"/>
    </row>
    <row r="23" spans="1:30" hidden="1">
      <c r="C23" s="7"/>
      <c r="D23" s="7"/>
      <c r="F23" s="26"/>
    </row>
    <row r="24" spans="1:30" hidden="1">
      <c r="C24" s="7"/>
      <c r="D24" s="7"/>
      <c r="F24" s="26"/>
    </row>
    <row r="25" spans="1:30" hidden="1">
      <c r="C25" s="7"/>
      <c r="D25" s="7"/>
    </row>
    <row r="26" spans="1:30" hidden="1"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t="12.75" hidden="1">
      <c r="C31" s="10"/>
      <c r="D31" s="7"/>
    </row>
  </sheetData>
  <hyperlinks>
    <hyperlink ref="C12" location="'Calc|Opex forecast'!A1" display="Calc | Opex Forecast" xr:uid="{00000000-0004-0000-0000-000000000000}"/>
    <hyperlink ref="C13" location="'Output|Models'!A1" display="Output | Models" xr:uid="{00000000-0004-0000-0000-000001000000}"/>
    <hyperlink ref="C14" location="'Lookup|Tables'!A1" display="Lookup | Tables" xr:uid="{00000000-0004-0000-0000-000002000000}"/>
    <hyperlink ref="C15" location="'Check|List'!A1" display="Check | List" xr:uid="{00000000-0004-0000-0000-000003000000}"/>
    <hyperlink ref="C7" location="'Input|General'!A1" display="Input | General" xr:uid="{00000000-0004-0000-0000-000004000000}"/>
    <hyperlink ref="C9" location="'Input|Reported opex'!A1" display="Input | Reported opex" xr:uid="{00000000-0004-0000-0000-000005000000}"/>
    <hyperlink ref="C11" location="'Input|Step changes'!A1" display="Input | Step changes" xr:uid="{00000000-0004-0000-0000-000006000000}"/>
    <hyperlink ref="C8" location="'Input|Inflation'!A1" display="Input | Inflation" xr:uid="{00000000-0004-0000-0000-000007000000}"/>
    <hyperlink ref="C10" location="'Input|Rate of change'!A1" display="Input | Rate of change" xr:uid="{00000000-0004-0000-0000-000008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AD27"/>
  <sheetViews>
    <sheetView showGridLines="0" zoomScaleNormal="100" workbookViewId="0">
      <selection activeCell="G14" sqref="G14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1.1640625" style="16" customWidth="1"/>
    <col min="5" max="6" width="3.33203125" style="16" customWidth="1"/>
    <col min="7" max="7" width="16.1640625" style="16" bestFit="1" customWidth="1"/>
    <col min="8" max="9" width="3.33203125" style="16" customWidth="1"/>
    <col min="10" max="23" width="10.83203125" style="8" customWidth="1"/>
    <col min="24" max="38" width="10.5" style="8" hidden="1" customWidth="1"/>
    <col min="39" max="16384" width="10.5" style="8" hidden="1"/>
  </cols>
  <sheetData>
    <row r="1" spans="1:30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tr">
        <f>IF(COUNTA($S$5:$S$16)=COUNTIF($S5:$S17,"OK"),"OK","Check")</f>
        <v>OK</v>
      </c>
      <c r="U1" s="129" t="s">
        <v>30</v>
      </c>
      <c r="V1" s="34" t="str">
        <f>'Check|List'!$S$1</f>
        <v>Ok</v>
      </c>
    </row>
    <row r="2" spans="1:30" s="35" customFormat="1" ht="13.5" thickBot="1">
      <c r="A2" s="165"/>
      <c r="B2" s="166" t="str">
        <f>Index!$C$7</f>
        <v>Input | General</v>
      </c>
      <c r="C2" s="166"/>
      <c r="D2" s="166"/>
      <c r="E2" s="166"/>
      <c r="F2" s="168"/>
      <c r="G2" s="168"/>
      <c r="H2" s="168"/>
      <c r="I2" s="168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</row>
    <row r="3" spans="1:30" s="6" customFormat="1" ht="3" customHeight="1">
      <c r="D3" s="22"/>
      <c r="E3" s="22"/>
      <c r="F3" s="22"/>
      <c r="G3" s="22"/>
      <c r="H3" s="22"/>
      <c r="I3" s="22"/>
    </row>
    <row r="4" spans="1:30" customFormat="1" ht="12.75">
      <c r="A4" s="36"/>
      <c r="B4" s="42" t="s">
        <v>31</v>
      </c>
      <c r="C4" s="36"/>
      <c r="D4" s="36"/>
      <c r="E4" s="36"/>
      <c r="F4" s="37"/>
      <c r="G4" s="37"/>
      <c r="H4" s="37"/>
      <c r="I4" s="37"/>
      <c r="J4" s="38"/>
      <c r="K4" s="39"/>
      <c r="L4" s="38"/>
      <c r="M4" s="39"/>
      <c r="N4" s="38"/>
      <c r="O4" s="38"/>
      <c r="P4" s="38"/>
      <c r="Q4" s="38"/>
      <c r="R4" s="38"/>
      <c r="S4" s="38"/>
      <c r="T4" s="38"/>
      <c r="U4" s="38"/>
      <c r="V4" s="39"/>
      <c r="W4" s="39"/>
      <c r="X4" s="40"/>
      <c r="Y4" s="40"/>
      <c r="Z4" s="40"/>
      <c r="AA4" s="40"/>
      <c r="AB4" s="40"/>
      <c r="AC4" s="41"/>
      <c r="AD4" s="41"/>
    </row>
    <row r="5" spans="1:30"/>
    <row r="6" spans="1:30">
      <c r="C6" s="13" t="s">
        <v>32</v>
      </c>
      <c r="D6" s="21" t="s">
        <v>33</v>
      </c>
      <c r="E6" s="21"/>
      <c r="F6" s="14"/>
      <c r="G6" s="14" t="s">
        <v>34</v>
      </c>
      <c r="H6" s="14"/>
      <c r="I6" s="8"/>
    </row>
    <row r="7" spans="1:30">
      <c r="C7" s="8" t="s">
        <v>35</v>
      </c>
      <c r="D7" s="16" t="s">
        <v>36</v>
      </c>
      <c r="E7" s="8"/>
      <c r="F7" s="8"/>
      <c r="G7" s="43" t="s">
        <v>37</v>
      </c>
      <c r="H7" s="8"/>
      <c r="I7" s="8"/>
      <c r="S7" s="88" t="str">
        <f>IF(COUNTBLANK($G7),"Check","Ok")</f>
        <v>Ok</v>
      </c>
    </row>
    <row r="8" spans="1:30">
      <c r="C8" s="8" t="s">
        <v>38</v>
      </c>
      <c r="D8" s="16" t="s">
        <v>39</v>
      </c>
      <c r="E8" s="8"/>
      <c r="F8" s="8"/>
      <c r="G8" s="43" t="s">
        <v>40</v>
      </c>
      <c r="H8" s="8"/>
      <c r="I8" s="8"/>
      <c r="S8" s="88" t="str">
        <f>IF(COUNTBLANK($G8),"Check","Ok")</f>
        <v>Ok</v>
      </c>
    </row>
    <row r="9" spans="1:30">
      <c r="C9" s="8" t="s">
        <v>41</v>
      </c>
      <c r="D9" s="16" t="s">
        <v>36</v>
      </c>
      <c r="E9" s="8"/>
      <c r="F9" s="8"/>
      <c r="G9" s="106">
        <v>36678</v>
      </c>
      <c r="H9" s="8"/>
      <c r="I9" s="8"/>
      <c r="S9" s="88" t="str">
        <f>IF(COUNTBLANK($G9),"Check","Ok")</f>
        <v>Ok</v>
      </c>
    </row>
    <row r="10" spans="1:30">
      <c r="C10" s="8" t="s">
        <v>42</v>
      </c>
      <c r="D10" s="16" t="s">
        <v>36</v>
      </c>
      <c r="E10" s="8"/>
      <c r="F10" s="8"/>
      <c r="G10" s="107">
        <v>2021</v>
      </c>
      <c r="H10" s="8"/>
      <c r="I10" s="8"/>
      <c r="S10" s="88" t="str">
        <f t="shared" ref="S10:S15" si="0">IF(COUNTBLANK($G10),"Check","Ok")</f>
        <v>Ok</v>
      </c>
    </row>
    <row r="11" spans="1:30">
      <c r="C11" s="8" t="s">
        <v>43</v>
      </c>
      <c r="D11" s="16" t="s">
        <v>36</v>
      </c>
      <c r="E11" s="8"/>
      <c r="F11" s="8"/>
      <c r="G11" s="107">
        <v>2022</v>
      </c>
      <c r="H11" s="8"/>
      <c r="I11" s="8"/>
      <c r="S11" s="88" t="str">
        <f t="shared" si="0"/>
        <v>Ok</v>
      </c>
    </row>
    <row r="12" spans="1:30">
      <c r="C12" s="8" t="s">
        <v>44</v>
      </c>
      <c r="D12" s="16" t="s">
        <v>36</v>
      </c>
      <c r="E12" s="8"/>
      <c r="F12" s="8"/>
      <c r="G12" s="107">
        <v>2025</v>
      </c>
      <c r="H12" s="8"/>
      <c r="I12" s="8"/>
      <c r="S12" s="88" t="str">
        <f t="shared" si="0"/>
        <v>Ok</v>
      </c>
    </row>
    <row r="13" spans="1:30">
      <c r="C13" s="8" t="s">
        <v>45</v>
      </c>
      <c r="D13" s="16" t="s">
        <v>36</v>
      </c>
      <c r="E13" s="8"/>
      <c r="F13" s="8"/>
      <c r="G13" s="107">
        <v>2026</v>
      </c>
      <c r="H13" s="8"/>
      <c r="I13" s="8"/>
      <c r="S13" s="88" t="str">
        <f t="shared" si="0"/>
        <v>Ok</v>
      </c>
    </row>
    <row r="14" spans="1:30">
      <c r="C14" s="8" t="s">
        <v>46</v>
      </c>
      <c r="D14" s="16" t="s">
        <v>36</v>
      </c>
      <c r="E14" s="8"/>
      <c r="F14" s="8"/>
      <c r="G14" s="107">
        <v>2030</v>
      </c>
      <c r="H14" s="8"/>
      <c r="I14" s="8"/>
      <c r="S14" s="88" t="str">
        <f t="shared" si="0"/>
        <v>Ok</v>
      </c>
    </row>
    <row r="15" spans="1:30">
      <c r="C15" s="8" t="s">
        <v>47</v>
      </c>
      <c r="D15" s="16" t="s">
        <v>36</v>
      </c>
      <c r="E15" s="8"/>
      <c r="F15" s="8"/>
      <c r="G15" s="107" t="s">
        <v>48</v>
      </c>
      <c r="H15" s="8"/>
      <c r="I15" s="8"/>
      <c r="S15" s="88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2.75">
      <c r="A17" s="36"/>
      <c r="B17" s="42" t="s">
        <v>23</v>
      </c>
      <c r="C17" s="36"/>
      <c r="D17" s="36"/>
      <c r="E17" s="36"/>
      <c r="F17" s="37"/>
      <c r="G17" s="37"/>
      <c r="H17" s="37"/>
      <c r="I17" s="37"/>
      <c r="J17" s="38"/>
      <c r="K17" s="39"/>
      <c r="L17" s="38"/>
      <c r="M17" s="39"/>
      <c r="N17" s="38"/>
      <c r="O17" s="38"/>
      <c r="P17" s="38"/>
      <c r="Q17" s="38"/>
      <c r="R17" s="38"/>
      <c r="S17" s="38"/>
      <c r="T17" s="38"/>
      <c r="U17" s="38"/>
      <c r="V17" s="39"/>
      <c r="W17" s="39"/>
      <c r="X17" s="40"/>
      <c r="Y17" s="40"/>
      <c r="Z17" s="40"/>
      <c r="AA17" s="40"/>
      <c r="AB17" s="40"/>
      <c r="AC17" s="41"/>
      <c r="AD17" s="41"/>
    </row>
    <row r="18" spans="1:30" hidden="1">
      <c r="G18" s="21"/>
      <c r="H18" s="21"/>
    </row>
    <row r="19" spans="1:30" hidden="1">
      <c r="G19" s="21"/>
      <c r="H19" s="21"/>
    </row>
    <row r="20" spans="1:30" hidden="1">
      <c r="G20" s="21"/>
      <c r="H20" s="21"/>
    </row>
    <row r="21" spans="1:30" hidden="1">
      <c r="G21" s="21"/>
      <c r="H21" s="21"/>
    </row>
    <row r="22" spans="1:30" hidden="1">
      <c r="G22" s="21"/>
      <c r="H22" s="21"/>
    </row>
    <row r="23" spans="1:30" hidden="1">
      <c r="G23" s="21"/>
      <c r="H23" s="21"/>
    </row>
    <row r="24" spans="1:30" hidden="1">
      <c r="G24" s="21"/>
      <c r="H24" s="21"/>
    </row>
    <row r="25" spans="1:30" hidden="1">
      <c r="G25" s="21"/>
      <c r="H25" s="21"/>
    </row>
    <row r="26" spans="1:30" hidden="1">
      <c r="G26" s="21"/>
      <c r="H26" s="21"/>
    </row>
    <row r="27" spans="1:30" hidden="1">
      <c r="G27" s="21"/>
      <c r="H27" s="21"/>
    </row>
  </sheetData>
  <dataConsolidate/>
  <conditionalFormatting sqref="S1">
    <cfRule type="cellIs" dxfId="143" priority="1" operator="equal">
      <formula>"Check"</formula>
    </cfRule>
    <cfRule type="cellIs" dxfId="142" priority="2" operator="equal">
      <formula>"Ok"</formula>
    </cfRule>
  </conditionalFormatting>
  <conditionalFormatting sqref="S7:S15">
    <cfRule type="cellIs" dxfId="141" priority="5" operator="equal">
      <formula>"Check"</formula>
    </cfRule>
    <cfRule type="cellIs" dxfId="140" priority="6" operator="equal">
      <formula>"Ok"</formula>
    </cfRule>
  </conditionalFormatting>
  <conditionalFormatting sqref="V1">
    <cfRule type="cellIs" dxfId="139" priority="3" operator="equal">
      <formula>"Check"</formula>
    </cfRule>
    <cfRule type="cellIs" dxfId="138" priority="4" operator="equal">
      <formula>"Ok"</formula>
    </cfRule>
  </conditionalFormatting>
  <conditionalFormatting sqref="W14:W16">
    <cfRule type="cellIs" dxfId="137" priority="13" operator="equal">
      <formula>"Check"</formula>
    </cfRule>
    <cfRule type="cellIs" dxfId="136" priority="14" operator="equal">
      <formula>"Ok"</formula>
    </cfRule>
  </conditionalFormatting>
  <dataValidations count="2">
    <dataValidation type="list" allowBlank="1" showInputMessage="1" showErrorMessage="1" sqref="F12:F13 I12:I16" xr:uid="{00000000-0002-0000-0100-000000000000}">
      <formula1>#REF!</formula1>
    </dataValidation>
    <dataValidation type="list" allowBlank="1" showInputMessage="1" showErrorMessage="1" sqref="F14:F16" xr:uid="{00000000-0002-0000-0100-000001000000}">
      <formula1>"Real 2010,Real 2011,Real 2012,Real 2013,Real 2014,Real 2015,Nominal"</formula1>
    </dataValidation>
  </dataValidations>
  <hyperlinks>
    <hyperlink ref="J1" location="Index!A1" display="Back to Index" xr:uid="{00000000-0004-0000-0100-000000000000}"/>
    <hyperlink ref="U1" location="'Check|List'!A1" display="Overall Check:" xr:uid="{00000000-0004-0000-01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100-000003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100-000004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100-000005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99"/>
  </sheetPr>
  <dimension ref="A1:AV96"/>
  <sheetViews>
    <sheetView showGridLines="0" topLeftCell="A46" workbookViewId="0">
      <selection activeCell="F78" sqref="F78"/>
    </sheetView>
  </sheetViews>
  <sheetFormatPr defaultColWidth="0" defaultRowHeight="11.25" customHeight="1" zeroHeight="1"/>
  <cols>
    <col min="1" max="2" width="1.5" style="8" customWidth="1"/>
    <col min="3" max="3" width="11.6640625" style="8" bestFit="1" customWidth="1"/>
    <col min="4" max="4" width="21.5" style="16" bestFit="1" customWidth="1"/>
    <col min="5" max="5" width="21.5" style="16" customWidth="1"/>
    <col min="6" max="7" width="15" style="16" customWidth="1"/>
    <col min="8" max="10" width="3.33203125" style="16" customWidth="1"/>
    <col min="11" max="24" width="10.83203125" style="8" customWidth="1"/>
    <col min="25" max="39" width="10.5" style="8" hidden="1" customWidth="1"/>
    <col min="40" max="16384" width="10.5" style="8" hidden="1"/>
  </cols>
  <sheetData>
    <row r="1" spans="1:31" s="32" customFormat="1" ht="15.75">
      <c r="B1" s="29" t="str">
        <f>Index!$B$1</f>
        <v>AER opex model v2.0</v>
      </c>
      <c r="C1" s="29"/>
      <c r="D1" s="29"/>
      <c r="E1" s="29"/>
      <c r="F1" s="29"/>
      <c r="G1" s="30"/>
      <c r="H1" s="30"/>
      <c r="I1" s="30"/>
      <c r="J1" s="30"/>
      <c r="K1" s="31" t="s">
        <v>24</v>
      </c>
      <c r="M1" s="33" t="s">
        <v>25</v>
      </c>
      <c r="N1" s="50" t="s">
        <v>26</v>
      </c>
      <c r="O1" s="11" t="s">
        <v>27</v>
      </c>
      <c r="P1" s="12" t="s">
        <v>28</v>
      </c>
      <c r="S1" s="33" t="s">
        <v>29</v>
      </c>
      <c r="T1" s="34" t="str">
        <f>IF(COUNTA($T$5:$T$85)=COUNTIF($T5:$T86,"OK"),"OK","Check")</f>
        <v>OK</v>
      </c>
      <c r="V1" s="129" t="s">
        <v>30</v>
      </c>
      <c r="W1" s="34" t="str">
        <f>'Check|List'!$S$1</f>
        <v>Ok</v>
      </c>
    </row>
    <row r="2" spans="1:31" s="35" customFormat="1" ht="13.5" thickBot="1">
      <c r="A2" s="165"/>
      <c r="B2" s="166" t="str">
        <f>Index!$C$7</f>
        <v>Input | General</v>
      </c>
      <c r="C2" s="166"/>
      <c r="D2" s="166"/>
      <c r="E2" s="166"/>
      <c r="F2" s="166"/>
      <c r="G2" s="168"/>
      <c r="H2" s="168"/>
      <c r="I2" s="168"/>
      <c r="J2" s="168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</row>
    <row r="3" spans="1:31" s="6" customFormat="1" ht="3" customHeight="1">
      <c r="D3" s="22"/>
      <c r="E3" s="22"/>
      <c r="F3" s="22"/>
      <c r="G3" s="22"/>
      <c r="H3" s="22"/>
      <c r="I3" s="22"/>
      <c r="J3" s="22"/>
    </row>
    <row r="4" spans="1:31" customFormat="1" ht="12.75">
      <c r="A4" s="36"/>
      <c r="B4" s="42" t="s">
        <v>31</v>
      </c>
      <c r="C4" s="36"/>
      <c r="D4" s="36"/>
      <c r="E4" s="36"/>
      <c r="F4" s="36"/>
      <c r="G4" s="37"/>
      <c r="H4" s="37"/>
      <c r="I4" s="37"/>
      <c r="J4" s="37"/>
      <c r="K4" s="38"/>
      <c r="L4" s="39"/>
      <c r="M4" s="38"/>
      <c r="N4" s="39"/>
      <c r="O4" s="38"/>
      <c r="P4" s="38"/>
      <c r="Q4" s="38"/>
      <c r="R4" s="38"/>
      <c r="S4" s="38"/>
      <c r="T4" s="38"/>
      <c r="U4" s="38"/>
      <c r="V4" s="38"/>
      <c r="W4" s="39"/>
      <c r="X4" s="39"/>
      <c r="Y4" s="40"/>
      <c r="Z4" s="40"/>
      <c r="AA4" s="40"/>
      <c r="AB4" s="40"/>
      <c r="AC4" s="40"/>
      <c r="AD4" s="41"/>
      <c r="AE4" s="41"/>
    </row>
    <row r="5" spans="1:31" ht="11.25" customHeight="1"/>
    <row r="6" spans="1:31" ht="53.25">
      <c r="D6" s="53" t="s">
        <v>49</v>
      </c>
      <c r="E6" s="53" t="s">
        <v>50</v>
      </c>
      <c r="F6" s="53" t="s">
        <v>49</v>
      </c>
      <c r="G6" s="53" t="s">
        <v>50</v>
      </c>
      <c r="H6" s="53"/>
      <c r="I6" s="8"/>
      <c r="J6" s="8"/>
    </row>
    <row r="7" spans="1:31">
      <c r="C7" s="9" t="s">
        <v>33</v>
      </c>
      <c r="D7" s="57" t="s">
        <v>51</v>
      </c>
      <c r="E7" s="57" t="s">
        <v>52</v>
      </c>
      <c r="F7" s="57" t="s">
        <v>51</v>
      </c>
      <c r="G7" s="57" t="s">
        <v>52</v>
      </c>
      <c r="H7" s="57"/>
      <c r="I7" s="8"/>
      <c r="J7" s="8"/>
    </row>
    <row r="8" spans="1:31">
      <c r="C8" s="9" t="s">
        <v>53</v>
      </c>
      <c r="D8" s="57" t="s">
        <v>54</v>
      </c>
      <c r="E8" s="57" t="s">
        <v>55</v>
      </c>
      <c r="F8" s="57" t="s">
        <v>54</v>
      </c>
      <c r="G8" s="57" t="s">
        <v>55</v>
      </c>
      <c r="H8" s="57"/>
      <c r="I8" s="8"/>
      <c r="J8" s="8"/>
    </row>
    <row r="9" spans="1:31">
      <c r="C9" s="55">
        <v>39172</v>
      </c>
      <c r="D9" s="54">
        <v>155.6</v>
      </c>
      <c r="E9" s="8"/>
      <c r="F9" s="8"/>
      <c r="G9" s="8"/>
      <c r="H9" s="8"/>
      <c r="I9" s="8"/>
      <c r="J9" s="8"/>
      <c r="T9" s="88" t="str">
        <f>IF(C9&gt;EOMONTH(DATE('Input|General'!$G$12,MONTH('Input|General'!$G$9),1),0),"Ok",IF(ISBLANK($D9),"Check","Ok"))</f>
        <v>Ok</v>
      </c>
    </row>
    <row r="10" spans="1:31">
      <c r="C10" s="55">
        <v>39263</v>
      </c>
      <c r="D10" s="54">
        <v>157.5</v>
      </c>
      <c r="E10" s="8"/>
      <c r="F10" s="8"/>
      <c r="G10" s="8"/>
      <c r="H10" s="8"/>
      <c r="I10" s="8"/>
      <c r="J10" s="8"/>
      <c r="T10" s="88" t="str">
        <f>IF(C10&gt;EOMONTH(DATE('Input|General'!$G$12,MONTH('Input|General'!$G$9),1),0),"Ok",IF(ISBLANK($D10),"Check","Ok"))</f>
        <v>Ok</v>
      </c>
    </row>
    <row r="11" spans="1:31">
      <c r="C11" s="55">
        <v>39355</v>
      </c>
      <c r="D11" s="54">
        <v>158.6</v>
      </c>
      <c r="E11" s="8"/>
      <c r="F11" s="8"/>
      <c r="G11" s="8"/>
      <c r="H11" s="8"/>
      <c r="I11" s="8"/>
      <c r="J11" s="8"/>
      <c r="T11" s="88" t="str">
        <f>IF(C11&gt;EOMONTH(DATE('Input|General'!$G$12,MONTH('Input|General'!$G$9),1),0),"Ok",IF(ISBLANK($D11),"Check","Ok"))</f>
        <v>Ok</v>
      </c>
    </row>
    <row r="12" spans="1:31">
      <c r="C12" s="55">
        <v>39447</v>
      </c>
      <c r="D12" s="54">
        <v>160.1</v>
      </c>
      <c r="E12" s="8"/>
      <c r="F12" s="8"/>
      <c r="G12" s="56"/>
      <c r="H12" s="8"/>
      <c r="I12" s="8"/>
      <c r="J12" s="8"/>
      <c r="T12" s="88" t="str">
        <f>IF(C12&gt;EOMONTH(DATE('Input|General'!$G$12,MONTH('Input|General'!$G$9),1),0),"Ok",IF(ISBLANK($D12),"Check","Ok"))</f>
        <v>Ok</v>
      </c>
    </row>
    <row r="13" spans="1:31">
      <c r="C13" s="55">
        <v>39538</v>
      </c>
      <c r="D13" s="54">
        <v>162.19999999999999</v>
      </c>
      <c r="E13" s="78">
        <f>D13/D9-1</f>
        <v>4.2416452442159303E-2</v>
      </c>
      <c r="F13" s="8"/>
      <c r="G13" s="56"/>
      <c r="H13" s="8"/>
      <c r="I13" s="8"/>
      <c r="J13" s="8"/>
      <c r="T13" s="88" t="str">
        <f>IF(C13&gt;EOMONTH(DATE('Input|General'!$G$12,MONTH('Input|General'!$G$9),1),0),"Ok",IF(ISBLANK($D13),"Check","Ok"))</f>
        <v>Ok</v>
      </c>
    </row>
    <row r="14" spans="1:31">
      <c r="C14" s="55">
        <v>39629</v>
      </c>
      <c r="D14" s="54">
        <v>164.6</v>
      </c>
      <c r="E14" s="78">
        <f t="shared" ref="E14:E29" si="0">D14/D10-1</f>
        <v>4.5079365079365052E-2</v>
      </c>
      <c r="F14" s="8"/>
      <c r="G14" s="56"/>
      <c r="H14" s="8"/>
      <c r="I14" s="8"/>
      <c r="J14" s="8"/>
      <c r="T14" s="88" t="str">
        <f>IF(C14&gt;EOMONTH(DATE('Input|General'!$G$12,MONTH('Input|General'!$G$9),1),0),"Ok",IF(ISBLANK($D14),"Check","Ok"))</f>
        <v>Ok</v>
      </c>
    </row>
    <row r="15" spans="1:31">
      <c r="C15" s="55">
        <v>39721</v>
      </c>
      <c r="D15" s="54">
        <v>166.5</v>
      </c>
      <c r="E15" s="78">
        <f t="shared" si="0"/>
        <v>4.9810844892812067E-2</v>
      </c>
      <c r="F15" s="8"/>
      <c r="G15" s="56"/>
      <c r="H15" s="8"/>
      <c r="I15" s="8"/>
      <c r="J15" s="8"/>
      <c r="T15" s="88" t="str">
        <f>IF(C15&gt;EOMONTH(DATE('Input|General'!$G$12,MONTH('Input|General'!$G$9),1),0),"Ok",IF(ISBLANK($D15),"Check","Ok"))</f>
        <v>Ok</v>
      </c>
    </row>
    <row r="16" spans="1:31">
      <c r="C16" s="55">
        <v>39813</v>
      </c>
      <c r="D16" s="54">
        <v>166</v>
      </c>
      <c r="E16" s="78">
        <f t="shared" si="0"/>
        <v>3.6851967520299844E-2</v>
      </c>
      <c r="F16" s="8"/>
      <c r="G16" s="56"/>
      <c r="H16" s="8"/>
      <c r="I16" s="8"/>
      <c r="J16" s="8"/>
      <c r="T16" s="88" t="str">
        <f>IF(C16&gt;EOMONTH(DATE('Input|General'!$G$12,MONTH('Input|General'!$G$9),1),0),"Ok",IF(ISBLANK($D16),"Check","Ok"))</f>
        <v>Ok</v>
      </c>
    </row>
    <row r="17" spans="3:20">
      <c r="C17" s="55">
        <v>39903</v>
      </c>
      <c r="D17" s="54">
        <v>166.2</v>
      </c>
      <c r="E17" s="78">
        <f t="shared" si="0"/>
        <v>2.4660912453760897E-2</v>
      </c>
      <c r="F17" s="8"/>
      <c r="G17" s="56"/>
      <c r="H17" s="8"/>
      <c r="I17" s="8"/>
      <c r="J17" s="8"/>
      <c r="T17" s="88" t="str">
        <f>IF(C17&gt;EOMONTH(DATE('Input|General'!$G$12,MONTH('Input|General'!$G$9),1),0),"Ok",IF(ISBLANK($D17),"Check","Ok"))</f>
        <v>Ok</v>
      </c>
    </row>
    <row r="18" spans="3:20">
      <c r="C18" s="55">
        <v>39994</v>
      </c>
      <c r="D18" s="54">
        <v>167</v>
      </c>
      <c r="E18" s="78">
        <f t="shared" si="0"/>
        <v>1.4580801944106936E-2</v>
      </c>
      <c r="F18" s="8"/>
      <c r="G18" s="56"/>
      <c r="H18" s="8"/>
      <c r="I18" s="8"/>
      <c r="J18" s="8"/>
      <c r="T18" s="88" t="str">
        <f>IF(C18&gt;EOMONTH(DATE('Input|General'!$G$12,MONTH('Input|General'!$G$9),1),0),"Ok",IF(ISBLANK($D18),"Check","Ok"))</f>
        <v>Ok</v>
      </c>
    </row>
    <row r="19" spans="3:20">
      <c r="C19" s="55">
        <v>40086</v>
      </c>
      <c r="D19" s="54">
        <v>168.6</v>
      </c>
      <c r="E19" s="78">
        <f t="shared" si="0"/>
        <v>1.2612612612612484E-2</v>
      </c>
      <c r="F19" s="8"/>
      <c r="G19" s="56"/>
      <c r="H19" s="8"/>
      <c r="I19" s="8"/>
      <c r="J19" s="8"/>
      <c r="T19" s="88" t="str">
        <f>IF(C19&gt;EOMONTH(DATE('Input|General'!$G$12,MONTH('Input|General'!$G$9),1),0),"Ok",IF(ISBLANK($D19),"Check","Ok"))</f>
        <v>Ok</v>
      </c>
    </row>
    <row r="20" spans="3:20">
      <c r="C20" s="55">
        <v>40178</v>
      </c>
      <c r="D20" s="54">
        <v>169.5</v>
      </c>
      <c r="E20" s="78">
        <f t="shared" si="0"/>
        <v>2.108433734939763E-2</v>
      </c>
      <c r="F20" s="8"/>
      <c r="G20" s="56"/>
      <c r="H20" s="8"/>
      <c r="I20" s="8"/>
      <c r="J20" s="8"/>
      <c r="T20" s="88" t="str">
        <f>IF(C20&gt;EOMONTH(DATE('Input|General'!$G$12,MONTH('Input|General'!$G$9),1),0),"Ok",IF(ISBLANK($D20),"Check","Ok"))</f>
        <v>Ok</v>
      </c>
    </row>
    <row r="21" spans="3:20">
      <c r="C21" s="55">
        <v>40268</v>
      </c>
      <c r="D21" s="54">
        <v>171</v>
      </c>
      <c r="E21" s="78">
        <f t="shared" si="0"/>
        <v>2.8880866425992746E-2</v>
      </c>
      <c r="F21" s="164">
        <v>95.2</v>
      </c>
      <c r="G21" s="56"/>
      <c r="H21" s="130"/>
      <c r="I21" s="8"/>
      <c r="J21" s="8"/>
      <c r="T21" s="88" t="str">
        <f>IF(C21&gt;EOMONTH(DATE('Input|General'!$G$12,MONTH('Input|General'!$G$9),1),0),"Ok",IF(ISBLANK($F21),"Check","Ok"))</f>
        <v>Ok</v>
      </c>
    </row>
    <row r="22" spans="3:20">
      <c r="C22" s="55">
        <v>40359</v>
      </c>
      <c r="D22" s="54">
        <v>172.1</v>
      </c>
      <c r="E22" s="78">
        <f t="shared" si="0"/>
        <v>3.0538922155688653E-2</v>
      </c>
      <c r="F22" s="164">
        <v>95.8</v>
      </c>
      <c r="G22" s="56"/>
      <c r="H22" s="130"/>
      <c r="I22" s="8"/>
      <c r="J22" s="8"/>
      <c r="T22" s="88" t="str">
        <f>IF(C22&gt;EOMONTH(DATE('Input|General'!$G$12,MONTH('Input|General'!$G$9),1),0),"Ok",IF(ISBLANK($F22),"Check","Ok"))</f>
        <v>Ok</v>
      </c>
    </row>
    <row r="23" spans="3:20">
      <c r="C23" s="55">
        <v>40451</v>
      </c>
      <c r="D23" s="54">
        <v>173.3</v>
      </c>
      <c r="E23" s="78">
        <f t="shared" si="0"/>
        <v>2.7876631079478242E-2</v>
      </c>
      <c r="F23" s="164">
        <v>96.5</v>
      </c>
      <c r="G23" s="56"/>
      <c r="H23" s="130"/>
      <c r="I23" s="8"/>
      <c r="J23" s="8"/>
      <c r="T23" s="88" t="str">
        <f>IF(C23&gt;EOMONTH(DATE('Input|General'!$G$12,MONTH('Input|General'!$G$9),1),0),"Ok",IF(ISBLANK($F23),"Check","Ok"))</f>
        <v>Ok</v>
      </c>
    </row>
    <row r="24" spans="3:20">
      <c r="C24" s="55">
        <v>40543</v>
      </c>
      <c r="D24" s="54">
        <v>174</v>
      </c>
      <c r="E24" s="78">
        <f t="shared" si="0"/>
        <v>2.6548672566371723E-2</v>
      </c>
      <c r="F24" s="164">
        <v>96.9</v>
      </c>
      <c r="G24" s="56"/>
      <c r="H24" s="130"/>
      <c r="I24" s="8"/>
      <c r="J24" s="8"/>
      <c r="T24" s="88" t="str">
        <f>IF(C24&gt;EOMONTH(DATE('Input|General'!$G$12,MONTH('Input|General'!$G$9),1),0),"Ok",IF(ISBLANK($F24),"Check","Ok"))</f>
        <v>Ok</v>
      </c>
    </row>
    <row r="25" spans="3:20">
      <c r="C25" s="55">
        <v>40633</v>
      </c>
      <c r="D25" s="54">
        <v>176.7</v>
      </c>
      <c r="E25" s="78">
        <f t="shared" si="0"/>
        <v>3.3333333333333215E-2</v>
      </c>
      <c r="F25" s="164">
        <v>98.3</v>
      </c>
      <c r="G25" s="78">
        <f t="shared" ref="G25:G56" si="1">IF(ISBLANK(F25),"",F25/F21-1)</f>
        <v>3.2563025210083918E-2</v>
      </c>
      <c r="H25" s="130"/>
      <c r="I25" s="8"/>
      <c r="J25" s="8"/>
      <c r="T25" s="88" t="str">
        <f>IF(C25&gt;EOMONTH(DATE('Input|General'!$G$12,MONTH('Input|General'!$G$9),1),0),"Ok",IF(ISBLANK($F25),"Check","Ok"))</f>
        <v>Ok</v>
      </c>
    </row>
    <row r="26" spans="3:20">
      <c r="C26" s="55">
        <v>40724</v>
      </c>
      <c r="D26" s="54">
        <v>178.3</v>
      </c>
      <c r="E26" s="78">
        <f t="shared" si="0"/>
        <v>3.6025566531086683E-2</v>
      </c>
      <c r="F26" s="164">
        <v>99.2</v>
      </c>
      <c r="G26" s="78">
        <f t="shared" si="1"/>
        <v>3.5490605427975108E-2</v>
      </c>
      <c r="H26" s="130"/>
      <c r="I26" s="8"/>
      <c r="J26" s="8"/>
      <c r="T26" s="88" t="str">
        <f>IF(C26&gt;EOMONTH(DATE('Input|General'!$G$12,MONTH('Input|General'!$G$9),1),0),"Ok",IF(ISBLANK($F26),"Check","Ok"))</f>
        <v>Ok</v>
      </c>
    </row>
    <row r="27" spans="3:20">
      <c r="C27" s="55">
        <v>40816</v>
      </c>
      <c r="D27" s="54">
        <v>179.4</v>
      </c>
      <c r="E27" s="78">
        <f t="shared" si="0"/>
        <v>3.5199076745527913E-2</v>
      </c>
      <c r="F27" s="164">
        <v>99.8</v>
      </c>
      <c r="G27" s="78">
        <f t="shared" si="1"/>
        <v>3.4196891191709877E-2</v>
      </c>
      <c r="H27" s="130"/>
      <c r="I27" s="8"/>
      <c r="J27" s="8"/>
      <c r="T27" s="88" t="str">
        <f>IF(C27&gt;EOMONTH(DATE('Input|General'!$G$12,MONTH('Input|General'!$G$9),1),0),"Ok",IF(ISBLANK($F27),"Check","Ok"))</f>
        <v>Ok</v>
      </c>
    </row>
    <row r="28" spans="3:20">
      <c r="C28" s="55">
        <v>40908</v>
      </c>
      <c r="D28" s="54">
        <v>179.4</v>
      </c>
      <c r="E28" s="78">
        <f t="shared" si="0"/>
        <v>3.1034482758620641E-2</v>
      </c>
      <c r="F28" s="164">
        <v>99.8</v>
      </c>
      <c r="G28" s="78">
        <f t="shared" si="1"/>
        <v>2.9927760577915352E-2</v>
      </c>
      <c r="H28" s="130"/>
      <c r="I28" s="8"/>
      <c r="J28" s="8"/>
      <c r="T28" s="88" t="str">
        <f>IF(C28&gt;EOMONTH(DATE('Input|General'!$G$12,MONTH('Input|General'!$G$9),1),0),"Ok",IF(ISBLANK($F28),"Check","Ok"))</f>
        <v>Ok</v>
      </c>
    </row>
    <row r="29" spans="3:20">
      <c r="C29" s="55">
        <v>40999</v>
      </c>
      <c r="D29" s="54">
        <v>179.5</v>
      </c>
      <c r="E29" s="78">
        <f t="shared" si="0"/>
        <v>1.5846066779853007E-2</v>
      </c>
      <c r="F29" s="164">
        <v>99.9</v>
      </c>
      <c r="G29" s="78">
        <f t="shared" si="1"/>
        <v>1.6276703967446737E-2</v>
      </c>
      <c r="H29" s="130"/>
      <c r="I29" s="8"/>
      <c r="J29" s="8"/>
      <c r="T29" s="88" t="str">
        <f>IF(C29&gt;EOMONTH(DATE('Input|General'!$G$12,MONTH('Input|General'!$G$9),1),0),"Ok",IF(ISBLANK($F29),"Check","Ok"))</f>
        <v>Ok</v>
      </c>
    </row>
    <row r="30" spans="3:20">
      <c r="C30" s="55">
        <v>41090</v>
      </c>
      <c r="D30" s="8"/>
      <c r="E30" s="8"/>
      <c r="F30" s="164">
        <v>100.4</v>
      </c>
      <c r="G30" s="78">
        <f t="shared" si="1"/>
        <v>1.2096774193548487E-2</v>
      </c>
      <c r="H30" s="130"/>
      <c r="I30" s="8"/>
      <c r="J30" s="8"/>
      <c r="T30" s="88" t="str">
        <f>IF(C30&gt;EOMONTH(DATE('Input|General'!$G$12,MONTH('Input|General'!$G$9),1),0),"Ok",IF(ISBLANK($F30),"Check","Ok"))</f>
        <v>Ok</v>
      </c>
    </row>
    <row r="31" spans="3:20">
      <c r="C31" s="55">
        <v>41182</v>
      </c>
      <c r="D31" s="8"/>
      <c r="E31" s="8"/>
      <c r="F31" s="164">
        <v>101.8</v>
      </c>
      <c r="G31" s="78">
        <f t="shared" si="1"/>
        <v>2.0040080160320661E-2</v>
      </c>
      <c r="H31" s="130"/>
      <c r="I31" s="8"/>
      <c r="J31" s="8"/>
      <c r="T31" s="88" t="str">
        <f>IF(C31&gt;EOMONTH(DATE('Input|General'!$G$12,MONTH('Input|General'!$G$9),1),0),"Ok",IF(ISBLANK($F31),"Check","Ok"))</f>
        <v>Ok</v>
      </c>
    </row>
    <row r="32" spans="3:20">
      <c r="C32" s="55">
        <v>41274</v>
      </c>
      <c r="D32" s="8"/>
      <c r="E32" s="8"/>
      <c r="F32" s="164">
        <v>102</v>
      </c>
      <c r="G32" s="78">
        <f t="shared" si="1"/>
        <v>2.2044088176352838E-2</v>
      </c>
      <c r="H32" s="130"/>
      <c r="I32" s="8"/>
      <c r="J32" s="8"/>
      <c r="T32" s="88" t="str">
        <f>IF(C32&gt;EOMONTH(DATE('Input|General'!$G$12,MONTH('Input|General'!$G$9),1),0),"Ok",IF(ISBLANK($F32),"Check","Ok"))</f>
        <v>Ok</v>
      </c>
    </row>
    <row r="33" spans="3:20">
      <c r="C33" s="55">
        <v>41364</v>
      </c>
      <c r="D33" s="8"/>
      <c r="E33" s="8"/>
      <c r="F33" s="164">
        <v>102.4</v>
      </c>
      <c r="G33" s="78">
        <f t="shared" si="1"/>
        <v>2.5025025025025016E-2</v>
      </c>
      <c r="H33" s="130"/>
      <c r="I33" s="8"/>
      <c r="J33" s="8"/>
      <c r="T33" s="88" t="str">
        <f>IF(C33&gt;EOMONTH(DATE('Input|General'!$G$12,MONTH('Input|General'!$G$9),1),0),"Ok",IF(ISBLANK($F33),"Check","Ok"))</f>
        <v>Ok</v>
      </c>
    </row>
    <row r="34" spans="3:20">
      <c r="C34" s="55">
        <v>41455</v>
      </c>
      <c r="D34" s="8"/>
      <c r="E34" s="8"/>
      <c r="F34" s="164">
        <v>102.8</v>
      </c>
      <c r="G34" s="78">
        <f t="shared" si="1"/>
        <v>2.3904382470119501E-2</v>
      </c>
      <c r="H34" s="130"/>
      <c r="I34" s="8"/>
      <c r="J34" s="8"/>
      <c r="T34" s="88" t="str">
        <f>IF(C34&gt;EOMONTH(DATE('Input|General'!$G$12,MONTH('Input|General'!$G$9),1),0),"Ok",IF(ISBLANK($F34),"Check","Ok"))</f>
        <v>Ok</v>
      </c>
    </row>
    <row r="35" spans="3:20">
      <c r="C35" s="55">
        <v>41547</v>
      </c>
      <c r="D35" s="8"/>
      <c r="E35" s="8"/>
      <c r="F35" s="164">
        <v>104</v>
      </c>
      <c r="G35" s="78">
        <f t="shared" si="1"/>
        <v>2.16110019646365E-2</v>
      </c>
      <c r="H35" s="130"/>
      <c r="I35" s="8"/>
      <c r="J35" s="8"/>
      <c r="T35" s="88" t="str">
        <f>IF(C35&gt;EOMONTH(DATE('Input|General'!$G$12,MONTH('Input|General'!$G$9),1),0),"Ok",IF(ISBLANK($F35),"Check","Ok"))</f>
        <v>Ok</v>
      </c>
    </row>
    <row r="36" spans="3:20">
      <c r="C36" s="55">
        <v>41639</v>
      </c>
      <c r="D36" s="8"/>
      <c r="E36" s="8"/>
      <c r="F36" s="164">
        <v>104.8</v>
      </c>
      <c r="G36" s="78">
        <f t="shared" si="1"/>
        <v>2.7450980392156765E-2</v>
      </c>
      <c r="H36" s="130"/>
      <c r="I36" s="8"/>
      <c r="J36" s="8"/>
      <c r="T36" s="88" t="str">
        <f>IF(C36&gt;EOMONTH(DATE('Input|General'!$G$12,MONTH('Input|General'!$G$9),1),0),"Ok",IF(ISBLANK($F36),"Check","Ok"))</f>
        <v>Ok</v>
      </c>
    </row>
    <row r="37" spans="3:20">
      <c r="C37" s="55">
        <v>41729</v>
      </c>
      <c r="D37" s="8"/>
      <c r="E37" s="8"/>
      <c r="F37" s="164">
        <v>105.4</v>
      </c>
      <c r="G37" s="78">
        <f t="shared" si="1"/>
        <v>2.9296875E-2</v>
      </c>
      <c r="H37" s="130"/>
      <c r="I37" s="8"/>
      <c r="J37" s="8"/>
      <c r="T37" s="88" t="str">
        <f>IF(C37&gt;EOMONTH(DATE('Input|General'!$G$12,MONTH('Input|General'!$G$9),1),0),"Ok",IF(ISBLANK($F37),"Check","Ok"))</f>
        <v>Ok</v>
      </c>
    </row>
    <row r="38" spans="3:20">
      <c r="C38" s="55">
        <v>41820</v>
      </c>
      <c r="D38" s="8"/>
      <c r="E38" s="8"/>
      <c r="F38" s="164">
        <v>105.9</v>
      </c>
      <c r="G38" s="78">
        <f t="shared" si="1"/>
        <v>3.0155642023346418E-2</v>
      </c>
      <c r="H38" s="130"/>
      <c r="I38" s="8"/>
      <c r="J38" s="8"/>
      <c r="T38" s="88" t="str">
        <f>IF(C38&gt;EOMONTH(DATE('Input|General'!$G$12,MONTH('Input|General'!$G$9),1),0),"Ok",IF(ISBLANK($F38),"Check","Ok"))</f>
        <v>Ok</v>
      </c>
    </row>
    <row r="39" spans="3:20">
      <c r="C39" s="55">
        <v>41912</v>
      </c>
      <c r="D39" s="8"/>
      <c r="E39" s="8"/>
      <c r="F39" s="164">
        <v>106.4</v>
      </c>
      <c r="G39" s="78">
        <f t="shared" si="1"/>
        <v>2.3076923076923217E-2</v>
      </c>
      <c r="H39" s="130"/>
      <c r="I39" s="8"/>
      <c r="J39" s="8"/>
      <c r="T39" s="88" t="str">
        <f>IF(C39&gt;EOMONTH(DATE('Input|General'!$G$12,MONTH('Input|General'!$G$9),1),0),"Ok",IF(ISBLANK($F39),"Check","Ok"))</f>
        <v>Ok</v>
      </c>
    </row>
    <row r="40" spans="3:20">
      <c r="C40" s="55">
        <v>42004</v>
      </c>
      <c r="D40" s="8"/>
      <c r="E40" s="8"/>
      <c r="F40" s="164">
        <v>106.6</v>
      </c>
      <c r="G40" s="78">
        <f t="shared" si="1"/>
        <v>1.7175572519083859E-2</v>
      </c>
      <c r="H40" s="130"/>
      <c r="I40" s="8"/>
      <c r="J40" s="8"/>
      <c r="T40" s="88" t="str">
        <f>IF(C40&gt;EOMONTH(DATE('Input|General'!$G$12,MONTH('Input|General'!$G$9),1),0),"Ok",IF(ISBLANK($F40),"Check","Ok"))</f>
        <v>Ok</v>
      </c>
    </row>
    <row r="41" spans="3:20">
      <c r="C41" s="55">
        <v>42094</v>
      </c>
      <c r="D41" s="8"/>
      <c r="E41" s="8"/>
      <c r="F41" s="164">
        <v>106.8</v>
      </c>
      <c r="G41" s="78">
        <f t="shared" si="1"/>
        <v>1.3282732447817747E-2</v>
      </c>
      <c r="H41" s="130"/>
      <c r="I41" s="8"/>
      <c r="J41" s="8"/>
      <c r="T41" s="88" t="str">
        <f>IF(C41&gt;EOMONTH(DATE('Input|General'!$G$12,MONTH('Input|General'!$G$9),1),0),"Ok",IF(ISBLANK($F41),"Check","Ok"))</f>
        <v>Ok</v>
      </c>
    </row>
    <row r="42" spans="3:20">
      <c r="C42" s="55">
        <v>42185</v>
      </c>
      <c r="D42" s="8"/>
      <c r="E42" s="8"/>
      <c r="F42" s="164">
        <v>107.5</v>
      </c>
      <c r="G42" s="78">
        <f t="shared" si="1"/>
        <v>1.5108593012275628E-2</v>
      </c>
      <c r="H42" s="130"/>
      <c r="I42" s="8"/>
      <c r="J42" s="8"/>
      <c r="T42" s="88" t="str">
        <f>IF(C42&gt;EOMONTH(DATE('Input|General'!$G$12,MONTH('Input|General'!$G$9),1),0),"Ok",IF(ISBLANK($F42),"Check","Ok"))</f>
        <v>Ok</v>
      </c>
    </row>
    <row r="43" spans="3:20">
      <c r="C43" s="55">
        <v>42277</v>
      </c>
      <c r="D43" s="8"/>
      <c r="E43" s="8"/>
      <c r="F43" s="164">
        <v>108</v>
      </c>
      <c r="G43" s="78">
        <f t="shared" si="1"/>
        <v>1.5037593984962294E-2</v>
      </c>
      <c r="H43" s="130"/>
      <c r="I43" s="8"/>
      <c r="J43" s="8"/>
      <c r="T43" s="88" t="str">
        <f>IF(C43&gt;EOMONTH(DATE('Input|General'!$G$12,MONTH('Input|General'!$G$9),1),0),"Ok",IF(ISBLANK($F43),"Check","Ok"))</f>
        <v>Ok</v>
      </c>
    </row>
    <row r="44" spans="3:20">
      <c r="C44" s="55">
        <v>42369</v>
      </c>
      <c r="D44" s="8"/>
      <c r="E44" s="8"/>
      <c r="F44" s="164">
        <v>108.4</v>
      </c>
      <c r="G44" s="78">
        <f t="shared" si="1"/>
        <v>1.6885553470919357E-2</v>
      </c>
      <c r="H44" s="130"/>
      <c r="I44" s="8"/>
      <c r="J44" s="8"/>
      <c r="T44" s="88" t="str">
        <f>IF(C44&gt;EOMONTH(DATE('Input|General'!$G$12,MONTH('Input|General'!$G$9),1),0),"Ok",IF(ISBLANK($F44),"Check","Ok"))</f>
        <v>Ok</v>
      </c>
    </row>
    <row r="45" spans="3:20">
      <c r="C45" s="55">
        <v>42460</v>
      </c>
      <c r="D45" s="8"/>
      <c r="E45" s="8"/>
      <c r="F45" s="164">
        <v>108.2</v>
      </c>
      <c r="G45" s="78">
        <f t="shared" si="1"/>
        <v>1.3108614232209881E-2</v>
      </c>
      <c r="H45" s="130"/>
      <c r="I45" s="8"/>
      <c r="J45" s="8"/>
      <c r="T45" s="88" t="str">
        <f>IF(C45&gt;EOMONTH(DATE('Input|General'!$G$12,MONTH('Input|General'!$G$9),1),0),"Ok",IF(ISBLANK($F45),"Check","Ok"))</f>
        <v>Ok</v>
      </c>
    </row>
    <row r="46" spans="3:20">
      <c r="C46" s="55">
        <v>42551</v>
      </c>
      <c r="D46" s="8"/>
      <c r="E46" s="8"/>
      <c r="F46" s="164">
        <v>108.6</v>
      </c>
      <c r="G46" s="78">
        <f t="shared" si="1"/>
        <v>1.0232558139534831E-2</v>
      </c>
      <c r="H46" s="130"/>
      <c r="I46" s="8"/>
      <c r="J46" s="8"/>
      <c r="T46" s="88" t="str">
        <f>IF(C46&gt;EOMONTH(DATE('Input|General'!$G$12,MONTH('Input|General'!$G$9),1),0),"Ok",IF(ISBLANK($F46),"Check","Ok"))</f>
        <v>Ok</v>
      </c>
    </row>
    <row r="47" spans="3:20">
      <c r="C47" s="55">
        <v>42643</v>
      </c>
      <c r="D47" s="8"/>
      <c r="E47" s="8"/>
      <c r="F47" s="164">
        <v>109.4</v>
      </c>
      <c r="G47" s="78">
        <f t="shared" si="1"/>
        <v>1.2962962962963065E-2</v>
      </c>
      <c r="H47" s="130"/>
      <c r="I47" s="8"/>
      <c r="J47" s="8"/>
      <c r="T47" s="88" t="str">
        <f>IF(C47&gt;EOMONTH(DATE('Input|General'!$G$12,MONTH('Input|General'!$G$9),1),0),"Ok",IF(ISBLANK($F47),"Check","Ok"))</f>
        <v>Ok</v>
      </c>
    </row>
    <row r="48" spans="3:20">
      <c r="C48" s="55">
        <v>42735</v>
      </c>
      <c r="D48" s="8"/>
      <c r="E48" s="8"/>
      <c r="F48" s="164">
        <v>110</v>
      </c>
      <c r="G48" s="78">
        <f t="shared" si="1"/>
        <v>1.4760147601476037E-2</v>
      </c>
      <c r="H48" s="130"/>
      <c r="I48" s="8"/>
      <c r="J48" s="8"/>
      <c r="T48" s="88" t="str">
        <f>IF(C48&gt;EOMONTH(DATE('Input|General'!$G$12,MONTH('Input|General'!$G$9),1),0),"Ok",IF(ISBLANK($F48),"Check","Ok"))</f>
        <v>Ok</v>
      </c>
    </row>
    <row r="49" spans="3:20">
      <c r="C49" s="55">
        <v>42825</v>
      </c>
      <c r="D49" s="8"/>
      <c r="E49" s="8"/>
      <c r="F49" s="164">
        <v>110.5</v>
      </c>
      <c r="G49" s="78">
        <f t="shared" si="1"/>
        <v>2.1256931608133023E-2</v>
      </c>
      <c r="H49" s="130"/>
      <c r="I49" s="8"/>
      <c r="J49" s="8"/>
      <c r="T49" s="88" t="str">
        <f>IF(C49&gt;EOMONTH(DATE('Input|General'!$G$12,MONTH('Input|General'!$G$9),1),0),"Ok",IF(ISBLANK($F49),"Check","Ok"))</f>
        <v>Ok</v>
      </c>
    </row>
    <row r="50" spans="3:20">
      <c r="C50" s="55">
        <v>42916</v>
      </c>
      <c r="D50" s="8"/>
      <c r="E50" s="8"/>
      <c r="F50" s="164">
        <v>110.7</v>
      </c>
      <c r="G50" s="78">
        <f t="shared" si="1"/>
        <v>1.9337016574585641E-2</v>
      </c>
      <c r="H50" s="131"/>
      <c r="I50" s="8"/>
      <c r="J50" s="8"/>
      <c r="T50" s="88" t="str">
        <f>IF(C50&gt;EOMONTH(DATE('Input|General'!$G$12,MONTH('Input|General'!$G$9),1),0),"Ok",IF(ISBLANK($F50),"Check","Ok"))</f>
        <v>Ok</v>
      </c>
    </row>
    <row r="51" spans="3:20">
      <c r="C51" s="55">
        <v>43008</v>
      </c>
      <c r="D51" s="8"/>
      <c r="E51" s="8"/>
      <c r="F51" s="164">
        <v>111.4</v>
      </c>
      <c r="G51" s="78">
        <f t="shared" si="1"/>
        <v>1.8281535648994485E-2</v>
      </c>
      <c r="H51" s="130"/>
      <c r="I51" s="8"/>
      <c r="J51" s="8"/>
      <c r="T51" s="88" t="str">
        <f>IF(C51&gt;EOMONTH(DATE('Input|General'!$G$12,MONTH('Input|General'!$G$9),1),0),"Ok",IF(ISBLANK($F51),"Check","Ok"))</f>
        <v>Ok</v>
      </c>
    </row>
    <row r="52" spans="3:20">
      <c r="C52" s="55">
        <v>43100</v>
      </c>
      <c r="D52" s="8"/>
      <c r="E52" s="8"/>
      <c r="F52" s="164">
        <v>112.1</v>
      </c>
      <c r="G52" s="78">
        <f t="shared" si="1"/>
        <v>1.9090909090909047E-2</v>
      </c>
      <c r="H52" s="130"/>
      <c r="I52" s="8"/>
      <c r="J52" s="8"/>
      <c r="T52" s="88" t="str">
        <f>IF(C52&gt;EOMONTH(DATE('Input|General'!$G$12,MONTH('Input|General'!$G$9),1),0),"Ok",IF(ISBLANK($F52),"Check","Ok"))</f>
        <v>Ok</v>
      </c>
    </row>
    <row r="53" spans="3:20">
      <c r="C53" s="55">
        <v>43190</v>
      </c>
      <c r="D53" s="8"/>
      <c r="E53" s="8"/>
      <c r="F53" s="164">
        <v>112.6</v>
      </c>
      <c r="G53" s="78">
        <f t="shared" si="1"/>
        <v>1.9004524886877761E-2</v>
      </c>
      <c r="H53" s="130"/>
      <c r="I53" s="8"/>
      <c r="J53" s="8"/>
      <c r="T53" s="88" t="str">
        <f>IF(C53&gt;EOMONTH(DATE('Input|General'!$G$12,MONTH('Input|General'!$G$9),1),0),"Ok",IF(ISBLANK($F53),"Check","Ok"))</f>
        <v>Ok</v>
      </c>
    </row>
    <row r="54" spans="3:20">
      <c r="C54" s="55">
        <v>43281</v>
      </c>
      <c r="D54" s="8"/>
      <c r="E54" s="8"/>
      <c r="F54" s="164">
        <v>113</v>
      </c>
      <c r="G54" s="78">
        <f t="shared" si="1"/>
        <v>2.0776874435411097E-2</v>
      </c>
      <c r="H54" s="130"/>
      <c r="I54" s="8"/>
      <c r="J54" s="8"/>
      <c r="T54" s="88" t="str">
        <f>IF(C54&gt;EOMONTH(DATE('Input|General'!$G$12,MONTH('Input|General'!$G$9),1),0),"Ok",IF(ISBLANK($F54),"Check","Ok"))</f>
        <v>Ok</v>
      </c>
    </row>
    <row r="55" spans="3:20">
      <c r="C55" s="55">
        <v>43373</v>
      </c>
      <c r="D55" s="8"/>
      <c r="E55" s="8"/>
      <c r="F55" s="164">
        <v>113.5</v>
      </c>
      <c r="G55" s="78">
        <f t="shared" si="1"/>
        <v>1.8850987432674993E-2</v>
      </c>
      <c r="H55" s="130"/>
      <c r="I55" s="8"/>
      <c r="J55" s="8"/>
      <c r="T55" s="88" t="str">
        <f>IF(C55&gt;EOMONTH(DATE('Input|General'!$G$12,MONTH('Input|General'!$G$9),1),0),"Ok",IF(ISBLANK($F55),"Check","Ok"))</f>
        <v>Ok</v>
      </c>
    </row>
    <row r="56" spans="3:20">
      <c r="C56" s="55">
        <v>43465</v>
      </c>
      <c r="D56" s="8"/>
      <c r="E56" s="8"/>
      <c r="F56" s="164">
        <v>114.1</v>
      </c>
      <c r="G56" s="78">
        <f t="shared" si="1"/>
        <v>1.7841213202497874E-2</v>
      </c>
      <c r="H56" s="130"/>
      <c r="I56" s="8"/>
      <c r="J56" s="8"/>
      <c r="T56" s="88" t="str">
        <f>IF(C56&gt;EOMONTH(DATE('Input|General'!$G$12,MONTH('Input|General'!$G$9),1),0),"Ok",IF(ISBLANK($F56),"Check","Ok"))</f>
        <v>Ok</v>
      </c>
    </row>
    <row r="57" spans="3:20">
      <c r="C57" s="55">
        <v>43555</v>
      </c>
      <c r="D57" s="8"/>
      <c r="E57" s="8"/>
      <c r="F57" s="164">
        <v>114.1</v>
      </c>
      <c r="G57" s="78">
        <f t="shared" ref="G57:G84" si="2">IF(ISBLANK(F57),"",F57/F53-1)</f>
        <v>1.3321492007104752E-2</v>
      </c>
      <c r="H57" s="130"/>
      <c r="I57" s="8"/>
      <c r="J57" s="8"/>
      <c r="T57" s="88" t="str">
        <f>IF(C57&gt;EOMONTH(DATE('Input|General'!$G$12,MONTH('Input|General'!$G$9),1),0),"Ok",IF(ISBLANK($F57),"Check","Ok"))</f>
        <v>Ok</v>
      </c>
    </row>
    <row r="58" spans="3:20">
      <c r="C58" s="55">
        <v>43646</v>
      </c>
      <c r="D58" s="8"/>
      <c r="E58" s="8"/>
      <c r="F58" s="164">
        <v>114.8</v>
      </c>
      <c r="G58" s="78">
        <f t="shared" si="2"/>
        <v>1.5929203539823078E-2</v>
      </c>
      <c r="H58" s="130"/>
      <c r="I58" s="8"/>
      <c r="J58" s="8"/>
      <c r="T58" s="88" t="str">
        <f>IF(C58&gt;EOMONTH(DATE('Input|General'!$G$12,MONTH('Input|General'!$G$9),1),0),"Ok",IF(ISBLANK($F58),"Check","Ok"))</f>
        <v>Ok</v>
      </c>
    </row>
    <row r="59" spans="3:20">
      <c r="C59" s="55">
        <v>43738</v>
      </c>
      <c r="D59" s="8"/>
      <c r="E59" s="8"/>
      <c r="F59" s="164">
        <v>115.4</v>
      </c>
      <c r="G59" s="78">
        <f t="shared" si="2"/>
        <v>1.6740088105726914E-2</v>
      </c>
      <c r="H59" s="130"/>
      <c r="I59" s="8"/>
      <c r="J59" s="8"/>
      <c r="T59" s="88" t="str">
        <f>IF(C59&gt;EOMONTH(DATE('Input|General'!$G$12,MONTH('Input|General'!$G$9),1),0),"Ok",IF(ISBLANK($F59),"Check","Ok"))</f>
        <v>Ok</v>
      </c>
    </row>
    <row r="60" spans="3:20">
      <c r="C60" s="55">
        <v>43830</v>
      </c>
      <c r="D60" s="8"/>
      <c r="E60" s="8"/>
      <c r="F60" s="164">
        <v>116.2</v>
      </c>
      <c r="G60" s="78">
        <f t="shared" si="2"/>
        <v>1.8404907975460238E-2</v>
      </c>
      <c r="H60" s="130"/>
      <c r="I60" s="8"/>
      <c r="J60" s="8"/>
      <c r="T60" s="88" t="str">
        <f>IF(C60&gt;EOMONTH(DATE('Input|General'!$G$12,MONTH('Input|General'!$G$9),1),0),"Ok",IF(ISBLANK($F60),"Check","Ok"))</f>
        <v>Ok</v>
      </c>
    </row>
    <row r="61" spans="3:20">
      <c r="C61" s="55">
        <v>43921</v>
      </c>
      <c r="D61" s="8"/>
      <c r="E61" s="8"/>
      <c r="F61" s="164">
        <v>116.6</v>
      </c>
      <c r="G61" s="78">
        <f t="shared" si="2"/>
        <v>2.1910604732690686E-2</v>
      </c>
      <c r="H61" s="130"/>
      <c r="I61" s="8"/>
      <c r="J61" s="8"/>
      <c r="T61" s="88" t="str">
        <f>IF(C61&gt;EOMONTH(DATE('Input|General'!$G$12,MONTH('Input|General'!$G$9),1),0),"Ok",IF(ISBLANK($F61),"Check","Ok"))</f>
        <v>Ok</v>
      </c>
    </row>
    <row r="62" spans="3:20">
      <c r="C62" s="55">
        <v>44012</v>
      </c>
      <c r="D62" s="8"/>
      <c r="E62" s="8"/>
      <c r="F62" s="164">
        <v>114.4</v>
      </c>
      <c r="G62" s="78">
        <f t="shared" si="2"/>
        <v>-3.4843205574912606E-3</v>
      </c>
      <c r="H62" s="130"/>
      <c r="I62" s="8"/>
      <c r="J62" s="8"/>
      <c r="T62" s="88" t="str">
        <f>IF(C62&gt;EOMONTH(DATE('Input|General'!$G$12,MONTH('Input|General'!$G$9),1),0),"Ok",IF(ISBLANK($F62),"Check","Ok"))</f>
        <v>Ok</v>
      </c>
    </row>
    <row r="63" spans="3:20">
      <c r="C63" s="55">
        <v>44104</v>
      </c>
      <c r="D63" s="8"/>
      <c r="E63" s="8"/>
      <c r="F63" s="164">
        <v>116.2</v>
      </c>
      <c r="G63" s="78">
        <f t="shared" si="2"/>
        <v>6.9324090121316573E-3</v>
      </c>
      <c r="H63" s="130"/>
      <c r="I63" s="8"/>
      <c r="J63" s="8"/>
      <c r="T63" s="88" t="str">
        <f>IF(C63&gt;EOMONTH(DATE('Input|General'!$G$12,MONTH('Input|General'!$G$9),1),0),"Ok",IF(ISBLANK($F63),"Check","Ok"))</f>
        <v>Ok</v>
      </c>
    </row>
    <row r="64" spans="3:20">
      <c r="C64" s="55">
        <v>44196</v>
      </c>
      <c r="D64" s="8"/>
      <c r="E64" s="8"/>
      <c r="F64" s="164">
        <v>117.2</v>
      </c>
      <c r="G64" s="78">
        <f t="shared" si="2"/>
        <v>8.6058519793459354E-3</v>
      </c>
      <c r="H64" s="130"/>
      <c r="I64" s="8"/>
      <c r="J64" s="8"/>
      <c r="T64" s="88" t="str">
        <f>IF(C64&gt;EOMONTH(DATE('Input|General'!$G$12,MONTH('Input|General'!$G$9),1),0),"Ok",IF(ISBLANK($F64),"Check","Ok"))</f>
        <v>Ok</v>
      </c>
    </row>
    <row r="65" spans="3:20">
      <c r="C65" s="55">
        <v>44286</v>
      </c>
      <c r="D65" s="8"/>
      <c r="E65" s="8"/>
      <c r="F65" s="164">
        <v>117.9</v>
      </c>
      <c r="G65" s="78">
        <f t="shared" si="2"/>
        <v>1.1149228130360234E-2</v>
      </c>
      <c r="H65" s="130"/>
      <c r="I65" s="8"/>
      <c r="J65" s="8"/>
      <c r="T65" s="88" t="str">
        <f>IF(C65&gt;EOMONTH(DATE('Input|General'!$G$12,MONTH('Input|General'!$G$9),1),0),"Ok",IF(ISBLANK($F65),"Check","Ok"))</f>
        <v>Ok</v>
      </c>
    </row>
    <row r="66" spans="3:20">
      <c r="C66" s="55">
        <v>44377</v>
      </c>
      <c r="D66" s="8"/>
      <c r="E66" s="8"/>
      <c r="F66" s="164">
        <v>118.8</v>
      </c>
      <c r="G66" s="78">
        <f t="shared" si="2"/>
        <v>3.8461538461538325E-2</v>
      </c>
      <c r="H66" s="130"/>
      <c r="I66" s="8"/>
      <c r="J66" s="8"/>
      <c r="T66" s="88" t="str">
        <f>IF(C66&gt;EOMONTH(DATE('Input|General'!$G$12,MONTH('Input|General'!$G$9),1),0),"Ok",IF(ISBLANK($F66),"Check","Ok"))</f>
        <v>Ok</v>
      </c>
    </row>
    <row r="67" spans="3:20">
      <c r="C67" s="55">
        <v>44469</v>
      </c>
      <c r="D67" s="8"/>
      <c r="E67" s="8"/>
      <c r="F67" s="164">
        <v>119.7</v>
      </c>
      <c r="G67" s="78">
        <f t="shared" si="2"/>
        <v>3.0120481927710774E-2</v>
      </c>
      <c r="H67" s="130"/>
      <c r="I67" s="8"/>
      <c r="J67" s="8"/>
      <c r="T67" s="88" t="str">
        <f>IF(C67&gt;EOMONTH(DATE('Input|General'!$G$12,MONTH('Input|General'!$G$9),1),0),"Ok",IF(ISBLANK($F67),"Check","Ok"))</f>
        <v>Ok</v>
      </c>
    </row>
    <row r="68" spans="3:20">
      <c r="C68" s="55">
        <v>44561</v>
      </c>
      <c r="D68" s="8"/>
      <c r="E68" s="8"/>
      <c r="F68" s="164">
        <v>121.3</v>
      </c>
      <c r="G68" s="78">
        <f t="shared" si="2"/>
        <v>3.4982935153583528E-2</v>
      </c>
      <c r="H68" s="130"/>
      <c r="I68" s="8"/>
      <c r="J68" s="8"/>
      <c r="T68" s="88" t="str">
        <f>IF(C68&gt;EOMONTH(DATE('Input|General'!$G$12,MONTH('Input|General'!$G$9),1),0),"Ok",IF(ISBLANK($F68),"Check","Ok"))</f>
        <v>Ok</v>
      </c>
    </row>
    <row r="69" spans="3:20">
      <c r="C69" s="55">
        <v>44651</v>
      </c>
      <c r="D69" s="8"/>
      <c r="E69" s="8"/>
      <c r="F69" s="164">
        <v>123.9</v>
      </c>
      <c r="G69" s="78">
        <f t="shared" si="2"/>
        <v>5.0890585241730291E-2</v>
      </c>
      <c r="H69" s="130"/>
      <c r="I69" s="8"/>
      <c r="J69" s="8"/>
      <c r="T69" s="88" t="str">
        <f>IF(C69&gt;EOMONTH(DATE('Input|General'!$G$12,MONTH('Input|General'!$G$9),1),0),"Ok",IF(ISBLANK($F69),"Check","Ok"))</f>
        <v>Ok</v>
      </c>
    </row>
    <row r="70" spans="3:20">
      <c r="C70" s="55">
        <v>44742</v>
      </c>
      <c r="D70" s="8"/>
      <c r="E70" s="8"/>
      <c r="F70" s="164">
        <v>126.1</v>
      </c>
      <c r="G70" s="78">
        <f t="shared" si="2"/>
        <v>6.1447811447811418E-2</v>
      </c>
      <c r="H70" s="130"/>
      <c r="I70" s="8"/>
      <c r="J70" s="8"/>
      <c r="T70" s="88" t="str">
        <f>IF(C70&gt;EOMONTH(DATE('Input|General'!$G$12,MONTH('Input|General'!$G$9),1),0),"Ok",IF(ISBLANK($F70),"Check","Ok"))</f>
        <v>Ok</v>
      </c>
    </row>
    <row r="71" spans="3:20">
      <c r="C71" s="55">
        <v>44834</v>
      </c>
      <c r="D71" s="8"/>
      <c r="E71" s="8"/>
      <c r="F71" s="164">
        <v>128.4</v>
      </c>
      <c r="G71" s="78">
        <f t="shared" si="2"/>
        <v>7.268170426065157E-2</v>
      </c>
      <c r="H71" s="130"/>
      <c r="I71" s="8"/>
      <c r="J71" s="8"/>
      <c r="T71" s="88" t="str">
        <f>IF(C71&gt;EOMONTH(DATE('Input|General'!$G$12,MONTH('Input|General'!$G$9),1),0),"Ok",IF(ISBLANK($F71),"Check","Ok"))</f>
        <v>Ok</v>
      </c>
    </row>
    <row r="72" spans="3:20">
      <c r="C72" s="55">
        <v>44926</v>
      </c>
      <c r="D72" s="8"/>
      <c r="E72" s="8"/>
      <c r="F72" s="164">
        <v>130.80000000000001</v>
      </c>
      <c r="G72" s="78">
        <f t="shared" si="2"/>
        <v>7.8318219291014124E-2</v>
      </c>
      <c r="H72" s="130"/>
      <c r="I72" s="8"/>
      <c r="J72" s="8"/>
      <c r="T72" s="88" t="str">
        <f>IF(C72&gt;EOMONTH(DATE('Input|General'!$G$12,MONTH('Input|General'!$G$9),1),0),"Ok",IF(ISBLANK($F72),"Check","Ok"))</f>
        <v>Ok</v>
      </c>
    </row>
    <row r="73" spans="3:20">
      <c r="C73" s="55">
        <v>45016</v>
      </c>
      <c r="D73" s="8"/>
      <c r="E73" s="8"/>
      <c r="F73" s="164">
        <v>132.6</v>
      </c>
      <c r="G73" s="78">
        <f t="shared" si="2"/>
        <v>7.0217917675544639E-2</v>
      </c>
      <c r="H73" s="130"/>
      <c r="I73" s="8"/>
      <c r="J73" s="8"/>
      <c r="T73" s="88" t="str">
        <f>IF(C73&gt;EOMONTH(DATE('Input|General'!$G$12,MONTH('Input|General'!$G$9),1),0),"Ok",IF(ISBLANK($F73),"Check","Ok"))</f>
        <v>Ok</v>
      </c>
    </row>
    <row r="74" spans="3:20">
      <c r="C74" s="55">
        <v>45107</v>
      </c>
      <c r="D74" s="8"/>
      <c r="E74" s="8"/>
      <c r="F74" s="164">
        <v>133.69999999999999</v>
      </c>
      <c r="G74" s="78">
        <f t="shared" si="2"/>
        <v>6.0269627279936566E-2</v>
      </c>
      <c r="H74" s="130"/>
      <c r="I74" s="8"/>
      <c r="J74" s="8"/>
      <c r="T74" s="88" t="str">
        <f>IF(C74&gt;EOMONTH(DATE('Input|General'!$G$12,MONTH('Input|General'!$G$9),1),0),"Ok",IF(ISBLANK($F74),"Check","Ok"))</f>
        <v>Ok</v>
      </c>
    </row>
    <row r="75" spans="3:20">
      <c r="C75" s="55">
        <v>45199</v>
      </c>
      <c r="D75" s="8"/>
      <c r="E75" s="8"/>
      <c r="F75" s="164">
        <v>135.30000000000001</v>
      </c>
      <c r="G75" s="78">
        <f t="shared" si="2"/>
        <v>5.3738317757009435E-2</v>
      </c>
      <c r="H75" s="130"/>
      <c r="I75" s="8"/>
      <c r="J75" s="8"/>
      <c r="T75" s="88" t="str">
        <f>IF(C75&gt;EOMONTH(DATE('Input|General'!$G$12,MONTH('Input|General'!$G$9),1),0),"Ok",IF(ISBLANK($F75),"Check","Ok"))</f>
        <v>Ok</v>
      </c>
    </row>
    <row r="76" spans="3:20">
      <c r="C76" s="55">
        <v>45291</v>
      </c>
      <c r="D76" s="8"/>
      <c r="E76" s="8"/>
      <c r="F76" s="164">
        <v>136.1</v>
      </c>
      <c r="G76" s="78">
        <f>IF(ISBLANK(F76),"",F76/F72-1)</f>
        <v>4.0519877675840865E-2</v>
      </c>
      <c r="H76" s="130"/>
      <c r="I76" s="8"/>
      <c r="J76" s="8"/>
      <c r="T76" s="88" t="str">
        <f>IF(C76&gt;EOMONTH(DATE('Input|General'!$G$12,MONTH('Input|General'!$G$9),1),0),"Ok",IF(ISBLANK($F76),"Check","Ok"))</f>
        <v>Ok</v>
      </c>
    </row>
    <row r="77" spans="3:20">
      <c r="C77" s="55">
        <v>45382</v>
      </c>
      <c r="D77" s="8"/>
      <c r="E77" s="8"/>
      <c r="F77" s="163">
        <v>137.4</v>
      </c>
      <c r="G77" s="78">
        <f t="shared" si="2"/>
        <v>3.6199095022624528E-2</v>
      </c>
      <c r="H77" s="130"/>
      <c r="I77" s="8"/>
      <c r="J77" s="8"/>
      <c r="T77" s="88" t="str">
        <f>IF(C77&gt;EOMONTH(DATE('Input|General'!$G$12,MONTH('Input|General'!$G$9),1),0),"Ok",IF(ISBLANK($F77),"Check","Ok"))</f>
        <v>Ok</v>
      </c>
    </row>
    <row r="78" spans="3:20">
      <c r="C78" s="55">
        <v>45473</v>
      </c>
      <c r="D78" s="8"/>
      <c r="E78" s="8"/>
      <c r="F78" s="163">
        <v>138.78059999999999</v>
      </c>
      <c r="G78" s="78">
        <f t="shared" si="2"/>
        <v>3.8000000000000034E-2</v>
      </c>
      <c r="H78" s="130"/>
      <c r="I78" s="8"/>
      <c r="J78" s="8"/>
      <c r="T78" s="88" t="str">
        <f>IF(C78&gt;EOMONTH(DATE('Input|General'!$G$12,MONTH('Input|General'!$G$9),1),0),"Ok",IF(ISBLANK($F78),"Check","Ok"))</f>
        <v>Ok</v>
      </c>
    </row>
    <row r="79" spans="3:20">
      <c r="C79" s="55">
        <v>45565</v>
      </c>
      <c r="D79" s="8"/>
      <c r="E79" s="8"/>
      <c r="F79" s="163">
        <v>140.44140000000002</v>
      </c>
      <c r="G79" s="78">
        <f t="shared" si="2"/>
        <v>3.8000000000000034E-2</v>
      </c>
      <c r="H79" s="130"/>
      <c r="I79" s="8"/>
      <c r="J79" s="8"/>
      <c r="T79" s="88" t="str">
        <f>IF(C79&gt;EOMONTH(DATE('Input|General'!$G$12,MONTH('Input|General'!$G$9),1),0),"Ok",IF(ISBLANK($F79),"Check","Ok"))</f>
        <v>Ok</v>
      </c>
    </row>
    <row r="80" spans="3:20">
      <c r="C80" s="55">
        <v>45657</v>
      </c>
      <c r="D80" s="8"/>
      <c r="E80" s="8"/>
      <c r="F80" s="163">
        <v>141.27179999999998</v>
      </c>
      <c r="G80" s="78">
        <f t="shared" si="2"/>
        <v>3.8000000000000034E-2</v>
      </c>
      <c r="H80" s="130"/>
      <c r="I80" s="8"/>
      <c r="J80" s="8"/>
      <c r="T80" s="88" t="str">
        <f>IF(C80&gt;EOMONTH(DATE('Input|General'!$G$12,MONTH('Input|General'!$G$9),1),0),"Ok",IF(ISBLANK($F80),"Check","Ok"))</f>
        <v>Ok</v>
      </c>
    </row>
    <row r="81" spans="1:48">
      <c r="C81" s="55">
        <v>45747</v>
      </c>
      <c r="D81" s="8"/>
      <c r="E81" s="8"/>
      <c r="F81" s="163">
        <v>142.209</v>
      </c>
      <c r="G81" s="78">
        <f t="shared" si="2"/>
        <v>3.499999999999992E-2</v>
      </c>
      <c r="H81" s="130"/>
      <c r="I81" s="8"/>
      <c r="J81" s="8"/>
      <c r="T81" s="88" t="str">
        <f>IF(C81&gt;EOMONTH(DATE('Input|General'!$G$12,MONTH('Input|General'!$G$9),1),0),"Ok",IF(ISBLANK($F81),"Check","Ok"))</f>
        <v>Ok</v>
      </c>
    </row>
    <row r="82" spans="1:48">
      <c r="C82" s="55">
        <v>45838</v>
      </c>
      <c r="D82" s="8"/>
      <c r="E82" s="8"/>
      <c r="F82" s="163">
        <v>143.22157920000001</v>
      </c>
      <c r="G82" s="78">
        <f t="shared" si="2"/>
        <v>3.2000000000000028E-2</v>
      </c>
      <c r="H82" s="130"/>
      <c r="I82" s="8"/>
      <c r="J82" s="8"/>
      <c r="T82" s="88" t="str">
        <f>IF(C82&gt;EOMONTH(DATE('Input|General'!$G$12,MONTH('Input|General'!$G$9),1),0),"Ok",IF(ISBLANK($F82),"Check","Ok"))</f>
        <v>Ok</v>
      </c>
    </row>
    <row r="83" spans="1:48">
      <c r="C83" s="55">
        <v>45930</v>
      </c>
      <c r="D83" s="8"/>
      <c r="E83" s="8"/>
      <c r="F83" s="163">
        <v>144.65464200000002</v>
      </c>
      <c r="G83" s="78">
        <f t="shared" si="2"/>
        <v>3.0000000000000027E-2</v>
      </c>
      <c r="H83" s="130"/>
      <c r="I83" s="8"/>
      <c r="J83" s="8"/>
      <c r="T83" s="88" t="str">
        <f>IF(C83&gt;EOMONTH(DATE('Input|General'!$G$12,MONTH('Input|General'!$G$9),1),0),"Ok",IF(ISBLANK($F83),"Check","Ok"))</f>
        <v>Ok</v>
      </c>
    </row>
    <row r="84" spans="1:48">
      <c r="C84" s="55">
        <v>46022</v>
      </c>
      <c r="D84" s="8"/>
      <c r="E84" s="8"/>
      <c r="F84" s="163">
        <v>145.2274104</v>
      </c>
      <c r="G84" s="78">
        <f t="shared" si="2"/>
        <v>2.8000000000000025E-2</v>
      </c>
      <c r="H84" s="130"/>
      <c r="I84" s="8"/>
      <c r="J84" s="8"/>
      <c r="T84" s="88" t="str">
        <f>IF(C84&gt;EOMONTH(DATE('Input|General'!$G$12,MONTH('Input|General'!$G$9),1),0),"Ok",IF(ISBLANK($F84),"Check","Ok"))</f>
        <v>Ok</v>
      </c>
    </row>
    <row r="85" spans="1:48">
      <c r="F85" s="8"/>
      <c r="G85" s="8"/>
      <c r="H85" s="8"/>
      <c r="I85" s="8"/>
      <c r="J85" s="8"/>
      <c r="T85" s="89"/>
    </row>
    <row r="86" spans="1:48" customFormat="1" ht="12.75">
      <c r="A86" s="36"/>
      <c r="B86" s="42" t="s">
        <v>23</v>
      </c>
      <c r="C86" s="36"/>
      <c r="D86" s="36"/>
      <c r="E86" s="36"/>
      <c r="F86" s="36"/>
      <c r="G86" s="37"/>
      <c r="H86" s="37"/>
      <c r="I86" s="37"/>
      <c r="J86" s="37"/>
      <c r="K86" s="38"/>
      <c r="L86" s="39"/>
      <c r="M86" s="38"/>
      <c r="N86" s="39"/>
      <c r="O86" s="38"/>
      <c r="P86" s="38"/>
      <c r="Q86" s="38"/>
      <c r="R86" s="38"/>
      <c r="S86" s="38"/>
      <c r="T86" s="38"/>
      <c r="U86" s="38"/>
      <c r="V86" s="38"/>
      <c r="W86" s="39"/>
      <c r="X86" s="39"/>
      <c r="Y86" s="40"/>
      <c r="Z86" s="40"/>
      <c r="AA86" s="40"/>
      <c r="AB86" s="40"/>
      <c r="AC86" s="40"/>
      <c r="AD86" s="41"/>
      <c r="AE86" s="41"/>
    </row>
    <row r="87" spans="1:48" hidden="1">
      <c r="H87" s="21"/>
      <c r="I87" s="21"/>
    </row>
    <row r="88" spans="1:48" hidden="1">
      <c r="H88" s="21"/>
      <c r="I88" s="21"/>
    </row>
    <row r="89" spans="1:48" s="16" customFormat="1" hidden="1">
      <c r="A89" s="8"/>
      <c r="B89" s="8"/>
      <c r="C89" s="8"/>
      <c r="H89" s="21"/>
      <c r="I89" s="21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</row>
    <row r="90" spans="1:48" s="16" customFormat="1" hidden="1">
      <c r="A90" s="8"/>
      <c r="B90" s="8"/>
      <c r="C90" s="8"/>
      <c r="H90" s="21"/>
      <c r="I90" s="21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</row>
    <row r="91" spans="1:48" s="16" customFormat="1" hidden="1">
      <c r="A91" s="8"/>
      <c r="B91" s="8"/>
      <c r="C91" s="8"/>
      <c r="H91" s="21"/>
      <c r="I91" s="21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</row>
    <row r="92" spans="1:48" s="16" customFormat="1" hidden="1">
      <c r="A92" s="8"/>
      <c r="B92" s="8"/>
      <c r="C92" s="8"/>
      <c r="H92" s="21"/>
      <c r="I92" s="21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</row>
    <row r="93" spans="1:48" s="16" customFormat="1" hidden="1">
      <c r="A93" s="8"/>
      <c r="B93" s="8"/>
      <c r="C93" s="8"/>
      <c r="H93" s="21"/>
      <c r="I93" s="21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</row>
    <row r="94" spans="1:48" s="16" customFormat="1" hidden="1">
      <c r="A94" s="8"/>
      <c r="B94" s="8"/>
      <c r="C94" s="8"/>
      <c r="H94" s="21"/>
      <c r="I94" s="21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</row>
    <row r="95" spans="1:48" s="16" customFormat="1" hidden="1">
      <c r="A95" s="8"/>
      <c r="B95" s="8"/>
      <c r="C95" s="8"/>
      <c r="H95" s="21"/>
      <c r="I95" s="21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</row>
    <row r="96" spans="1:48" s="16" customFormat="1" hidden="1">
      <c r="A96" s="8"/>
      <c r="B96" s="8"/>
      <c r="C96" s="8"/>
      <c r="H96" s="21"/>
      <c r="I96" s="21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</row>
  </sheetData>
  <conditionalFormatting sqref="T1">
    <cfRule type="cellIs" dxfId="135" priority="5" operator="equal">
      <formula>"Check"</formula>
    </cfRule>
    <cfRule type="cellIs" dxfId="134" priority="6" operator="equal">
      <formula>"Ok"</formula>
    </cfRule>
  </conditionalFormatting>
  <conditionalFormatting sqref="T9:T85 X14:X85">
    <cfRule type="cellIs" dxfId="133" priority="1" operator="equal">
      <formula>"Check"</formula>
    </cfRule>
    <cfRule type="cellIs" dxfId="132" priority="2" operator="equal">
      <formula>"Ok"</formula>
    </cfRule>
  </conditionalFormatting>
  <conditionalFormatting sqref="W1">
    <cfRule type="cellIs" dxfId="131" priority="7" operator="equal">
      <formula>"Check"</formula>
    </cfRule>
    <cfRule type="cellIs" dxfId="130" priority="8" operator="equal">
      <formula>"Ok"</formula>
    </cfRule>
  </conditionalFormatting>
  <dataValidations disablePrompts="1" count="2">
    <dataValidation type="list" allowBlank="1" showInputMessage="1" showErrorMessage="1" sqref="G85" xr:uid="{00000000-0002-0000-0200-000000000000}">
      <formula1>"Real 2010,Real 2011,Real 2012,Real 2013,Real 2014,Real 2015,Nominal"</formula1>
    </dataValidation>
    <dataValidation type="list" allowBlank="1" showInputMessage="1" showErrorMessage="1" sqref="J12:J85" xr:uid="{00000000-0002-0000-0200-000001000000}">
      <formula1>#REF!</formula1>
    </dataValidation>
  </dataValidations>
  <hyperlinks>
    <hyperlink ref="K1" location="Index!A1" display="Back to Index" xr:uid="{00000000-0004-0000-0200-000000000000}"/>
    <hyperlink ref="V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rgb="FFFFFF99"/>
  </sheetPr>
  <dimension ref="A1:X73"/>
  <sheetViews>
    <sheetView showGridLines="0" topLeftCell="A31" zoomScale="115" zoomScaleNormal="115" workbookViewId="0">
      <selection activeCell="T23" sqref="T23"/>
    </sheetView>
  </sheetViews>
  <sheetFormatPr defaultColWidth="0" defaultRowHeight="11.25" zeroHeight="1"/>
  <cols>
    <col min="1" max="2" width="1.6640625" customWidth="1"/>
    <col min="3" max="3" width="49.83203125" bestFit="1" customWidth="1"/>
    <col min="4" max="6" width="13.33203125" customWidth="1"/>
    <col min="7" max="9" width="3.33203125" customWidth="1"/>
    <col min="10" max="10" width="18" bestFit="1" customWidth="1"/>
    <col min="11" max="20" width="10.83203125" customWidth="1"/>
    <col min="21" max="21" width="42.33203125" bestFit="1" customWidth="1"/>
    <col min="22" max="22" width="10.83203125" customWidth="1"/>
    <col min="23" max="24" width="0" hidden="1" customWidth="1"/>
    <col min="25" max="16384" width="9.33203125" hidden="1"/>
  </cols>
  <sheetData>
    <row r="1" spans="1:22" ht="15.75">
      <c r="A1" s="32"/>
      <c r="B1" s="29"/>
      <c r="C1" s="29" t="str">
        <f>Index!$B$1</f>
        <v>AER opex model v2.0</v>
      </c>
      <c r="D1" s="29"/>
      <c r="E1" s="29"/>
      <c r="F1" s="30"/>
      <c r="G1" s="30"/>
      <c r="H1" s="30"/>
      <c r="I1" s="30"/>
      <c r="J1" s="145" t="s">
        <v>24</v>
      </c>
      <c r="K1" s="32"/>
      <c r="L1" s="33" t="s">
        <v>25</v>
      </c>
      <c r="M1" s="50" t="s">
        <v>26</v>
      </c>
      <c r="N1" s="11" t="s">
        <v>27</v>
      </c>
      <c r="O1" s="12" t="s">
        <v>28</v>
      </c>
      <c r="P1" s="32"/>
      <c r="Q1" s="32"/>
      <c r="R1" s="33" t="s">
        <v>29</v>
      </c>
      <c r="S1" s="34" t="str">
        <f>IF(COUNTA($V$29:$V$266)=COUNTIF($V$29:$V$266,"OK"),"OK","Check")</f>
        <v>OK</v>
      </c>
      <c r="T1" s="34"/>
      <c r="U1" s="129" t="s">
        <v>30</v>
      </c>
      <c r="V1" s="34" t="str">
        <f>'Check|List'!$S$1</f>
        <v>Ok</v>
      </c>
    </row>
    <row r="2" spans="1:22" ht="13.5" thickBot="1">
      <c r="A2" s="165"/>
      <c r="B2" s="166"/>
      <c r="C2" s="166" t="str">
        <f>Index!$C$9</f>
        <v>Input | Reported opex</v>
      </c>
      <c r="D2" s="166"/>
      <c r="E2" s="166"/>
      <c r="F2" s="168"/>
      <c r="G2" s="168"/>
      <c r="H2" s="168"/>
      <c r="I2" s="168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</row>
    <row r="3" spans="1:22">
      <c r="A3" s="90"/>
      <c r="B3" s="90"/>
      <c r="C3" s="90"/>
      <c r="D3" s="91"/>
      <c r="E3" s="91"/>
      <c r="F3" s="91"/>
      <c r="G3" s="91"/>
      <c r="H3" s="91"/>
      <c r="I3" s="91"/>
      <c r="J3" s="110" t="s">
        <v>41</v>
      </c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92"/>
      <c r="V3" s="92"/>
    </row>
    <row r="4" spans="1:22">
      <c r="A4" s="61"/>
      <c r="B4" s="61"/>
      <c r="C4" s="61"/>
      <c r="D4" s="62" t="s">
        <v>33</v>
      </c>
      <c r="E4" s="62" t="s">
        <v>53</v>
      </c>
      <c r="F4" s="63" t="s">
        <v>56</v>
      </c>
      <c r="G4" s="64"/>
      <c r="H4" s="64"/>
      <c r="I4" s="64"/>
      <c r="J4" s="108">
        <f>DATE(PPFirstYear,MONTH('Input|General'!$G$9),1)</f>
        <v>44348</v>
      </c>
      <c r="K4" s="108">
        <f>DATE(PPFirstYear+1,MONTH('Input|General'!$G$9),1)</f>
        <v>44713</v>
      </c>
      <c r="L4" s="108">
        <f>DATE(PPFirstYear+2,MONTH('Input|General'!$G$9),1)</f>
        <v>45078</v>
      </c>
      <c r="M4" s="108">
        <f>DATE(PPFirstYear+3,MONTH('Input|General'!$G$9),1)</f>
        <v>45444</v>
      </c>
      <c r="N4" s="108">
        <f>DATE(PPFirstYear+4,MONTH('Input|General'!$G$9),1)</f>
        <v>45809</v>
      </c>
      <c r="O4" s="108">
        <f>DATE(PPFirstYear+5,MONTH('Input|General'!$G$9),1)</f>
        <v>46174</v>
      </c>
      <c r="P4" s="108">
        <f>DATE(PPFirstYear+6,MONTH('Input|General'!$G$9),1)</f>
        <v>46539</v>
      </c>
      <c r="Q4" s="108">
        <f>DATE(PPFirstYear+7,MONTH('Input|General'!$G$9),1)</f>
        <v>46905</v>
      </c>
      <c r="R4" s="108">
        <f>DATE(PPFirstYear+8,MONTH('Input|General'!$G$9),1)</f>
        <v>47270</v>
      </c>
      <c r="S4" s="108">
        <f>DATE(PPFirstYear+9,MONTH('Input|General'!$G$9),1)</f>
        <v>47635</v>
      </c>
      <c r="T4" s="108">
        <f>DATE(PPFirstYear+10,MONTH('Input|General'!$G$9),1)</f>
        <v>48000</v>
      </c>
      <c r="U4" s="65"/>
      <c r="V4" s="66"/>
    </row>
    <row r="5" spans="1:22" ht="5.25" customHeight="1">
      <c r="A5" s="6"/>
      <c r="B5" s="6"/>
      <c r="C5" s="6"/>
      <c r="D5" s="22"/>
      <c r="E5" s="22"/>
      <c r="F5" s="22"/>
      <c r="G5" s="22"/>
      <c r="H5" s="22"/>
      <c r="I5" s="22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2"/>
      <c r="E6" s="22"/>
      <c r="F6" s="22"/>
      <c r="G6" s="22"/>
      <c r="H6" s="22"/>
      <c r="I6" s="2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2"/>
      <c r="E7" s="22"/>
      <c r="F7" s="22"/>
      <c r="G7" s="22"/>
      <c r="H7" s="22"/>
      <c r="I7" s="22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>
      <c r="A8" s="36"/>
      <c r="B8" s="42" t="s">
        <v>57</v>
      </c>
      <c r="C8" s="36"/>
      <c r="D8" s="36"/>
      <c r="E8" s="36"/>
      <c r="F8" s="37"/>
      <c r="G8" s="37"/>
      <c r="H8" s="37"/>
      <c r="I8" s="37"/>
      <c r="J8" s="38"/>
      <c r="K8" s="39"/>
      <c r="L8" s="38"/>
      <c r="M8" s="39"/>
      <c r="N8" s="38"/>
      <c r="O8" s="38"/>
      <c r="P8" s="38"/>
      <c r="Q8" s="38"/>
      <c r="R8" s="38"/>
      <c r="S8" s="38"/>
      <c r="T8" s="38"/>
      <c r="U8" s="38"/>
      <c r="V8" s="39"/>
    </row>
    <row r="9" spans="1:22">
      <c r="A9" s="8"/>
      <c r="B9" s="8"/>
      <c r="C9" s="8"/>
      <c r="D9" s="16"/>
      <c r="E9" s="16"/>
      <c r="F9" s="16"/>
      <c r="G9" s="21"/>
      <c r="H9" s="21"/>
      <c r="I9" s="1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>
      <c r="A10" s="8"/>
      <c r="B10" s="8"/>
      <c r="C10" s="9" t="s">
        <v>58</v>
      </c>
      <c r="D10" s="21" t="s">
        <v>33</v>
      </c>
      <c r="E10" s="21" t="s">
        <v>53</v>
      </c>
      <c r="F10" s="21" t="s">
        <v>56</v>
      </c>
      <c r="G10" s="21"/>
      <c r="H10" s="21"/>
      <c r="I10" s="16"/>
      <c r="J10" s="111">
        <f t="shared" ref="J10:S10" si="0">IF(YEAR(J$4)&lt;=PPLastYear,J$4,"")</f>
        <v>44348</v>
      </c>
      <c r="K10" s="111">
        <f t="shared" si="0"/>
        <v>44713</v>
      </c>
      <c r="L10" s="111">
        <f t="shared" si="0"/>
        <v>45078</v>
      </c>
      <c r="M10" s="111">
        <f t="shared" si="0"/>
        <v>45444</v>
      </c>
      <c r="N10" s="111">
        <f t="shared" si="0"/>
        <v>45809</v>
      </c>
      <c r="O10" s="111" t="str">
        <f t="shared" si="0"/>
        <v/>
      </c>
      <c r="P10" s="111" t="str">
        <f t="shared" si="0"/>
        <v/>
      </c>
      <c r="Q10" s="111" t="str">
        <f t="shared" si="0"/>
        <v/>
      </c>
      <c r="R10" s="111" t="str">
        <f t="shared" si="0"/>
        <v/>
      </c>
      <c r="S10" s="111" t="str">
        <f t="shared" si="0"/>
        <v/>
      </c>
      <c r="T10" s="111"/>
      <c r="U10" s="93" t="s">
        <v>59</v>
      </c>
      <c r="V10" s="8"/>
    </row>
    <row r="11" spans="1:22">
      <c r="A11" s="8"/>
      <c r="B11" s="8"/>
      <c r="C11" s="15"/>
      <c r="D11" s="16"/>
      <c r="E11" s="16"/>
      <c r="F11" s="16"/>
      <c r="G11" s="21"/>
      <c r="H11" s="21"/>
      <c r="I11" s="16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8"/>
      <c r="V11" s="8"/>
    </row>
    <row r="12" spans="1:22">
      <c r="A12" s="8"/>
      <c r="B12" s="8"/>
      <c r="C12" s="15"/>
      <c r="D12" s="16"/>
      <c r="E12" s="16"/>
      <c r="F12" s="16"/>
      <c r="G12" s="21"/>
      <c r="H12" s="21"/>
      <c r="I12" s="16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8"/>
      <c r="V12" s="8"/>
    </row>
    <row r="13" spans="1:22">
      <c r="A13" s="8"/>
      <c r="B13" s="8"/>
      <c r="C13" s="52" t="s">
        <v>60</v>
      </c>
      <c r="D13" s="16" t="s">
        <v>39</v>
      </c>
      <c r="E13" s="16" t="str">
        <f>units</f>
        <v>$millions</v>
      </c>
      <c r="F13" s="137">
        <f>DATE(PPFirstYear-1,MONTH(month),1)</f>
        <v>43983</v>
      </c>
      <c r="G13" s="21"/>
      <c r="H13" s="21"/>
      <c r="I13" s="16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8" t="s">
        <v>61</v>
      </c>
      <c r="V13" s="8"/>
    </row>
    <row r="14" spans="1:22">
      <c r="A14" s="8"/>
      <c r="B14" s="8"/>
      <c r="C14" s="15"/>
      <c r="D14" s="16"/>
      <c r="E14" s="16"/>
      <c r="F14" s="16"/>
      <c r="G14" s="21"/>
      <c r="H14" s="21"/>
      <c r="I14" s="16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8"/>
      <c r="V14" s="8"/>
    </row>
    <row r="15" spans="1:22">
      <c r="A15" s="8"/>
      <c r="B15" s="8"/>
      <c r="C15" s="95" t="s">
        <v>60</v>
      </c>
      <c r="D15" s="96" t="str">
        <f>D13</f>
        <v>AER</v>
      </c>
      <c r="E15" s="152" t="str">
        <f>E13</f>
        <v>$millions</v>
      </c>
      <c r="F15" s="152">
        <f>$F$13</f>
        <v>43983</v>
      </c>
      <c r="G15" s="21"/>
      <c r="H15" s="21"/>
      <c r="I15" s="16"/>
      <c r="J15" s="87">
        <f>J13</f>
        <v>0</v>
      </c>
      <c r="K15" s="87">
        <f t="shared" ref="K15:S15" si="1">K13</f>
        <v>0</v>
      </c>
      <c r="L15" s="87">
        <f t="shared" si="1"/>
        <v>0</v>
      </c>
      <c r="M15" s="87">
        <f t="shared" si="1"/>
        <v>0</v>
      </c>
      <c r="N15" s="87">
        <f t="shared" si="1"/>
        <v>0</v>
      </c>
      <c r="O15" s="87">
        <f t="shared" si="1"/>
        <v>0</v>
      </c>
      <c r="P15" s="87">
        <f t="shared" si="1"/>
        <v>0</v>
      </c>
      <c r="Q15" s="87">
        <f t="shared" si="1"/>
        <v>0</v>
      </c>
      <c r="R15" s="87">
        <f t="shared" si="1"/>
        <v>0</v>
      </c>
      <c r="S15" s="87">
        <f t="shared" si="1"/>
        <v>0</v>
      </c>
      <c r="T15" s="87"/>
      <c r="U15" s="8"/>
      <c r="V15" s="8"/>
    </row>
    <row r="16" spans="1:22">
      <c r="A16" s="8"/>
      <c r="B16" s="8"/>
      <c r="C16" s="15"/>
      <c r="D16" s="16"/>
      <c r="E16" s="16"/>
      <c r="F16" s="16"/>
      <c r="G16" s="21"/>
      <c r="H16" s="21"/>
      <c r="I16" s="16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8"/>
      <c r="V16" s="8"/>
    </row>
    <row r="17" spans="1:22">
      <c r="A17" s="8"/>
      <c r="B17" s="8"/>
      <c r="C17" s="9" t="s">
        <v>62</v>
      </c>
      <c r="D17" s="16"/>
      <c r="E17" s="16"/>
      <c r="F17" s="16"/>
      <c r="G17" s="21"/>
      <c r="H17" s="21"/>
      <c r="I17" s="16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8"/>
      <c r="V17" s="8"/>
    </row>
    <row r="18" spans="1:22">
      <c r="A18" s="8"/>
      <c r="B18" s="8"/>
      <c r="C18" s="15"/>
      <c r="D18" s="16"/>
      <c r="E18" s="16"/>
      <c r="F18" s="16"/>
      <c r="G18" s="21"/>
      <c r="H18" s="21"/>
      <c r="I18" s="16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8"/>
      <c r="V18" s="8"/>
    </row>
    <row r="19" spans="1:22">
      <c r="A19" s="8"/>
      <c r="B19" s="8"/>
      <c r="C19" s="52" t="s">
        <v>63</v>
      </c>
      <c r="D19" s="16" t="s">
        <v>39</v>
      </c>
      <c r="E19" s="16" t="str">
        <f t="shared" ref="E19:E27" si="2">units</f>
        <v>$millions</v>
      </c>
      <c r="F19" s="113">
        <f>$F$13</f>
        <v>43983</v>
      </c>
      <c r="G19" s="21"/>
      <c r="H19" s="21"/>
      <c r="I19" s="16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8" t="s">
        <v>64</v>
      </c>
      <c r="V19" s="8"/>
    </row>
    <row r="20" spans="1:22">
      <c r="A20" s="8"/>
      <c r="B20" s="8"/>
      <c r="C20" s="52"/>
      <c r="D20" s="16" t="s">
        <v>39</v>
      </c>
      <c r="E20" s="16" t="str">
        <f t="shared" si="2"/>
        <v>$millions</v>
      </c>
      <c r="F20" s="113">
        <f t="shared" ref="F20:F29" si="3">$F$13</f>
        <v>43983</v>
      </c>
      <c r="G20" s="21"/>
      <c r="H20" s="21"/>
      <c r="I20" s="16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8"/>
      <c r="V20" s="8"/>
    </row>
    <row r="21" spans="1:22">
      <c r="A21" s="8"/>
      <c r="B21" s="8"/>
      <c r="C21" s="52"/>
      <c r="D21" s="16" t="s">
        <v>39</v>
      </c>
      <c r="E21" s="16" t="str">
        <f t="shared" si="2"/>
        <v>$millions</v>
      </c>
      <c r="F21" s="113">
        <f t="shared" si="3"/>
        <v>43983</v>
      </c>
      <c r="G21" s="21"/>
      <c r="H21" s="21"/>
      <c r="I21" s="16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8"/>
      <c r="V21" s="8"/>
    </row>
    <row r="22" spans="1:22">
      <c r="A22" s="8"/>
      <c r="B22" s="8"/>
      <c r="C22" s="52"/>
      <c r="D22" s="16" t="s">
        <v>39</v>
      </c>
      <c r="E22" s="16" t="str">
        <f t="shared" si="2"/>
        <v>$millions</v>
      </c>
      <c r="F22" s="113">
        <f t="shared" si="3"/>
        <v>43983</v>
      </c>
      <c r="G22" s="21"/>
      <c r="H22" s="21"/>
      <c r="I22" s="16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8"/>
      <c r="V22" s="8"/>
    </row>
    <row r="23" spans="1:22">
      <c r="A23" s="8"/>
      <c r="B23" s="8"/>
      <c r="C23" s="52"/>
      <c r="D23" s="16" t="s">
        <v>39</v>
      </c>
      <c r="E23" s="16" t="str">
        <f t="shared" si="2"/>
        <v>$millions</v>
      </c>
      <c r="F23" s="113">
        <f t="shared" si="3"/>
        <v>43983</v>
      </c>
      <c r="G23" s="21"/>
      <c r="H23" s="21"/>
      <c r="I23" s="16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8"/>
      <c r="V23" s="8"/>
    </row>
    <row r="24" spans="1:22">
      <c r="A24" s="8"/>
      <c r="B24" s="8"/>
      <c r="C24" s="52"/>
      <c r="D24" s="16" t="s">
        <v>39</v>
      </c>
      <c r="E24" s="16" t="str">
        <f t="shared" si="2"/>
        <v>$millions</v>
      </c>
      <c r="F24" s="113">
        <f t="shared" si="3"/>
        <v>43983</v>
      </c>
      <c r="G24" s="21"/>
      <c r="H24" s="21"/>
      <c r="I24" s="16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8"/>
      <c r="V24" s="8"/>
    </row>
    <row r="25" spans="1:22">
      <c r="A25" s="8"/>
      <c r="B25" s="8"/>
      <c r="C25" s="52"/>
      <c r="D25" s="16" t="s">
        <v>39</v>
      </c>
      <c r="E25" s="16" t="str">
        <f t="shared" si="2"/>
        <v>$millions</v>
      </c>
      <c r="F25" s="113">
        <f t="shared" si="3"/>
        <v>43983</v>
      </c>
      <c r="G25" s="21"/>
      <c r="H25" s="21"/>
      <c r="I25" s="16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8"/>
      <c r="V25" s="8"/>
    </row>
    <row r="26" spans="1:22">
      <c r="A26" s="8"/>
      <c r="B26" s="8"/>
      <c r="C26" s="52"/>
      <c r="D26" s="16" t="s">
        <v>39</v>
      </c>
      <c r="E26" s="16" t="str">
        <f t="shared" si="2"/>
        <v>$millions</v>
      </c>
      <c r="F26" s="113">
        <f t="shared" si="3"/>
        <v>43983</v>
      </c>
      <c r="G26" s="21"/>
      <c r="H26" s="21"/>
      <c r="I26" s="16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8"/>
      <c r="V26" s="8"/>
    </row>
    <row r="27" spans="1:22">
      <c r="A27" s="8"/>
      <c r="B27" s="8"/>
      <c r="C27" s="52"/>
      <c r="D27" s="16" t="s">
        <v>39</v>
      </c>
      <c r="E27" s="16" t="str">
        <f t="shared" si="2"/>
        <v>$millions</v>
      </c>
      <c r="F27" s="113">
        <f t="shared" si="3"/>
        <v>43983</v>
      </c>
      <c r="G27" s="21"/>
      <c r="H27" s="21"/>
      <c r="I27" s="16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8"/>
      <c r="V27" s="8"/>
    </row>
    <row r="28" spans="1:22">
      <c r="A28" s="8"/>
      <c r="B28" s="8"/>
      <c r="C28" s="15"/>
      <c r="D28" s="16"/>
      <c r="E28" s="16"/>
      <c r="F28" s="16"/>
      <c r="G28" s="21"/>
      <c r="H28" s="21"/>
      <c r="I28" s="16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8"/>
      <c r="V28" s="8"/>
    </row>
    <row r="29" spans="1:22">
      <c r="A29" s="8"/>
      <c r="B29" s="8"/>
      <c r="C29" s="95" t="s">
        <v>65</v>
      </c>
      <c r="D29" s="96" t="s">
        <v>52</v>
      </c>
      <c r="E29" s="151" t="str">
        <f>units</f>
        <v>$millions</v>
      </c>
      <c r="F29" s="152">
        <f t="shared" si="3"/>
        <v>43983</v>
      </c>
      <c r="G29" s="21"/>
      <c r="H29" s="21"/>
      <c r="I29" s="16"/>
      <c r="J29" s="87">
        <f>SUM(J19:J27)</f>
        <v>0</v>
      </c>
      <c r="K29" s="87">
        <f t="shared" ref="K29:S29" si="4">SUM(K19:K27)</f>
        <v>0</v>
      </c>
      <c r="L29" s="87">
        <f t="shared" si="4"/>
        <v>0</v>
      </c>
      <c r="M29" s="87">
        <f t="shared" si="4"/>
        <v>0</v>
      </c>
      <c r="N29" s="87">
        <f t="shared" si="4"/>
        <v>0</v>
      </c>
      <c r="O29" s="87">
        <f t="shared" si="4"/>
        <v>0</v>
      </c>
      <c r="P29" s="87">
        <f t="shared" si="4"/>
        <v>0</v>
      </c>
      <c r="Q29" s="87">
        <f t="shared" si="4"/>
        <v>0</v>
      </c>
      <c r="R29" s="87">
        <f t="shared" si="4"/>
        <v>0</v>
      </c>
      <c r="S29" s="87">
        <f t="shared" si="4"/>
        <v>0</v>
      </c>
      <c r="T29" s="87"/>
      <c r="U29" s="8"/>
      <c r="V29" s="70" t="str">
        <f>IF(COUNTIF(J19:S27,"&lt;0")&gt;0,"Check","Ok")</f>
        <v>Ok</v>
      </c>
    </row>
    <row r="30" spans="1:22">
      <c r="A30" s="8"/>
      <c r="B30" s="8"/>
      <c r="C30" s="8"/>
      <c r="D30" s="16"/>
      <c r="E30" s="16"/>
      <c r="F30" s="16"/>
      <c r="G30" s="21"/>
      <c r="H30" s="21"/>
      <c r="I30" s="16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2.75">
      <c r="A31" s="36"/>
      <c r="B31" s="42" t="s">
        <v>9</v>
      </c>
      <c r="C31" s="36"/>
      <c r="D31" s="36"/>
      <c r="E31" s="36"/>
      <c r="F31" s="37"/>
      <c r="G31" s="37"/>
      <c r="H31" s="37"/>
      <c r="I31" s="37"/>
      <c r="J31" s="38"/>
      <c r="K31" s="39"/>
      <c r="L31" s="38"/>
      <c r="M31" s="39"/>
      <c r="N31" s="38"/>
      <c r="O31" s="38"/>
      <c r="P31" s="38"/>
      <c r="Q31" s="38"/>
      <c r="R31" s="38"/>
      <c r="S31" s="38"/>
      <c r="T31" s="38"/>
      <c r="U31" s="38"/>
      <c r="V31" s="39"/>
    </row>
    <row r="32" spans="1:22">
      <c r="A32" s="8"/>
      <c r="B32" s="8"/>
      <c r="C32" s="8"/>
      <c r="D32" s="16"/>
      <c r="E32" s="16"/>
      <c r="F32" s="16"/>
      <c r="G32" s="16"/>
      <c r="H32" s="16"/>
      <c r="I32" s="16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>
      <c r="A33" s="8"/>
      <c r="B33" s="8"/>
      <c r="C33" s="8"/>
      <c r="D33" s="16"/>
      <c r="E33" s="16"/>
      <c r="F33" s="16"/>
      <c r="G33" s="16"/>
      <c r="H33" s="16"/>
      <c r="I33" s="16"/>
      <c r="J33" s="115" t="s">
        <v>66</v>
      </c>
      <c r="K33" s="115" t="s">
        <v>66</v>
      </c>
      <c r="L33" s="115" t="s">
        <v>66</v>
      </c>
      <c r="M33" s="115" t="s">
        <v>67</v>
      </c>
      <c r="N33" s="115" t="s">
        <v>67</v>
      </c>
      <c r="O33" s="115"/>
      <c r="P33" s="115"/>
      <c r="Q33" s="115"/>
      <c r="R33" s="115"/>
      <c r="S33" s="115"/>
      <c r="T33" s="115"/>
      <c r="U33" s="8"/>
      <c r="V33" s="8"/>
    </row>
    <row r="34" spans="1:22">
      <c r="A34" s="8"/>
      <c r="B34" s="8"/>
      <c r="C34" s="9" t="s">
        <v>58</v>
      </c>
      <c r="D34" s="21" t="s">
        <v>33</v>
      </c>
      <c r="E34" s="21" t="s">
        <v>53</v>
      </c>
      <c r="F34" s="21" t="s">
        <v>56</v>
      </c>
      <c r="G34" s="21"/>
      <c r="H34" s="21"/>
      <c r="I34" s="21"/>
      <c r="J34" s="111">
        <f t="shared" ref="J34:S34" si="5">IF(YEAR(J$4)&lt;=PPLastYear,J$4,"")</f>
        <v>44348</v>
      </c>
      <c r="K34" s="111">
        <f t="shared" si="5"/>
        <v>44713</v>
      </c>
      <c r="L34" s="111">
        <f t="shared" si="5"/>
        <v>45078</v>
      </c>
      <c r="M34" s="111">
        <f t="shared" si="5"/>
        <v>45444</v>
      </c>
      <c r="N34" s="111">
        <f t="shared" si="5"/>
        <v>45809</v>
      </c>
      <c r="O34" s="111" t="str">
        <f t="shared" si="5"/>
        <v/>
      </c>
      <c r="P34" s="111" t="str">
        <f t="shared" si="5"/>
        <v/>
      </c>
      <c r="Q34" s="111" t="str">
        <f t="shared" si="5"/>
        <v/>
      </c>
      <c r="R34" s="111" t="str">
        <f t="shared" si="5"/>
        <v/>
      </c>
      <c r="S34" s="111" t="str">
        <f t="shared" si="5"/>
        <v/>
      </c>
      <c r="T34" s="111"/>
      <c r="U34" s="93" t="s">
        <v>59</v>
      </c>
      <c r="V34" s="8"/>
    </row>
    <row r="35" spans="1:22">
      <c r="A35" s="8"/>
      <c r="B35" s="8"/>
      <c r="C35" s="15"/>
      <c r="D35" s="16"/>
      <c r="E35" s="16"/>
      <c r="F35" s="16"/>
      <c r="G35" s="21"/>
      <c r="H35" s="21"/>
      <c r="I35" s="16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>
      <c r="A36" s="8"/>
      <c r="B36" s="8"/>
      <c r="C36" s="15"/>
      <c r="D36" s="16"/>
      <c r="E36" s="16"/>
      <c r="F36" s="16"/>
      <c r="G36" s="21"/>
      <c r="H36" s="21"/>
      <c r="I36" s="16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>
      <c r="A37" s="8"/>
      <c r="B37" s="8"/>
      <c r="C37" s="52" t="s">
        <v>60</v>
      </c>
      <c r="D37" s="16" t="s">
        <v>68</v>
      </c>
      <c r="E37" s="16" t="str">
        <f>units</f>
        <v>$millions</v>
      </c>
      <c r="F37" s="113" t="s">
        <v>69</v>
      </c>
      <c r="G37" s="21"/>
      <c r="H37" s="21"/>
      <c r="I37" s="16"/>
      <c r="J37" s="155">
        <v>124.41727958886545</v>
      </c>
      <c r="K37" s="155">
        <v>21.638725673915921</v>
      </c>
      <c r="L37" s="155">
        <v>51.025071975369436</v>
      </c>
      <c r="M37" s="170">
        <v>36.132483274579727</v>
      </c>
      <c r="N37" s="170">
        <v>44.111189515723332</v>
      </c>
      <c r="O37" s="115"/>
      <c r="P37" s="115"/>
      <c r="Q37" s="115"/>
      <c r="R37" s="115"/>
      <c r="S37" s="115"/>
      <c r="T37" s="115"/>
      <c r="U37" s="8" t="s">
        <v>70</v>
      </c>
      <c r="V37" s="8"/>
    </row>
    <row r="38" spans="1:22">
      <c r="A38" s="8"/>
      <c r="B38" s="8"/>
      <c r="C38" s="15"/>
      <c r="D38" s="16"/>
      <c r="E38" s="16"/>
      <c r="F38" s="113"/>
      <c r="G38" s="21"/>
      <c r="H38" s="21"/>
      <c r="I38" s="16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8"/>
      <c r="V38" s="8"/>
    </row>
    <row r="39" spans="1:22">
      <c r="A39" s="8"/>
      <c r="B39" s="8"/>
      <c r="C39" s="9" t="s">
        <v>71</v>
      </c>
      <c r="D39" s="16"/>
      <c r="E39" s="16"/>
      <c r="F39" s="113"/>
      <c r="G39" s="21"/>
      <c r="H39" s="21"/>
      <c r="I39" s="16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8"/>
      <c r="V39" s="8"/>
    </row>
    <row r="40" spans="1:22">
      <c r="A40" s="8"/>
      <c r="B40" s="8"/>
      <c r="C40" s="9"/>
      <c r="D40" s="16"/>
      <c r="E40" s="16"/>
      <c r="F40" s="113"/>
      <c r="G40" s="21"/>
      <c r="H40" s="21"/>
      <c r="I40" s="16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8"/>
      <c r="V40" s="8"/>
    </row>
    <row r="41" spans="1:22">
      <c r="A41" s="8"/>
      <c r="B41" s="8"/>
      <c r="C41" s="159" t="s">
        <v>72</v>
      </c>
      <c r="D41" s="16" t="s">
        <v>68</v>
      </c>
      <c r="E41" s="16" t="str">
        <f>units</f>
        <v>$millions</v>
      </c>
      <c r="F41" s="113" t="s">
        <v>69</v>
      </c>
      <c r="G41" s="21"/>
      <c r="H41" s="21"/>
      <c r="I41" s="16"/>
      <c r="J41" s="160">
        <v>104.42259248000001</v>
      </c>
      <c r="K41" s="160">
        <v>1.8690858999999937</v>
      </c>
      <c r="L41" s="160">
        <v>17.56976453</v>
      </c>
      <c r="M41" s="161"/>
      <c r="N41" s="161"/>
      <c r="O41" s="115"/>
      <c r="P41" s="115"/>
      <c r="Q41" s="115"/>
      <c r="R41" s="115"/>
      <c r="S41" s="115"/>
      <c r="T41" s="115"/>
      <c r="U41" s="8" t="s">
        <v>73</v>
      </c>
      <c r="V41" s="8"/>
    </row>
    <row r="42" spans="1:22">
      <c r="A42" s="8"/>
      <c r="B42" s="8"/>
      <c r="C42" s="52"/>
      <c r="D42" s="16" t="s">
        <v>68</v>
      </c>
      <c r="E42" s="16" t="str">
        <f>units</f>
        <v>$millions</v>
      </c>
      <c r="F42" s="113" t="s">
        <v>69</v>
      </c>
      <c r="G42" s="21"/>
      <c r="H42" s="21"/>
      <c r="I42" s="16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8"/>
      <c r="V42" s="8"/>
    </row>
    <row r="43" spans="1:22">
      <c r="A43" s="8"/>
      <c r="B43" s="8"/>
      <c r="C43" s="52"/>
      <c r="D43" s="16" t="s">
        <v>68</v>
      </c>
      <c r="E43" s="16" t="str">
        <f>units</f>
        <v>$millions</v>
      </c>
      <c r="F43" s="113" t="s">
        <v>69</v>
      </c>
      <c r="G43" s="21"/>
      <c r="H43" s="21"/>
      <c r="I43" s="16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8"/>
      <c r="V43" s="8"/>
    </row>
    <row r="44" spans="1:22">
      <c r="A44" s="8"/>
      <c r="B44" s="8"/>
      <c r="C44" s="52"/>
      <c r="D44" s="16" t="s">
        <v>68</v>
      </c>
      <c r="E44" s="16" t="str">
        <f>units</f>
        <v>$millions</v>
      </c>
      <c r="F44" s="113" t="s">
        <v>69</v>
      </c>
      <c r="G44" s="21"/>
      <c r="H44" s="21"/>
      <c r="I44" s="16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8"/>
      <c r="V44" s="8"/>
    </row>
    <row r="45" spans="1:22">
      <c r="A45" s="8"/>
      <c r="B45" s="8"/>
      <c r="C45" s="52"/>
      <c r="D45" s="16" t="s">
        <v>68</v>
      </c>
      <c r="E45" s="16" t="str">
        <f>units</f>
        <v>$millions</v>
      </c>
      <c r="F45" s="113" t="s">
        <v>69</v>
      </c>
      <c r="G45" s="21"/>
      <c r="H45" s="21"/>
      <c r="I45" s="16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8"/>
      <c r="V45" s="8"/>
    </row>
    <row r="46" spans="1:22">
      <c r="A46" s="8"/>
      <c r="B46" s="8"/>
      <c r="C46" s="15"/>
      <c r="D46" s="16"/>
      <c r="E46" s="16"/>
      <c r="F46" s="16"/>
      <c r="G46" s="21"/>
      <c r="H46" s="21"/>
      <c r="I46" s="16"/>
      <c r="J46" s="8"/>
      <c r="K46" s="8"/>
      <c r="L46" s="8"/>
      <c r="M46" s="8"/>
      <c r="N46" s="97"/>
      <c r="O46" s="97"/>
      <c r="P46" s="97"/>
      <c r="Q46" s="97"/>
      <c r="R46" s="97"/>
      <c r="S46" s="97"/>
      <c r="T46" s="97"/>
      <c r="U46" s="8"/>
      <c r="V46" s="8"/>
    </row>
    <row r="47" spans="1:22">
      <c r="A47" s="8"/>
      <c r="B47" s="8"/>
      <c r="C47" s="95" t="s">
        <v>74</v>
      </c>
      <c r="D47" s="96" t="s">
        <v>52</v>
      </c>
      <c r="E47" s="151" t="str">
        <f>units</f>
        <v>$millions</v>
      </c>
      <c r="F47" s="152" t="s">
        <v>69</v>
      </c>
      <c r="G47" s="21"/>
      <c r="H47" s="21"/>
      <c r="I47" s="16"/>
      <c r="J47" s="87">
        <f>J37-SUM(J41:J45)</f>
        <v>19.994687108865449</v>
      </c>
      <c r="K47" s="87">
        <f t="shared" ref="K47:S47" si="6">K37-SUM(K41:K45)</f>
        <v>19.769639773915927</v>
      </c>
      <c r="L47" s="87">
        <f t="shared" si="6"/>
        <v>33.455307445369435</v>
      </c>
      <c r="M47" s="87">
        <f t="shared" si="6"/>
        <v>36.132483274579727</v>
      </c>
      <c r="N47" s="87">
        <f t="shared" si="6"/>
        <v>44.111189515723332</v>
      </c>
      <c r="O47" s="87">
        <f t="shared" si="6"/>
        <v>0</v>
      </c>
      <c r="P47" s="87">
        <f t="shared" si="6"/>
        <v>0</v>
      </c>
      <c r="Q47" s="87">
        <f t="shared" si="6"/>
        <v>0</v>
      </c>
      <c r="R47" s="87">
        <f t="shared" si="6"/>
        <v>0</v>
      </c>
      <c r="S47" s="87">
        <f t="shared" si="6"/>
        <v>0</v>
      </c>
      <c r="T47" s="87"/>
      <c r="U47" s="8"/>
      <c r="V47" s="8"/>
    </row>
    <row r="48" spans="1:22">
      <c r="A48" s="8"/>
      <c r="B48" s="8"/>
      <c r="C48" s="8"/>
      <c r="D48" s="16"/>
      <c r="E48" s="16"/>
      <c r="F48" s="16"/>
      <c r="G48" s="16"/>
      <c r="H48" s="16"/>
      <c r="I48" s="16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>
      <c r="A49" s="8"/>
      <c r="B49" s="8"/>
      <c r="C49" s="9" t="s">
        <v>75</v>
      </c>
      <c r="D49" s="16"/>
      <c r="E49" s="16"/>
      <c r="F49" s="16"/>
      <c r="G49" s="16"/>
      <c r="H49" s="16"/>
      <c r="I49" s="16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>
      <c r="A50" s="8"/>
      <c r="B50" s="8"/>
      <c r="C50" s="8"/>
      <c r="D50" s="16"/>
      <c r="E50" s="16"/>
      <c r="F50" s="16"/>
      <c r="G50" s="16"/>
      <c r="H50" s="16"/>
      <c r="I50" s="16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>
      <c r="A51" s="8"/>
      <c r="B51" s="8"/>
      <c r="C51" s="159" t="s">
        <v>76</v>
      </c>
      <c r="D51" s="16" t="s">
        <v>68</v>
      </c>
      <c r="E51" s="16" t="str">
        <f>units</f>
        <v>$millions</v>
      </c>
      <c r="F51" s="113" t="s">
        <v>69</v>
      </c>
      <c r="G51" s="21"/>
      <c r="H51" s="21"/>
      <c r="I51" s="16"/>
      <c r="J51" s="169">
        <v>9.8086342899999988</v>
      </c>
      <c r="K51" s="169">
        <v>11.25839845</v>
      </c>
      <c r="L51" s="169">
        <v>12.73011397</v>
      </c>
      <c r="M51" s="161">
        <v>12.153994920944708</v>
      </c>
      <c r="N51" s="161">
        <v>11.577875871889416</v>
      </c>
      <c r="O51" s="115"/>
      <c r="P51" s="115"/>
      <c r="Q51" s="115"/>
      <c r="R51" s="115"/>
      <c r="S51" s="115"/>
      <c r="T51" s="115"/>
      <c r="U51" s="8" t="s">
        <v>64</v>
      </c>
      <c r="V51" s="8"/>
    </row>
    <row r="52" spans="1:22">
      <c r="A52" s="8"/>
      <c r="B52" s="8"/>
      <c r="C52" s="52"/>
      <c r="D52" s="16" t="s">
        <v>68</v>
      </c>
      <c r="E52" s="16" t="str">
        <f>units</f>
        <v>$millions</v>
      </c>
      <c r="F52" s="113" t="s">
        <v>69</v>
      </c>
      <c r="G52" s="21"/>
      <c r="H52" s="21"/>
      <c r="I52" s="16"/>
      <c r="J52" s="115"/>
      <c r="K52" s="115"/>
      <c r="L52" s="161"/>
      <c r="M52" s="161"/>
      <c r="N52" s="161"/>
      <c r="O52" s="115"/>
      <c r="P52" s="115"/>
      <c r="Q52" s="115"/>
      <c r="R52" s="115"/>
      <c r="S52" s="115"/>
      <c r="T52" s="115"/>
      <c r="U52" s="8"/>
      <c r="V52" s="8"/>
    </row>
    <row r="53" spans="1:22">
      <c r="A53" s="8"/>
      <c r="B53" s="8"/>
      <c r="C53" s="52"/>
      <c r="D53" s="16" t="s">
        <v>68</v>
      </c>
      <c r="E53" s="16" t="str">
        <f>units</f>
        <v>$millions</v>
      </c>
      <c r="F53" s="113" t="s">
        <v>69</v>
      </c>
      <c r="G53" s="21"/>
      <c r="H53" s="21"/>
      <c r="I53" s="16"/>
      <c r="J53" s="115"/>
      <c r="K53" s="115"/>
      <c r="L53" s="161"/>
      <c r="M53" s="161"/>
      <c r="N53" s="161"/>
      <c r="O53" s="115"/>
      <c r="P53" s="115"/>
      <c r="Q53" s="115"/>
      <c r="R53" s="115"/>
      <c r="S53" s="115"/>
      <c r="T53" s="115"/>
      <c r="U53" s="8"/>
      <c r="V53" s="8"/>
    </row>
    <row r="54" spans="1:22">
      <c r="A54" s="8"/>
      <c r="B54" s="8"/>
      <c r="C54" s="52"/>
      <c r="D54" s="16" t="s">
        <v>68</v>
      </c>
      <c r="E54" s="16" t="str">
        <f>units</f>
        <v>$millions</v>
      </c>
      <c r="F54" s="113" t="s">
        <v>69</v>
      </c>
      <c r="G54" s="21"/>
      <c r="H54" s="21"/>
      <c r="I54" s="16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8"/>
      <c r="V54" s="8"/>
    </row>
    <row r="55" spans="1:22">
      <c r="A55" s="8"/>
      <c r="B55" s="8"/>
      <c r="C55" s="52"/>
      <c r="D55" s="16" t="s">
        <v>68</v>
      </c>
      <c r="E55" s="16" t="str">
        <f>units</f>
        <v>$millions</v>
      </c>
      <c r="F55" s="113" t="s">
        <v>69</v>
      </c>
      <c r="G55" s="21"/>
      <c r="H55" s="21"/>
      <c r="I55" s="16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8"/>
      <c r="V55" s="8"/>
    </row>
    <row r="56" spans="1:22">
      <c r="A56" s="8"/>
      <c r="B56" s="8"/>
      <c r="C56" s="15"/>
      <c r="D56" s="16"/>
      <c r="E56" s="16"/>
      <c r="F56" s="16"/>
      <c r="G56" s="21"/>
      <c r="H56" s="21"/>
      <c r="I56" s="16"/>
      <c r="J56" s="8"/>
      <c r="K56" s="8"/>
      <c r="L56" s="8"/>
      <c r="M56" s="8"/>
      <c r="N56" s="97"/>
      <c r="O56" s="97"/>
      <c r="P56" s="97"/>
      <c r="Q56" s="97"/>
      <c r="R56" s="97"/>
      <c r="S56" s="97"/>
      <c r="T56" s="97"/>
      <c r="U56" s="8"/>
      <c r="V56" s="8"/>
    </row>
    <row r="57" spans="1:22">
      <c r="A57" s="8"/>
      <c r="B57" s="8"/>
      <c r="C57" s="95" t="s">
        <v>65</v>
      </c>
      <c r="D57" s="96" t="s">
        <v>52</v>
      </c>
      <c r="E57" s="151" t="str">
        <f>units</f>
        <v>$millions</v>
      </c>
      <c r="F57" s="152" t="s">
        <v>69</v>
      </c>
      <c r="G57" s="21"/>
      <c r="H57" s="21"/>
      <c r="I57" s="16"/>
      <c r="J57" s="128">
        <f>SUM(J51:J55)</f>
        <v>9.8086342899999988</v>
      </c>
      <c r="K57" s="128">
        <f t="shared" ref="K57:S57" si="7">SUM(K51:K55)</f>
        <v>11.25839845</v>
      </c>
      <c r="L57" s="128">
        <f t="shared" si="7"/>
        <v>12.73011397</v>
      </c>
      <c r="M57" s="128">
        <f t="shared" si="7"/>
        <v>12.153994920944708</v>
      </c>
      <c r="N57" s="128">
        <f t="shared" si="7"/>
        <v>11.577875871889416</v>
      </c>
      <c r="O57" s="128">
        <f t="shared" si="7"/>
        <v>0</v>
      </c>
      <c r="P57" s="128">
        <f t="shared" si="7"/>
        <v>0</v>
      </c>
      <c r="Q57" s="128">
        <f t="shared" si="7"/>
        <v>0</v>
      </c>
      <c r="R57" s="128">
        <f t="shared" si="7"/>
        <v>0</v>
      </c>
      <c r="S57" s="128">
        <f t="shared" si="7"/>
        <v>0</v>
      </c>
      <c r="T57" s="128"/>
      <c r="U57" s="8"/>
      <c r="V57" s="70" t="str">
        <f>IF(COUNTIF(J51:S55,"&lt;0")&gt;0,"Check","Ok")</f>
        <v>Ok</v>
      </c>
    </row>
    <row r="58" spans="1:22">
      <c r="A58" s="8"/>
      <c r="B58" s="8"/>
      <c r="C58" s="8"/>
      <c r="D58" s="16"/>
      <c r="E58" s="16"/>
      <c r="F58" s="16"/>
      <c r="G58" s="21"/>
      <c r="H58" s="21"/>
      <c r="I58" s="16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2.75">
      <c r="A59" s="36"/>
      <c r="B59" s="42" t="s">
        <v>77</v>
      </c>
      <c r="C59" s="36"/>
      <c r="D59" s="36"/>
      <c r="E59" s="36"/>
      <c r="F59" s="37"/>
      <c r="G59" s="37"/>
      <c r="H59" s="37"/>
      <c r="I59" s="37"/>
      <c r="J59" s="38"/>
      <c r="K59" s="39"/>
      <c r="L59" s="38"/>
      <c r="M59" s="39"/>
      <c r="N59" s="38"/>
      <c r="O59" s="38"/>
      <c r="P59" s="38"/>
      <c r="Q59" s="38"/>
      <c r="R59" s="38"/>
      <c r="S59" s="38"/>
      <c r="T59" s="38"/>
      <c r="U59" s="38"/>
      <c r="V59" s="39"/>
    </row>
    <row r="60" spans="1:22">
      <c r="A60" s="8"/>
      <c r="B60" s="8"/>
      <c r="C60" s="8"/>
      <c r="D60" s="16"/>
      <c r="E60" s="16"/>
      <c r="F60" s="16"/>
      <c r="G60" s="16"/>
      <c r="H60" s="16"/>
      <c r="I60" s="16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>
      <c r="A61" s="8"/>
      <c r="B61" s="8"/>
      <c r="C61" s="9" t="s">
        <v>78</v>
      </c>
      <c r="D61" s="21" t="s">
        <v>33</v>
      </c>
      <c r="E61" s="21" t="s">
        <v>53</v>
      </c>
      <c r="F61" s="21" t="s">
        <v>56</v>
      </c>
      <c r="G61" s="21"/>
      <c r="H61" s="21"/>
      <c r="I61" s="21"/>
      <c r="J61" s="111" t="str">
        <f t="shared" ref="J61:S61" si="8">IF(YEAR(J$4)=PPLastYear,J$4,"")</f>
        <v/>
      </c>
      <c r="K61" s="111" t="str">
        <f t="shared" si="8"/>
        <v/>
      </c>
      <c r="L61" s="111" t="str">
        <f t="shared" si="8"/>
        <v/>
      </c>
      <c r="M61" s="111" t="str">
        <f t="shared" si="8"/>
        <v/>
      </c>
      <c r="N61" s="111">
        <f t="shared" si="8"/>
        <v>45809</v>
      </c>
      <c r="O61" s="111" t="str">
        <f t="shared" si="8"/>
        <v/>
      </c>
      <c r="P61" s="111" t="str">
        <f t="shared" si="8"/>
        <v/>
      </c>
      <c r="Q61" s="111" t="str">
        <f t="shared" si="8"/>
        <v/>
      </c>
      <c r="R61" s="111" t="str">
        <f t="shared" si="8"/>
        <v/>
      </c>
      <c r="S61" s="111" t="str">
        <f t="shared" si="8"/>
        <v/>
      </c>
      <c r="T61" s="111"/>
      <c r="U61" s="8"/>
      <c r="V61" s="8"/>
    </row>
    <row r="62" spans="1:22">
      <c r="A62" s="8"/>
      <c r="B62" s="8"/>
      <c r="C62" s="9"/>
      <c r="D62" s="21"/>
      <c r="E62" s="21"/>
      <c r="F62" s="21"/>
      <c r="G62" s="21"/>
      <c r="H62" s="21"/>
      <c r="I62" s="21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8"/>
      <c r="V62" s="8"/>
    </row>
    <row r="63" spans="1:22">
      <c r="A63" s="8"/>
      <c r="B63" s="8"/>
      <c r="C63" s="156"/>
      <c r="D63" s="16" t="s">
        <v>79</v>
      </c>
      <c r="E63" s="16" t="str">
        <f>units</f>
        <v>$millions</v>
      </c>
      <c r="F63" s="148">
        <f>DATE(PPLastYear,MONTH(month),1)</f>
        <v>45809</v>
      </c>
      <c r="G63" s="21"/>
      <c r="H63" s="21"/>
      <c r="I63" s="21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8" t="s">
        <v>80</v>
      </c>
      <c r="V63" s="8"/>
    </row>
    <row r="64" spans="1:22">
      <c r="A64" s="8"/>
      <c r="B64" s="8"/>
      <c r="C64" s="52" t="s">
        <v>81</v>
      </c>
      <c r="D64" s="16" t="s">
        <v>79</v>
      </c>
      <c r="E64" s="16" t="str">
        <f>units</f>
        <v>$millions</v>
      </c>
      <c r="F64" s="148">
        <f>DATE(PPLastYear,MONTH(month),1)</f>
        <v>45809</v>
      </c>
      <c r="G64" s="21"/>
      <c r="H64" s="21"/>
      <c r="I64" s="21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9"/>
      <c r="V64" s="8"/>
    </row>
    <row r="65" spans="1:22">
      <c r="A65" s="8"/>
      <c r="B65" s="8"/>
      <c r="C65" s="52" t="s">
        <v>82</v>
      </c>
      <c r="D65" s="16" t="s">
        <v>79</v>
      </c>
      <c r="E65" s="16" t="str">
        <f>units</f>
        <v>$millions</v>
      </c>
      <c r="F65" s="148">
        <f>DATE(PPLastYear,MONTH(month),1)</f>
        <v>45809</v>
      </c>
      <c r="G65" s="21"/>
      <c r="H65" s="21"/>
      <c r="I65" s="21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9"/>
      <c r="V65" s="8"/>
    </row>
    <row r="66" spans="1:22">
      <c r="A66" s="8"/>
      <c r="B66" s="8"/>
      <c r="C66" s="52" t="s">
        <v>83</v>
      </c>
      <c r="D66" s="16" t="s">
        <v>79</v>
      </c>
      <c r="E66" s="16" t="str">
        <f>units</f>
        <v>$millions</v>
      </c>
      <c r="F66" s="148">
        <f>DATE(PPLastYear,MONTH(month),1)</f>
        <v>45809</v>
      </c>
      <c r="G66" s="21"/>
      <c r="H66" s="21"/>
      <c r="I66" s="21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9"/>
      <c r="V66" s="8"/>
    </row>
    <row r="67" spans="1:22">
      <c r="A67" s="8"/>
      <c r="B67" s="8"/>
      <c r="C67" s="52" t="s">
        <v>84</v>
      </c>
      <c r="D67" s="16" t="s">
        <v>79</v>
      </c>
      <c r="E67" s="16" t="str">
        <f>units</f>
        <v>$millions</v>
      </c>
      <c r="F67" s="148">
        <f>DATE(PPLastYear,MONTH(month),1)</f>
        <v>45809</v>
      </c>
      <c r="G67" s="21"/>
      <c r="H67" s="21"/>
      <c r="I67" s="21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9"/>
      <c r="V67" s="8"/>
    </row>
    <row r="68" spans="1:22">
      <c r="A68" s="8"/>
      <c r="B68" s="8"/>
      <c r="C68" s="150"/>
      <c r="D68" s="16"/>
      <c r="E68" s="16"/>
      <c r="F68" s="21"/>
      <c r="G68" s="21"/>
      <c r="H68" s="21"/>
      <c r="I68" s="21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9"/>
      <c r="V68" s="8"/>
    </row>
    <row r="69" spans="1:22">
      <c r="A69" s="8"/>
      <c r="B69" s="8"/>
      <c r="C69" s="149" t="s">
        <v>85</v>
      </c>
      <c r="D69" s="16" t="s">
        <v>79</v>
      </c>
      <c r="E69" s="16" t="str">
        <f>units</f>
        <v>$millions</v>
      </c>
      <c r="F69" s="148">
        <f>DATE(PPLastYear,MONTH(month),1)</f>
        <v>45809</v>
      </c>
      <c r="G69" s="21"/>
      <c r="H69" s="21"/>
      <c r="I69" s="21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9"/>
      <c r="V69" s="8"/>
    </row>
    <row r="70" spans="1:22">
      <c r="A70" s="8"/>
      <c r="B70" s="8"/>
      <c r="C70" s="149"/>
      <c r="D70" s="16"/>
      <c r="E70" s="16"/>
      <c r="F70" s="21"/>
      <c r="G70" s="21"/>
      <c r="H70" s="21"/>
      <c r="I70" s="21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9"/>
      <c r="V70" s="8"/>
    </row>
    <row r="71" spans="1:22">
      <c r="A71" s="8"/>
      <c r="B71" s="8"/>
      <c r="C71" s="149" t="s">
        <v>86</v>
      </c>
      <c r="D71" s="16" t="s">
        <v>79</v>
      </c>
      <c r="E71" s="16" t="s">
        <v>87</v>
      </c>
      <c r="F71" s="21"/>
      <c r="G71" s="21"/>
      <c r="H71" s="21"/>
      <c r="I71" s="21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9"/>
      <c r="V71" s="8"/>
    </row>
    <row r="72" spans="1:22">
      <c r="A72" s="8"/>
      <c r="B72" s="8"/>
      <c r="C72" s="15"/>
      <c r="D72" s="16"/>
      <c r="E72" s="16"/>
      <c r="F72" s="16"/>
      <c r="G72" s="21"/>
      <c r="H72" s="21"/>
      <c r="I72" s="16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2.75">
      <c r="A73" s="36"/>
      <c r="B73" s="42" t="s">
        <v>23</v>
      </c>
      <c r="C73" s="36"/>
      <c r="D73" s="36"/>
      <c r="E73" s="36"/>
      <c r="F73" s="37"/>
      <c r="G73" s="37"/>
      <c r="H73" s="37"/>
      <c r="I73" s="37"/>
      <c r="J73" s="38"/>
      <c r="K73" s="39"/>
      <c r="L73" s="38"/>
      <c r="M73" s="39"/>
      <c r="N73" s="38"/>
      <c r="O73" s="38"/>
      <c r="P73" s="38"/>
      <c r="Q73" s="38"/>
      <c r="R73" s="38"/>
      <c r="S73" s="38"/>
      <c r="T73" s="38"/>
      <c r="U73" s="38"/>
      <c r="V73" s="39"/>
    </row>
  </sheetData>
  <conditionalFormatting sqref="J13:T13">
    <cfRule type="expression" dxfId="129" priority="9">
      <formula>J$10=J$4</formula>
    </cfRule>
  </conditionalFormatting>
  <conditionalFormatting sqref="J15:T15">
    <cfRule type="cellIs" dxfId="128" priority="12" operator="equal">
      <formula>0</formula>
    </cfRule>
  </conditionalFormatting>
  <conditionalFormatting sqref="J19:T27">
    <cfRule type="expression" dxfId="127" priority="4">
      <formula>J$10=J$4</formula>
    </cfRule>
  </conditionalFormatting>
  <conditionalFormatting sqref="J29:T29">
    <cfRule type="cellIs" dxfId="126" priority="5" operator="equal">
      <formula>0</formula>
    </cfRule>
  </conditionalFormatting>
  <conditionalFormatting sqref="J33:T33 N37:T37 J41:T45">
    <cfRule type="expression" dxfId="125" priority="10">
      <formula>J$34=J$4</formula>
    </cfRule>
  </conditionalFormatting>
  <conditionalFormatting sqref="J37:T37">
    <cfRule type="expression" dxfId="124" priority="8">
      <formula>J$10=J$4</formula>
    </cfRule>
  </conditionalFormatting>
  <conditionalFormatting sqref="J47:T47">
    <cfRule type="cellIs" dxfId="123" priority="7" operator="equal">
      <formula>0</formula>
    </cfRule>
  </conditionalFormatting>
  <conditionalFormatting sqref="J51:T55">
    <cfRule type="expression" dxfId="122" priority="1">
      <formula>J$34=J$4</formula>
    </cfRule>
  </conditionalFormatting>
  <conditionalFormatting sqref="J57:T57">
    <cfRule type="cellIs" dxfId="121" priority="11" operator="equal">
      <formula>0</formula>
    </cfRule>
  </conditionalFormatting>
  <conditionalFormatting sqref="J63:T67">
    <cfRule type="expression" dxfId="120" priority="6">
      <formula>J$61=J$4</formula>
    </cfRule>
  </conditionalFormatting>
  <conditionalFormatting sqref="J69:T69 J71:T71">
    <cfRule type="expression" dxfId="119" priority="41">
      <formula>J$61=J$4</formula>
    </cfRule>
  </conditionalFormatting>
  <conditionalFormatting sqref="S1:T1">
    <cfRule type="cellIs" dxfId="118" priority="29" operator="equal">
      <formula>"Check"</formula>
    </cfRule>
    <cfRule type="cellIs" dxfId="117" priority="30" operator="equal">
      <formula>"Ok"</formula>
    </cfRule>
  </conditionalFormatting>
  <conditionalFormatting sqref="V1">
    <cfRule type="cellIs" dxfId="116" priority="58" operator="equal">
      <formula>"Check"</formula>
    </cfRule>
    <cfRule type="cellIs" dxfId="115" priority="59" operator="equal">
      <formula>"Ok"</formula>
    </cfRule>
  </conditionalFormatting>
  <conditionalFormatting sqref="V15">
    <cfRule type="cellIs" dxfId="114" priority="60" operator="equal">
      <formula>"Check"</formula>
    </cfRule>
    <cfRule type="cellIs" dxfId="113" priority="61" operator="equal">
      <formula>"Ok"</formula>
    </cfRule>
  </conditionalFormatting>
  <conditionalFormatting sqref="V29">
    <cfRule type="cellIs" dxfId="112" priority="37" operator="equal">
      <formula>"Check"</formula>
    </cfRule>
    <cfRule type="cellIs" dxfId="111" priority="38" operator="equal">
      <formula>"Ok"</formula>
    </cfRule>
  </conditionalFormatting>
  <conditionalFormatting sqref="V37 V41:V45">
    <cfRule type="cellIs" dxfId="110" priority="64" operator="equal">
      <formula>"Check"</formula>
    </cfRule>
    <cfRule type="cellIs" dxfId="109" priority="65" operator="equal">
      <formula>"Ok"</formula>
    </cfRule>
  </conditionalFormatting>
  <conditionalFormatting sqref="V47">
    <cfRule type="cellIs" dxfId="108" priority="44" operator="equal">
      <formula>"Check"</formula>
    </cfRule>
    <cfRule type="cellIs" dxfId="107" priority="45" operator="equal">
      <formula>"Ok"</formula>
    </cfRule>
  </conditionalFormatting>
  <conditionalFormatting sqref="V48:V55">
    <cfRule type="cellIs" dxfId="106" priority="52" operator="equal">
      <formula>"Check"</formula>
    </cfRule>
    <cfRule type="cellIs" dxfId="105" priority="53" operator="equal">
      <formula>"Ok"</formula>
    </cfRule>
  </conditionalFormatting>
  <conditionalFormatting sqref="V57">
    <cfRule type="cellIs" dxfId="104" priority="62" operator="equal">
      <formula>"Check"</formula>
    </cfRule>
    <cfRule type="cellIs" dxfId="103" priority="63" operator="equal">
      <formula>"Ok"</formula>
    </cfRule>
  </conditionalFormatting>
  <dataValidations count="1">
    <dataValidation type="list" allowBlank="1" showInputMessage="1" showErrorMessage="1" sqref="J33:T33" xr:uid="{00000000-0002-0000-0300-000000000000}">
      <formula1>"Actual,Estimate"</formula1>
    </dataValidation>
  </dataValidations>
  <hyperlinks>
    <hyperlink ref="J1" location="Index!A1" display="Back to Index" xr:uid="{00000000-0004-0000-0300-000000000000}"/>
    <hyperlink ref="U1" location="'Check|List'!A1" display="Overall Check:" xr:uid="{00000000-0004-0000-0300-000001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AH110"/>
  <sheetViews>
    <sheetView showGridLines="0" topLeftCell="A67" zoomScale="95" zoomScaleNormal="95" workbookViewId="0">
      <selection activeCell="C86" sqref="C86"/>
    </sheetView>
  </sheetViews>
  <sheetFormatPr defaultColWidth="0" defaultRowHeight="11.25" zeroHeight="1" outlineLevelRow="1"/>
  <cols>
    <col min="1" max="2" width="1.5" style="8" customWidth="1"/>
    <col min="3" max="3" width="57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10" width="10.83203125" style="16" customWidth="1"/>
    <col min="11" max="24" width="10.83203125" style="8" customWidth="1"/>
    <col min="25" max="16384" width="10.5" style="8" hidden="1"/>
  </cols>
  <sheetData>
    <row r="1" spans="1:34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0"/>
      <c r="K1" s="31" t="s">
        <v>24</v>
      </c>
      <c r="M1" s="33" t="s">
        <v>25</v>
      </c>
      <c r="N1" s="50" t="s">
        <v>26</v>
      </c>
      <c r="O1" s="11" t="s">
        <v>27</v>
      </c>
      <c r="P1" s="12" t="s">
        <v>28</v>
      </c>
      <c r="S1" s="33" t="s">
        <v>29</v>
      </c>
      <c r="T1" s="34" t="str">
        <f>IF(COUNTIF(X5:X109,"Check")=0,"Ok","Check")</f>
        <v>Ok</v>
      </c>
      <c r="U1" s="34"/>
      <c r="W1" s="129" t="s">
        <v>30</v>
      </c>
      <c r="X1" s="34" t="str">
        <f>'Check|List'!$S$1</f>
        <v>Ok</v>
      </c>
    </row>
    <row r="2" spans="1:34" s="35" customFormat="1" ht="13.5" thickBot="1">
      <c r="A2" s="165"/>
      <c r="B2" s="166" t="str">
        <f>Index!$C$10</f>
        <v>Input | Rate of change</v>
      </c>
      <c r="C2" s="166"/>
      <c r="D2" s="166"/>
      <c r="E2" s="166"/>
      <c r="F2" s="168"/>
      <c r="G2" s="168"/>
      <c r="H2" s="168"/>
      <c r="I2" s="168"/>
      <c r="J2" s="168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</row>
    <row r="3" spans="1:34" s="59" customFormat="1">
      <c r="D3" s="125"/>
      <c r="E3" s="125"/>
      <c r="F3" s="125"/>
      <c r="G3" s="125"/>
      <c r="H3" s="125"/>
      <c r="I3" s="125"/>
      <c r="J3" s="110" t="s">
        <v>41</v>
      </c>
      <c r="K3" s="171"/>
      <c r="L3" s="171"/>
      <c r="M3" s="171"/>
      <c r="N3" s="125"/>
      <c r="O3" s="171"/>
      <c r="P3" s="171"/>
      <c r="Q3" s="171"/>
      <c r="R3" s="171"/>
      <c r="S3" s="171"/>
      <c r="T3" s="171"/>
      <c r="U3" s="125"/>
      <c r="V3" s="60"/>
      <c r="W3" s="60"/>
      <c r="X3" s="60"/>
      <c r="Y3" s="60"/>
      <c r="Z3" s="60"/>
      <c r="AA3" s="60"/>
      <c r="AB3" s="60"/>
      <c r="AC3" s="60"/>
      <c r="AD3" s="60"/>
    </row>
    <row r="4" spans="1:34" s="69" customFormat="1" ht="10.5">
      <c r="A4" s="61"/>
      <c r="B4" s="61"/>
      <c r="C4" s="61"/>
      <c r="D4" s="62" t="s">
        <v>33</v>
      </c>
      <c r="E4" s="62" t="s">
        <v>53</v>
      </c>
      <c r="F4" s="63" t="s">
        <v>56</v>
      </c>
      <c r="G4" s="64"/>
      <c r="H4" s="64"/>
      <c r="I4" s="64"/>
      <c r="J4" s="108">
        <f>DATE(PPFirstYear-1,MONTH('Input|General'!$G$9),1)</f>
        <v>43983</v>
      </c>
      <c r="K4" s="108">
        <f>DATE(PPFirstYear,MONTH('Input|General'!$G$9),1)</f>
        <v>44348</v>
      </c>
      <c r="L4" s="108">
        <f>DATE(PPFirstYear+1,MONTH('Input|General'!$G$9),1)</f>
        <v>44713</v>
      </c>
      <c r="M4" s="108">
        <f>DATE(PPFirstYear+2,MONTH('Input|General'!$G$9),1)</f>
        <v>45078</v>
      </c>
      <c r="N4" s="108">
        <f>DATE(PPFirstYear+3,MONTH('Input|General'!$G$9),1)</f>
        <v>45444</v>
      </c>
      <c r="O4" s="108">
        <f>DATE(PPFirstYear+4,MONTH('Input|General'!$G$9),1)</f>
        <v>45809</v>
      </c>
      <c r="P4" s="108">
        <f>DATE(PPFirstYear+5,MONTH('Input|General'!$G$9),1)</f>
        <v>46174</v>
      </c>
      <c r="Q4" s="108">
        <f>DATE(PPFirstYear+6,MONTH('Input|General'!$G$9),1)</f>
        <v>46539</v>
      </c>
      <c r="R4" s="108">
        <f>DATE(PPFirstYear+7,MONTH('Input|General'!$G$9),1)</f>
        <v>46905</v>
      </c>
      <c r="S4" s="108">
        <f>DATE(PPFirstYear+8,MONTH('Input|General'!$G$9),1)</f>
        <v>47270</v>
      </c>
      <c r="T4" s="108">
        <f>DATE(PPFirstYear+9,MONTH('Input|General'!$G$9),1)</f>
        <v>47635</v>
      </c>
      <c r="U4" s="108">
        <f>DATE(PPFirstYear+10,MONTH('Input|General'!$G$9),1)</f>
        <v>48000</v>
      </c>
      <c r="V4" s="65"/>
      <c r="W4" s="65"/>
      <c r="X4" s="66"/>
      <c r="Y4" s="67"/>
      <c r="Z4" s="67"/>
      <c r="AA4" s="67"/>
      <c r="AB4" s="67"/>
      <c r="AC4" s="67"/>
      <c r="AD4" s="67"/>
      <c r="AE4" s="67"/>
      <c r="AF4" s="67"/>
      <c r="AG4" s="68"/>
      <c r="AH4" s="68"/>
    </row>
    <row r="5" spans="1:34" s="6" customFormat="1" ht="3" customHeight="1">
      <c r="D5" s="22"/>
      <c r="E5" s="22"/>
      <c r="F5" s="22"/>
      <c r="G5" s="22"/>
      <c r="H5" s="22"/>
      <c r="I5" s="22"/>
      <c r="J5" s="22"/>
    </row>
    <row r="6" spans="1:34" s="6" customFormat="1" ht="9" customHeight="1">
      <c r="D6" s="22"/>
      <c r="E6" s="22"/>
      <c r="F6" s="22"/>
      <c r="G6" s="22"/>
      <c r="H6" s="22"/>
      <c r="I6" s="22"/>
      <c r="J6" s="22"/>
    </row>
    <row r="7" spans="1:34" s="6" customFormat="1" ht="3" customHeight="1">
      <c r="D7" s="22"/>
      <c r="E7" s="22"/>
      <c r="F7" s="22"/>
      <c r="G7" s="22"/>
      <c r="H7" s="22"/>
      <c r="I7" s="22"/>
      <c r="J7" s="22"/>
    </row>
    <row r="8" spans="1:34" customFormat="1" ht="12.75">
      <c r="A8" s="36"/>
      <c r="B8" s="42" t="s">
        <v>7</v>
      </c>
      <c r="C8" s="36"/>
      <c r="D8" s="36"/>
      <c r="E8" s="36"/>
      <c r="F8" s="37"/>
      <c r="G8" s="37"/>
      <c r="H8" s="37"/>
      <c r="I8" s="37"/>
      <c r="J8" s="37"/>
      <c r="K8" s="38"/>
      <c r="L8" s="39"/>
      <c r="M8" s="38"/>
      <c r="N8" s="39"/>
      <c r="O8" s="38"/>
      <c r="P8" s="38"/>
      <c r="Q8" s="38"/>
      <c r="R8" s="38"/>
      <c r="S8" s="38"/>
      <c r="T8" s="38"/>
      <c r="U8" s="38"/>
      <c r="V8" s="38"/>
      <c r="W8" s="38"/>
      <c r="X8" s="39"/>
      <c r="Y8" s="40"/>
      <c r="Z8" s="40"/>
      <c r="AA8" s="40"/>
      <c r="AB8" s="40"/>
      <c r="AC8" s="40"/>
      <c r="AD8" s="40"/>
      <c r="AE8" s="40"/>
      <c r="AF8" s="40"/>
      <c r="AG8" s="41"/>
      <c r="AH8" s="41"/>
    </row>
    <row r="9" spans="1:34" ht="11.25" customHeight="1" outlineLevel="1"/>
    <row r="10" spans="1:34" ht="11.25" customHeight="1" outlineLevel="1">
      <c r="C10" s="9" t="s">
        <v>88</v>
      </c>
      <c r="J10" s="111">
        <f t="shared" ref="J10:T10" si="0">IF(YEAR(J$4)&lt;=PPLastYear,J$4,"")</f>
        <v>43983</v>
      </c>
      <c r="K10" s="111">
        <f t="shared" si="0"/>
        <v>44348</v>
      </c>
      <c r="L10" s="111">
        <f t="shared" si="0"/>
        <v>44713</v>
      </c>
      <c r="M10" s="111">
        <f t="shared" si="0"/>
        <v>45078</v>
      </c>
      <c r="N10" s="111">
        <f t="shared" si="0"/>
        <v>45444</v>
      </c>
      <c r="O10" s="111">
        <f t="shared" si="0"/>
        <v>45809</v>
      </c>
      <c r="P10" s="111" t="str">
        <f t="shared" si="0"/>
        <v/>
      </c>
      <c r="Q10" s="111" t="str">
        <f t="shared" si="0"/>
        <v/>
      </c>
      <c r="R10" s="111" t="str">
        <f t="shared" si="0"/>
        <v/>
      </c>
      <c r="S10" s="111" t="str">
        <f t="shared" si="0"/>
        <v/>
      </c>
      <c r="T10" s="111" t="str">
        <f t="shared" si="0"/>
        <v/>
      </c>
      <c r="U10" s="114"/>
    </row>
    <row r="11" spans="1:34" ht="11.25" customHeight="1" outlineLevel="1">
      <c r="C11" s="9"/>
      <c r="J11" s="8"/>
      <c r="P11" s="98"/>
      <c r="Q11" s="98"/>
      <c r="R11" s="98"/>
      <c r="S11" s="98"/>
      <c r="T11" s="98"/>
      <c r="U11" s="98"/>
      <c r="V11" s="14"/>
      <c r="W11" s="14"/>
      <c r="X11" s="14"/>
    </row>
    <row r="12" spans="1:34" ht="11.25" customHeight="1" outlineLevel="1">
      <c r="C12" s="15" t="s">
        <v>88</v>
      </c>
      <c r="D12" s="99" t="s">
        <v>89</v>
      </c>
      <c r="E12" s="16" t="str">
        <f>percent</f>
        <v>Per cent</v>
      </c>
      <c r="J12" s="98">
        <f>IF(J10=J4,LOOKUP(EOMONTH(J4,0),'Input|Inflation'!$C$9:$C$84,'Input|Inflation'!$G$9:$G$84),"")</f>
        <v>-3.4843205574912606E-3</v>
      </c>
      <c r="K12" s="98">
        <f>IF(K10=K4,LOOKUP(EOMONTH(K4,0),'Input|Inflation'!$C$9:$C$84,'Input|Inflation'!$G$9:$G$84),"")</f>
        <v>3.8461538461538325E-2</v>
      </c>
      <c r="L12" s="98">
        <f>IF(L10=L4,LOOKUP(EOMONTH(L4,0),'Input|Inflation'!$C$9:$C$84,'Input|Inflation'!$G$9:$G$84),"")</f>
        <v>6.1447811447811418E-2</v>
      </c>
      <c r="M12" s="98">
        <f>IF(M10=M4,LOOKUP(EOMONTH(M4,0),'Input|Inflation'!$C$9:$C$84,'Input|Inflation'!$G$9:$G$84),"")</f>
        <v>6.0269627279936566E-2</v>
      </c>
      <c r="N12" s="98">
        <f>IF(N10=N4,LOOKUP(EOMONTH(N4,0),'Input|Inflation'!$C$9:$C$84,'Input|Inflation'!$G$9:$G$84),"")</f>
        <v>3.8000000000000034E-2</v>
      </c>
      <c r="O12" s="98">
        <f>IF(O10=O4,LOOKUP(EOMONTH(O4,0),'Input|Inflation'!$C$9:$C$84,'Input|Inflation'!$G$9:$G$84),"")</f>
        <v>3.2000000000000028E-2</v>
      </c>
      <c r="P12" s="98" t="str">
        <f>IF(P10=P4,LOOKUP(EOMONTH(P4,0),'Input|Inflation'!$C$9:$C$84,'Input|Inflation'!$G$9:$G$84),"")</f>
        <v/>
      </c>
      <c r="Q12" s="98" t="str">
        <f>IF(Q10=Q4,LOOKUP(EOMONTH(Q4,0),'Input|Inflation'!$C$9:$C$84,'Input|Inflation'!$G$9:$G$84),"")</f>
        <v/>
      </c>
      <c r="R12" s="98" t="str">
        <f>IF(R10=R4,LOOKUP(EOMONTH(R4,0),'Input|Inflation'!$C$9:$C$84,'Input|Inflation'!$G$9:$G$84),"")</f>
        <v/>
      </c>
      <c r="S12" s="98" t="str">
        <f>IF(S10=S4,LOOKUP(EOMONTH(S4,0),'Input|Inflation'!$C$9:$C$84,'Input|Inflation'!$G$9:$G$84),"")</f>
        <v/>
      </c>
      <c r="T12" s="98" t="str">
        <f>IF(T10=T4,LOOKUP(EOMONTH(T4,0),'Input|Inflation'!$C$9:$C$84,'Input|Inflation'!$G$9:$G$84),"")</f>
        <v/>
      </c>
      <c r="U12" s="98"/>
      <c r="V12" s="100"/>
    </row>
    <row r="13" spans="1:34" ht="11.25" customHeight="1" outlineLevel="1">
      <c r="D13" s="8"/>
      <c r="E13" s="8"/>
      <c r="F13" s="8"/>
      <c r="G13" s="8"/>
      <c r="H13" s="8"/>
      <c r="I13" s="8"/>
      <c r="J13" s="8"/>
    </row>
    <row r="14" spans="1:34" ht="11.25" customHeight="1" outlineLevel="1">
      <c r="C14" s="9" t="s">
        <v>90</v>
      </c>
      <c r="I14" s="8"/>
      <c r="J14" s="111">
        <f t="shared" ref="J14:T14" si="1">IF(YEAR(J$4)&lt;=PPLastYear,J$4,"")</f>
        <v>43983</v>
      </c>
      <c r="K14" s="111">
        <f t="shared" si="1"/>
        <v>44348</v>
      </c>
      <c r="L14" s="111">
        <f t="shared" si="1"/>
        <v>44713</v>
      </c>
      <c r="M14" s="111">
        <f t="shared" si="1"/>
        <v>45078</v>
      </c>
      <c r="N14" s="111">
        <f t="shared" si="1"/>
        <v>45444</v>
      </c>
      <c r="O14" s="111">
        <f t="shared" si="1"/>
        <v>45809</v>
      </c>
      <c r="P14" s="111" t="str">
        <f t="shared" si="1"/>
        <v/>
      </c>
      <c r="Q14" s="111" t="str">
        <f t="shared" si="1"/>
        <v/>
      </c>
      <c r="R14" s="111" t="str">
        <f t="shared" si="1"/>
        <v/>
      </c>
      <c r="S14" s="111" t="str">
        <f t="shared" si="1"/>
        <v/>
      </c>
      <c r="T14" s="111" t="str">
        <f t="shared" si="1"/>
        <v/>
      </c>
      <c r="U14" s="114"/>
    </row>
    <row r="15" spans="1:34" ht="11.25" customHeight="1" outlineLevel="1">
      <c r="C15" s="9"/>
      <c r="I15" s="8"/>
      <c r="J15" s="14"/>
      <c r="K15" s="14"/>
      <c r="L15" s="14"/>
      <c r="M15" s="14"/>
      <c r="N15" s="14"/>
      <c r="O15" s="14"/>
      <c r="P15" s="27"/>
      <c r="Q15" s="27"/>
      <c r="R15" s="27"/>
      <c r="S15" s="27"/>
      <c r="T15" s="27"/>
      <c r="U15" s="27"/>
    </row>
    <row r="16" spans="1:34" ht="11.25" customHeight="1" outlineLevel="1">
      <c r="C16" s="112">
        <f t="array" ref="C16:C22">TRANSPOSE(J10:P10)</f>
        <v>43983</v>
      </c>
      <c r="D16" s="99" t="str">
        <f t="shared" ref="D16:D20" si="2">IF(ISNONTEXT($C16),"calculated","")</f>
        <v>calculated</v>
      </c>
      <c r="E16" s="16" t="str">
        <f>IF(ISNONTEXT($C16),"index","")</f>
        <v>index</v>
      </c>
      <c r="J16" s="23">
        <f t="shared" ref="J16:N16" si="3">IF(AND($C16&gt;J$14,ISNONTEXT($C16)),K16/(1+K$12),IF(AND($C16=J$14,J$14=J$4),1,IF(AND($C16&lt;J$14,J$14=J$4),I16*(1+J$12),0)))</f>
        <v>1</v>
      </c>
      <c r="K16" s="23">
        <f t="shared" si="3"/>
        <v>1.0384615384615383</v>
      </c>
      <c r="L16" s="23">
        <f t="shared" si="3"/>
        <v>1.1022727272727271</v>
      </c>
      <c r="M16" s="23">
        <f t="shared" si="3"/>
        <v>1.1687062937062935</v>
      </c>
      <c r="N16" s="23">
        <f t="shared" si="3"/>
        <v>1.2131171328671326</v>
      </c>
      <c r="O16" s="23">
        <f t="shared" ref="O16:P16" si="4">IF(AND($C16&gt;O$14,ISNONTEXT($C16)),P16/(1+O$12),IF(AND($C16=O$14,O$14=O$4),1,IF(AND($C16&lt;O$14,O$14=O$4),N16*(1+O$12),0)))</f>
        <v>1.2519368811188809</v>
      </c>
      <c r="P16" s="23">
        <f t="shared" si="4"/>
        <v>0</v>
      </c>
      <c r="Q16" s="142"/>
      <c r="R16" s="142"/>
      <c r="S16" s="142"/>
      <c r="T16" s="142"/>
      <c r="U16" s="142"/>
    </row>
    <row r="17" spans="3:23" ht="11.25" customHeight="1" outlineLevel="1">
      <c r="C17" s="112">
        <v>44348</v>
      </c>
      <c r="D17" s="99" t="str">
        <f t="shared" si="2"/>
        <v>calculated</v>
      </c>
      <c r="E17" s="16" t="str">
        <f t="shared" ref="E17:E22" si="5">IF(ISNONTEXT($C17),"index","")</f>
        <v>index</v>
      </c>
      <c r="I17" s="23"/>
      <c r="J17" s="23">
        <f t="shared" ref="J17:N17" si="6">IF(AND($C17&gt;J$14,ISNONTEXT($C17)),K17/(1+K$12),IF(AND($C17=J$14,J$14=J$4),1,IF(AND($C17&lt;J$14,J$14=J$4),I17*(1+J$12),0)))</f>
        <v>0.96296296296296313</v>
      </c>
      <c r="K17" s="23">
        <f t="shared" si="6"/>
        <v>1</v>
      </c>
      <c r="L17" s="23">
        <f t="shared" si="6"/>
        <v>1.0614478114478114</v>
      </c>
      <c r="M17" s="23">
        <f t="shared" si="6"/>
        <v>1.1254208754208754</v>
      </c>
      <c r="N17" s="23">
        <f t="shared" si="6"/>
        <v>1.1681868686868688</v>
      </c>
      <c r="O17" s="23">
        <f t="shared" ref="O17:P17" si="7">IF(AND($C17&gt;O$14,ISNONTEXT($C17)),P17/(1+O$12),IF(AND($C17=O$14,O$14=O$4),1,IF(AND($C17&lt;O$14,O$14=O$4),N17*(1+O$12),0)))</f>
        <v>1.2055688484848486</v>
      </c>
      <c r="P17" s="23">
        <f t="shared" si="7"/>
        <v>0</v>
      </c>
      <c r="Q17" s="142"/>
      <c r="R17" s="142"/>
      <c r="S17" s="142"/>
      <c r="T17" s="142"/>
      <c r="U17" s="142"/>
    </row>
    <row r="18" spans="3:23" ht="11.25" customHeight="1" outlineLevel="1">
      <c r="C18" s="112">
        <v>44713</v>
      </c>
      <c r="D18" s="99" t="str">
        <f t="shared" si="2"/>
        <v>calculated</v>
      </c>
      <c r="E18" s="16" t="str">
        <f t="shared" si="5"/>
        <v>index</v>
      </c>
      <c r="I18" s="23"/>
      <c r="J18" s="23">
        <f t="shared" ref="J18:N18" si="8">IF(AND($C18&gt;J$14,ISNONTEXT($C18)),K18/(1+K$12),IF(AND($C18=J$14,J$14=J$4),1,IF(AND($C18&lt;J$14,J$14=J$4),I18*(1+J$12),0)))</f>
        <v>0.90721649484536093</v>
      </c>
      <c r="K18" s="23">
        <f t="shared" si="8"/>
        <v>0.94210943695479776</v>
      </c>
      <c r="L18" s="23">
        <f t="shared" si="8"/>
        <v>1</v>
      </c>
      <c r="M18" s="23">
        <f t="shared" si="8"/>
        <v>1.0602696272799366</v>
      </c>
      <c r="N18" s="23">
        <f t="shared" si="8"/>
        <v>1.1005598731165742</v>
      </c>
      <c r="O18" s="23">
        <f t="shared" ref="O18:P18" si="9">IF(AND($C18&gt;O$14,ISNONTEXT($C18)),P18/(1+O$12),IF(AND($C18=O$14,O$14=O$4),1,IF(AND($C18&lt;O$14,O$14=O$4),N18*(1+O$12),0)))</f>
        <v>1.1357777890563046</v>
      </c>
      <c r="P18" s="23">
        <f t="shared" si="9"/>
        <v>0</v>
      </c>
      <c r="Q18" s="142"/>
      <c r="R18" s="142"/>
      <c r="S18" s="142"/>
      <c r="T18" s="142"/>
      <c r="U18" s="142"/>
    </row>
    <row r="19" spans="3:23" ht="11.25" customHeight="1" outlineLevel="1">
      <c r="C19" s="112">
        <v>45078</v>
      </c>
      <c r="D19" s="99" t="str">
        <f t="shared" si="2"/>
        <v>calculated</v>
      </c>
      <c r="E19" s="16" t="str">
        <f t="shared" si="5"/>
        <v>index</v>
      </c>
      <c r="I19" s="23"/>
      <c r="J19" s="23">
        <f t="shared" ref="J19:N19" si="10">IF(AND($C19&gt;J$14,ISNONTEXT($C19)),K19/(1+K$12),IF(AND($C19=J$14,J$14=J$4),1,IF(AND($C19&lt;J$14,J$14=J$4),I19*(1+J$12),0)))</f>
        <v>0.85564697083021701</v>
      </c>
      <c r="K19" s="23">
        <f t="shared" si="10"/>
        <v>0.88855646970830215</v>
      </c>
      <c r="L19" s="23">
        <f t="shared" si="10"/>
        <v>0.94315632011967088</v>
      </c>
      <c r="M19" s="23">
        <f t="shared" si="10"/>
        <v>1</v>
      </c>
      <c r="N19" s="23">
        <f t="shared" si="10"/>
        <v>1.038</v>
      </c>
      <c r="O19" s="23">
        <f t="shared" ref="O19:P19" si="11">IF(AND($C19&gt;O$14,ISNONTEXT($C19)),P19/(1+O$12),IF(AND($C19=O$14,O$14=O$4),1,IF(AND($C19&lt;O$14,O$14=O$4),N19*(1+O$12),0)))</f>
        <v>1.0712160000000002</v>
      </c>
      <c r="P19" s="23">
        <f t="shared" si="11"/>
        <v>0</v>
      </c>
      <c r="Q19" s="142"/>
      <c r="R19" s="142"/>
      <c r="S19" s="142"/>
      <c r="T19" s="142"/>
      <c r="U19" s="142"/>
    </row>
    <row r="20" spans="3:23" ht="11.25" customHeight="1" outlineLevel="1">
      <c r="C20" s="112">
        <v>45444</v>
      </c>
      <c r="D20" s="99" t="str">
        <f t="shared" si="2"/>
        <v>calculated</v>
      </c>
      <c r="E20" s="16" t="str">
        <f t="shared" si="5"/>
        <v>index</v>
      </c>
      <c r="I20" s="23"/>
      <c r="J20" s="23">
        <f>IF(AND($C20&gt;J$14,ISNONTEXT($C20)),K20/(1+K$12),IF(AND($C20=J$14,J$14=J$4),1,IF(AND($C20&lt;J$14,J$14=J$4),I20*(1+J$12),0)))</f>
        <v>0.82432270792891815</v>
      </c>
      <c r="K20" s="23">
        <f t="shared" ref="K20:N20" si="12">IF(AND($C20&gt;K$14,ISNONTEXT($C20)),L20/(1+L$12),IF(AND($C20=K$14,K$14=K$4),1,IF(AND($C20&lt;K$14,K$14=K$4),J20*(1+K$12),0)))</f>
        <v>0.85602742746464566</v>
      </c>
      <c r="L20" s="23">
        <f t="shared" si="12"/>
        <v>0.90862843942164828</v>
      </c>
      <c r="M20" s="23">
        <f t="shared" si="12"/>
        <v>0.96339113680154143</v>
      </c>
      <c r="N20" s="23">
        <f t="shared" si="12"/>
        <v>1</v>
      </c>
      <c r="O20" s="23">
        <f t="shared" ref="O20:P20" si="13">IF(AND($C20&gt;O$14,ISNONTEXT($C20)),P20/(1+O$12),IF(AND($C20=O$14,O$14=O$4),1,IF(AND($C20&lt;O$14,O$14=O$4),N20*(1+O$12),0)))</f>
        <v>1.032</v>
      </c>
      <c r="P20" s="23">
        <f t="shared" si="13"/>
        <v>0</v>
      </c>
      <c r="Q20" s="142"/>
      <c r="R20" s="142"/>
      <c r="S20" s="142"/>
      <c r="T20" s="142"/>
      <c r="U20" s="142"/>
    </row>
    <row r="21" spans="3:23" ht="11.25" customHeight="1" outlineLevel="1">
      <c r="C21" s="112">
        <v>45809</v>
      </c>
      <c r="D21" s="99" t="str">
        <f>IF(ISNONTEXT($C21),"calculated","")</f>
        <v>calculated</v>
      </c>
      <c r="E21" s="16" t="str">
        <f t="shared" si="5"/>
        <v>index</v>
      </c>
      <c r="I21" s="23"/>
      <c r="J21" s="23">
        <f>IF(AND($C21&gt;J$14,ISNONTEXT($C21)),K21/(1+K$12),IF(AND($C21=J$14,J$14=J$4),1,IF(AND($C21&lt;J$14,J$14=J$4),I21*(1+J$12),0)))</f>
        <v>0.79876231388461061</v>
      </c>
      <c r="K21" s="23">
        <f t="shared" ref="K21:K22" si="14">IF(AND($C21&gt;K$14,ISNONTEXT($C21)),L21/(1+L$12),IF(AND($C21=K$14,K$14=K$4),1,IF(AND($C21&lt;K$14,K$14=K$4),J21*(1+K$12),0)))</f>
        <v>0.82948394134171088</v>
      </c>
      <c r="L21" s="23">
        <f t="shared" ref="L21:L22" si="15">IF(AND($C21&gt;L$14,ISNONTEXT($C21)),M21/(1+M$12),IF(AND($C21=L$14,L$14=L$4),1,IF(AND($C21&lt;L$14,L$14=L$4),K21*(1+L$12),0)))</f>
        <v>0.8804539141682638</v>
      </c>
      <c r="M21" s="23">
        <f t="shared" ref="M21:M22" si="16">IF(AND($C21&gt;M$14,ISNONTEXT($C21)),N21/(1+N$12),IF(AND($C21=M$14,M$14=M$4),1,IF(AND($C21&lt;M$14,M$14=M$4),L21*(1+M$12),0)))</f>
        <v>0.9335185434123463</v>
      </c>
      <c r="N21" s="23">
        <f t="shared" ref="N21:N22" si="17">IF(AND($C21&gt;N$14,ISNONTEXT($C21)),O21/(1+O$12),IF(AND($C21=N$14,N$14=N$4),1,IF(AND($C21&lt;N$14,N$14=N$4),M21*(1+N$12),0)))</f>
        <v>0.96899224806201545</v>
      </c>
      <c r="O21" s="23">
        <f t="shared" ref="O21:P21" si="18">IF(AND($C21&gt;O$14,ISNONTEXT($C21)),P21/(1+O$12),IF(AND($C21=O$14,O$14=O$4),1,IF(AND($C21&lt;O$14,O$14=O$4),N21*(1+O$12),0)))</f>
        <v>1</v>
      </c>
      <c r="P21" s="23">
        <f t="shared" si="18"/>
        <v>0</v>
      </c>
      <c r="Q21" s="142"/>
      <c r="R21" s="142"/>
      <c r="S21" s="142"/>
      <c r="T21" s="142"/>
      <c r="U21" s="142"/>
    </row>
    <row r="22" spans="3:23" ht="11.25" customHeight="1" outlineLevel="1">
      <c r="C22" s="112" t="str">
        <v/>
      </c>
      <c r="D22" s="99" t="str">
        <f>IF(ISNONTEXT($C22),"calculated","")</f>
        <v/>
      </c>
      <c r="E22" s="16" t="str">
        <f t="shared" si="5"/>
        <v/>
      </c>
      <c r="I22" s="23"/>
      <c r="J22" s="23">
        <f>IF(AND($C22&gt;J$14,ISNONTEXT($C22)),K22/(1+K$12),IF(AND($C22=J$14,J$14=J$4),1,IF(AND($C22&lt;J$14,J$14=J$4),I22*(1+J$12),0)))</f>
        <v>0</v>
      </c>
      <c r="K22" s="23">
        <f t="shared" si="14"/>
        <v>0</v>
      </c>
      <c r="L22" s="23">
        <f t="shared" si="15"/>
        <v>0</v>
      </c>
      <c r="M22" s="23">
        <f t="shared" si="16"/>
        <v>0</v>
      </c>
      <c r="N22" s="23">
        <f t="shared" si="17"/>
        <v>0</v>
      </c>
      <c r="O22" s="23">
        <f t="shared" ref="O22:P22" si="19">IF(AND($C22&gt;O$14,ISNONTEXT($C22)),P22/(1+P$12),IF(AND($C22=O$14,O$14=O$4),1,IF(AND($C22&lt;O$14,O$14=O$4),N22*(1+O$12),0)))</f>
        <v>0</v>
      </c>
      <c r="P22" s="23">
        <f t="shared" si="19"/>
        <v>0</v>
      </c>
      <c r="Q22" s="142"/>
      <c r="R22" s="142"/>
      <c r="S22" s="142"/>
      <c r="T22" s="142"/>
      <c r="U22" s="142"/>
    </row>
    <row r="23" spans="3:23" ht="11.25" customHeight="1" outlineLevel="1">
      <c r="C23" s="15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3:23" ht="11.25" customHeight="1" outlineLevel="1">
      <c r="C24" s="9" t="s">
        <v>91</v>
      </c>
      <c r="J24" s="111">
        <f t="shared" ref="J24:T24" si="20">IF(YEAR(J$4)&lt;=PPLastYear,J$4,"")</f>
        <v>43983</v>
      </c>
      <c r="K24" s="111">
        <f t="shared" si="20"/>
        <v>44348</v>
      </c>
      <c r="L24" s="111">
        <f t="shared" si="20"/>
        <v>44713</v>
      </c>
      <c r="M24" s="111">
        <f t="shared" si="20"/>
        <v>45078</v>
      </c>
      <c r="N24" s="111">
        <f t="shared" si="20"/>
        <v>45444</v>
      </c>
      <c r="O24" s="111">
        <f t="shared" si="20"/>
        <v>45809</v>
      </c>
      <c r="P24" s="111" t="str">
        <f t="shared" si="20"/>
        <v/>
      </c>
      <c r="Q24" s="111" t="str">
        <f t="shared" si="20"/>
        <v/>
      </c>
      <c r="R24" s="111" t="str">
        <f t="shared" si="20"/>
        <v/>
      </c>
      <c r="S24" s="111" t="str">
        <f t="shared" si="20"/>
        <v/>
      </c>
      <c r="T24" s="111" t="str">
        <f t="shared" si="20"/>
        <v/>
      </c>
      <c r="U24" s="114"/>
    </row>
    <row r="25" spans="3:23" ht="11.25" customHeight="1" outlineLevel="1">
      <c r="C25" s="15"/>
      <c r="J25" s="8"/>
      <c r="Q25" s="23"/>
      <c r="R25" s="23"/>
      <c r="S25" s="23"/>
      <c r="T25" s="23"/>
      <c r="U25" s="23"/>
    </row>
    <row r="26" spans="3:23" ht="11.25" customHeight="1" outlineLevel="1">
      <c r="C26" s="112">
        <f t="array" ref="C26:C32">TRANSPOSE(J10:P10)</f>
        <v>43983</v>
      </c>
      <c r="D26" s="99" t="str">
        <f t="shared" ref="D26:D32" si="21">IF(ISNONTEXT($C26),"calculated","")</f>
        <v>calculated</v>
      </c>
      <c r="E26" s="16" t="str">
        <f>IF(ISNONTEXT($C26),"index","")</f>
        <v>index</v>
      </c>
      <c r="I26" s="23"/>
      <c r="J26" s="23">
        <f>IF(AND(J$24=J$4,ISNONTEXT($C26)),1/J16*(1+J$12)^0.5,0)</f>
        <v>0.99825631951042948</v>
      </c>
      <c r="K26" s="23">
        <f t="shared" ref="K26:T26" si="22">IF(AND(K$24=K$4,ISNONTEXT($C26)),1/K16*(1+K$12)^0.5,0)</f>
        <v>0.98130676292531638</v>
      </c>
      <c r="L26" s="23">
        <f t="shared" si="22"/>
        <v>0.93467421272075479</v>
      </c>
      <c r="M26" s="23">
        <f t="shared" si="22"/>
        <v>0.88105450779258843</v>
      </c>
      <c r="N26" s="23">
        <f t="shared" si="22"/>
        <v>0.8398388107404543</v>
      </c>
      <c r="O26" s="23">
        <f t="shared" si="22"/>
        <v>0.81144187319421146</v>
      </c>
      <c r="P26" s="23">
        <f t="shared" si="22"/>
        <v>0</v>
      </c>
      <c r="Q26" s="23">
        <f t="shared" si="22"/>
        <v>0</v>
      </c>
      <c r="R26" s="23">
        <f t="shared" si="22"/>
        <v>0</v>
      </c>
      <c r="S26" s="23">
        <f t="shared" si="22"/>
        <v>0</v>
      </c>
      <c r="T26" s="23">
        <f t="shared" si="22"/>
        <v>0</v>
      </c>
      <c r="U26" s="23"/>
      <c r="V26" s="101"/>
      <c r="W26" s="101"/>
    </row>
    <row r="27" spans="3:23" ht="11.25" customHeight="1" outlineLevel="1">
      <c r="C27" s="112">
        <v>44348</v>
      </c>
      <c r="D27" s="99" t="str">
        <f t="shared" si="21"/>
        <v>calculated</v>
      </c>
      <c r="E27" s="16" t="str">
        <f t="shared" ref="E27:E32" si="23">IF(ISNONTEXT($C27),"index","")</f>
        <v>index</v>
      </c>
      <c r="I27" s="23"/>
      <c r="J27" s="23">
        <f t="shared" ref="J27:T27" si="24">IF(AND(J$24=J$4,ISNONTEXT($C27)),1/J17*(1+J$12)^0.5,0)</f>
        <v>1.0366507933377536</v>
      </c>
      <c r="K27" s="23">
        <f t="shared" si="24"/>
        <v>1.019049330730136</v>
      </c>
      <c r="L27" s="23">
        <f t="shared" si="24"/>
        <v>0.970623220902322</v>
      </c>
      <c r="M27" s="23">
        <f t="shared" si="24"/>
        <v>0.9149412196307648</v>
      </c>
      <c r="N27" s="23">
        <f t="shared" si="24"/>
        <v>0.87214030346124072</v>
      </c>
      <c r="O27" s="23">
        <f t="shared" si="24"/>
        <v>0.84265117600937323</v>
      </c>
      <c r="P27" s="23">
        <f t="shared" si="24"/>
        <v>0</v>
      </c>
      <c r="Q27" s="23">
        <f t="shared" si="24"/>
        <v>0</v>
      </c>
      <c r="R27" s="23">
        <f t="shared" si="24"/>
        <v>0</v>
      </c>
      <c r="S27" s="23">
        <f t="shared" si="24"/>
        <v>0</v>
      </c>
      <c r="T27" s="23">
        <f t="shared" si="24"/>
        <v>0</v>
      </c>
      <c r="U27" s="23"/>
      <c r="V27" s="101"/>
      <c r="W27" s="101"/>
    </row>
    <row r="28" spans="3:23" ht="11.25" customHeight="1" outlineLevel="1">
      <c r="C28" s="112">
        <v>44713</v>
      </c>
      <c r="D28" s="99" t="str">
        <f t="shared" si="21"/>
        <v>calculated</v>
      </c>
      <c r="E28" s="16" t="str">
        <f t="shared" si="23"/>
        <v>index</v>
      </c>
      <c r="I28" s="23"/>
      <c r="J28" s="23">
        <f t="shared" ref="J28:T28" si="25">IF(AND(J$24=J$4,ISNONTEXT($C28)),1/J18*(1+J$12)^0.5,0)</f>
        <v>1.100350715823996</v>
      </c>
      <c r="K28" s="23">
        <f t="shared" si="25"/>
        <v>1.0816676818608599</v>
      </c>
      <c r="L28" s="23">
        <f t="shared" si="25"/>
        <v>1.0302658935671953</v>
      </c>
      <c r="M28" s="23">
        <f t="shared" si="25"/>
        <v>0.97116235518046667</v>
      </c>
      <c r="N28" s="23">
        <f t="shared" si="25"/>
        <v>0.92573141638436418</v>
      </c>
      <c r="O28" s="23">
        <f t="shared" si="25"/>
        <v>0.89443024658907377</v>
      </c>
      <c r="P28" s="23">
        <f t="shared" si="25"/>
        <v>0</v>
      </c>
      <c r="Q28" s="23">
        <f t="shared" si="25"/>
        <v>0</v>
      </c>
      <c r="R28" s="23">
        <f t="shared" si="25"/>
        <v>0</v>
      </c>
      <c r="S28" s="23">
        <f t="shared" si="25"/>
        <v>0</v>
      </c>
      <c r="T28" s="23">
        <f t="shared" si="25"/>
        <v>0</v>
      </c>
      <c r="U28" s="23"/>
      <c r="V28" s="101"/>
      <c r="W28" s="101"/>
    </row>
    <row r="29" spans="3:23" ht="11.25" customHeight="1" outlineLevel="1">
      <c r="C29" s="112">
        <v>45078</v>
      </c>
      <c r="D29" s="99" t="str">
        <f t="shared" si="21"/>
        <v>calculated</v>
      </c>
      <c r="E29" s="16" t="str">
        <f t="shared" si="23"/>
        <v>index</v>
      </c>
      <c r="I29" s="23"/>
      <c r="J29" s="23">
        <f t="shared" ref="J29:T29" si="26">IF(AND(J$24=J$4,ISNONTEXT($C29)),1/J19*(1+J$12)^0.5,0)</f>
        <v>1.1666684433439196</v>
      </c>
      <c r="K29" s="23">
        <f t="shared" si="26"/>
        <v>1.1468593898873669</v>
      </c>
      <c r="L29" s="23">
        <f t="shared" si="26"/>
        <v>1.0923596349717211</v>
      </c>
      <c r="M29" s="23">
        <f t="shared" si="26"/>
        <v>1.0296939483554988</v>
      </c>
      <c r="N29" s="23">
        <f t="shared" si="26"/>
        <v>0.98152490381117763</v>
      </c>
      <c r="O29" s="23">
        <f t="shared" si="26"/>
        <v>0.94833722417889887</v>
      </c>
      <c r="P29" s="23">
        <f t="shared" si="26"/>
        <v>0</v>
      </c>
      <c r="Q29" s="23">
        <f t="shared" si="26"/>
        <v>0</v>
      </c>
      <c r="R29" s="23">
        <f t="shared" si="26"/>
        <v>0</v>
      </c>
      <c r="S29" s="23">
        <f t="shared" si="26"/>
        <v>0</v>
      </c>
      <c r="T29" s="23">
        <f t="shared" si="26"/>
        <v>0</v>
      </c>
      <c r="U29" s="23"/>
      <c r="V29" s="101"/>
      <c r="W29" s="101"/>
    </row>
    <row r="30" spans="3:23" ht="11.25" customHeight="1" outlineLevel="1">
      <c r="C30" s="112">
        <v>45444</v>
      </c>
      <c r="D30" s="99" t="str">
        <f t="shared" si="21"/>
        <v>calculated</v>
      </c>
      <c r="E30" s="16" t="str">
        <f t="shared" si="23"/>
        <v>index</v>
      </c>
      <c r="I30" s="23"/>
      <c r="J30" s="23">
        <f t="shared" ref="J30:T30" si="27">IF(AND(J$24=J$4,ISNONTEXT($C30)),1/J20*(1+J$12)^0.5,0)</f>
        <v>1.2110018441909884</v>
      </c>
      <c r="K30" s="23">
        <f t="shared" si="27"/>
        <v>1.1904400467030867</v>
      </c>
      <c r="L30" s="23">
        <f t="shared" si="27"/>
        <v>1.1338693011006464</v>
      </c>
      <c r="M30" s="23">
        <f t="shared" si="27"/>
        <v>1.0688223183930077</v>
      </c>
      <c r="N30" s="23">
        <f t="shared" si="27"/>
        <v>1.0188228501560024</v>
      </c>
      <c r="O30" s="23">
        <f t="shared" si="27"/>
        <v>0.98437403869769724</v>
      </c>
      <c r="P30" s="23">
        <f t="shared" si="27"/>
        <v>0</v>
      </c>
      <c r="Q30" s="23">
        <f t="shared" si="27"/>
        <v>0</v>
      </c>
      <c r="R30" s="23">
        <f t="shared" si="27"/>
        <v>0</v>
      </c>
      <c r="S30" s="23">
        <f t="shared" si="27"/>
        <v>0</v>
      </c>
      <c r="T30" s="23">
        <f t="shared" si="27"/>
        <v>0</v>
      </c>
      <c r="U30" s="23"/>
      <c r="V30" s="101"/>
      <c r="W30" s="101"/>
    </row>
    <row r="31" spans="3:23" ht="11.25" customHeight="1" outlineLevel="1">
      <c r="C31" s="112">
        <v>45809</v>
      </c>
      <c r="D31" s="99" t="str">
        <f t="shared" si="21"/>
        <v>calculated</v>
      </c>
      <c r="E31" s="16" t="str">
        <f t="shared" si="23"/>
        <v>index</v>
      </c>
      <c r="I31" s="23"/>
      <c r="J31" s="23">
        <f t="shared" ref="J31:T32" si="28">IF(AND(J$24=J$4,ISNONTEXT($C31)),1/J21*(1+J$12)^0.5,0)</f>
        <v>1.2497539032051002</v>
      </c>
      <c r="K31" s="23">
        <f t="shared" si="28"/>
        <v>1.2285341281975857</v>
      </c>
      <c r="L31" s="23">
        <f t="shared" si="28"/>
        <v>1.1701531187358671</v>
      </c>
      <c r="M31" s="23">
        <f t="shared" si="28"/>
        <v>1.103024632581584</v>
      </c>
      <c r="N31" s="23">
        <f t="shared" si="28"/>
        <v>1.0514251813609945</v>
      </c>
      <c r="O31" s="23">
        <f t="shared" si="28"/>
        <v>1.0158740079360236</v>
      </c>
      <c r="P31" s="23">
        <f t="shared" si="28"/>
        <v>0</v>
      </c>
      <c r="Q31" s="23">
        <f t="shared" si="28"/>
        <v>0</v>
      </c>
      <c r="R31" s="23">
        <f t="shared" si="28"/>
        <v>0</v>
      </c>
      <c r="S31" s="23">
        <f t="shared" si="28"/>
        <v>0</v>
      </c>
      <c r="T31" s="23">
        <f t="shared" si="28"/>
        <v>0</v>
      </c>
      <c r="U31" s="23"/>
      <c r="V31" s="101"/>
      <c r="W31" s="101"/>
    </row>
    <row r="32" spans="3:23" ht="11.25" customHeight="1" outlineLevel="1">
      <c r="C32" s="112" t="str">
        <v/>
      </c>
      <c r="D32" s="99" t="str">
        <f t="shared" si="21"/>
        <v/>
      </c>
      <c r="E32" s="16" t="str">
        <f t="shared" si="23"/>
        <v/>
      </c>
      <c r="I32" s="23"/>
      <c r="J32" s="23">
        <f t="shared" si="28"/>
        <v>0</v>
      </c>
      <c r="K32" s="23">
        <f t="shared" si="28"/>
        <v>0</v>
      </c>
      <c r="L32" s="23">
        <f t="shared" si="28"/>
        <v>0</v>
      </c>
      <c r="M32" s="23">
        <f t="shared" si="28"/>
        <v>0</v>
      </c>
      <c r="N32" s="23">
        <f t="shared" si="28"/>
        <v>0</v>
      </c>
      <c r="O32" s="23">
        <f t="shared" si="28"/>
        <v>0</v>
      </c>
      <c r="P32" s="23">
        <f t="shared" si="28"/>
        <v>0</v>
      </c>
      <c r="Q32" s="23">
        <f t="shared" si="28"/>
        <v>0</v>
      </c>
      <c r="R32" s="23">
        <f t="shared" si="28"/>
        <v>0</v>
      </c>
      <c r="S32" s="23">
        <f t="shared" si="28"/>
        <v>0</v>
      </c>
      <c r="T32" s="23">
        <f t="shared" si="28"/>
        <v>0</v>
      </c>
      <c r="U32" s="23"/>
      <c r="V32" s="101"/>
      <c r="W32" s="101"/>
    </row>
    <row r="33" spans="1:34">
      <c r="C33" s="15"/>
      <c r="K33" s="23"/>
      <c r="L33" s="23"/>
      <c r="M33" s="23"/>
      <c r="N33" s="23"/>
      <c r="O33" s="23"/>
      <c r="P33" s="27"/>
      <c r="Q33" s="23"/>
      <c r="R33" s="23"/>
      <c r="S33" s="23"/>
      <c r="T33" s="23"/>
      <c r="U33" s="23"/>
    </row>
    <row r="34" spans="1:34" customFormat="1" ht="12.75">
      <c r="A34" s="36"/>
      <c r="B34" s="42" t="s">
        <v>92</v>
      </c>
      <c r="C34" s="36"/>
      <c r="D34" s="36"/>
      <c r="E34" s="36"/>
      <c r="F34" s="37"/>
      <c r="G34" s="37"/>
      <c r="H34" s="37"/>
      <c r="I34" s="37"/>
      <c r="J34" s="37"/>
      <c r="K34" s="38"/>
      <c r="L34" s="39"/>
      <c r="M34" s="38"/>
      <c r="N34" s="39"/>
      <c r="O34" s="38"/>
      <c r="P34" s="38"/>
      <c r="Q34" s="38"/>
      <c r="R34" s="38"/>
      <c r="S34" s="38"/>
      <c r="T34" s="38"/>
      <c r="U34" s="38"/>
      <c r="V34" s="38"/>
      <c r="W34" s="38"/>
      <c r="X34" s="39"/>
      <c r="Y34" s="40"/>
      <c r="Z34" s="40"/>
      <c r="AA34" s="40"/>
      <c r="AB34" s="40"/>
      <c r="AC34" s="40"/>
      <c r="AD34" s="40"/>
      <c r="AE34" s="40"/>
      <c r="AF34" s="40"/>
      <c r="AG34" s="41"/>
      <c r="AH34" s="41"/>
    </row>
    <row r="35" spans="1:34" ht="11.25" customHeight="1" outlineLevel="1"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1:34" ht="11.25" customHeight="1" outlineLevel="1">
      <c r="C36" s="9" t="s">
        <v>93</v>
      </c>
      <c r="D36" s="21" t="s">
        <v>33</v>
      </c>
      <c r="E36" s="21" t="s">
        <v>53</v>
      </c>
      <c r="J36" s="114" t="str">
        <f t="shared" ref="J36:U36" si="29">IF(YEAR(J$4)&gt;=FPFirstYear,IF(YEAR(J$4)&lt;=FPLastYear,J$4,""),"")</f>
        <v/>
      </c>
      <c r="K36" s="114" t="str">
        <f t="shared" si="29"/>
        <v/>
      </c>
      <c r="L36" s="114" t="str">
        <f t="shared" si="29"/>
        <v/>
      </c>
      <c r="M36" s="114" t="str">
        <f t="shared" si="29"/>
        <v/>
      </c>
      <c r="N36" s="114" t="str">
        <f t="shared" si="29"/>
        <v/>
      </c>
      <c r="O36" s="114" t="str">
        <f t="shared" si="29"/>
        <v/>
      </c>
      <c r="P36" s="114">
        <f t="shared" si="29"/>
        <v>46174</v>
      </c>
      <c r="Q36" s="114">
        <f t="shared" si="29"/>
        <v>46539</v>
      </c>
      <c r="R36" s="114">
        <f t="shared" si="29"/>
        <v>46905</v>
      </c>
      <c r="S36" s="114">
        <f t="shared" si="29"/>
        <v>47270</v>
      </c>
      <c r="T36" s="114">
        <f t="shared" si="29"/>
        <v>47635</v>
      </c>
      <c r="U36" s="114" t="str">
        <f t="shared" si="29"/>
        <v/>
      </c>
    </row>
    <row r="37" spans="1:34" ht="11.25" customHeight="1" outlineLevel="1"/>
    <row r="38" spans="1:34" ht="11.25" customHeight="1" outlineLevel="1">
      <c r="C38" s="157" t="s">
        <v>94</v>
      </c>
      <c r="D38" s="16" t="s">
        <v>95</v>
      </c>
      <c r="E38" s="16" t="str">
        <f t="shared" ref="E38:E45" si="30">percent</f>
        <v>Per cent</v>
      </c>
      <c r="J38" s="139"/>
      <c r="K38" s="105"/>
      <c r="L38" s="105"/>
      <c r="M38" s="105"/>
      <c r="N38" s="105"/>
      <c r="O38" s="105"/>
      <c r="P38" s="153">
        <v>1.2720875870919739E-2</v>
      </c>
      <c r="Q38" s="153">
        <v>1.1067054257859102E-2</v>
      </c>
      <c r="R38" s="153">
        <v>9.3232474720913797E-3</v>
      </c>
      <c r="S38" s="153">
        <v>1.1844095943564389E-2</v>
      </c>
      <c r="T38" s="153">
        <v>1.3368339817157463E-2</v>
      </c>
    </row>
    <row r="39" spans="1:34" ht="11.25" customHeight="1" outlineLevel="1">
      <c r="C39" s="157" t="s">
        <v>96</v>
      </c>
      <c r="D39" s="16" t="s">
        <v>95</v>
      </c>
      <c r="E39" s="16" t="str">
        <f t="shared" si="30"/>
        <v>Per cent</v>
      </c>
      <c r="J39" s="139"/>
      <c r="K39" s="105"/>
      <c r="L39" s="105"/>
      <c r="M39" s="105"/>
      <c r="N39" s="105"/>
      <c r="O39" s="105"/>
      <c r="P39" s="153">
        <v>0</v>
      </c>
      <c r="Q39" s="153">
        <v>0</v>
      </c>
      <c r="R39" s="153">
        <v>0</v>
      </c>
      <c r="S39" s="153">
        <v>0</v>
      </c>
      <c r="T39" s="153">
        <v>0</v>
      </c>
    </row>
    <row r="40" spans="1:34" ht="11.25" customHeight="1" outlineLevel="1">
      <c r="C40" s="157"/>
      <c r="D40" s="16" t="s">
        <v>95</v>
      </c>
      <c r="E40" s="16" t="str">
        <f t="shared" si="30"/>
        <v>Per cent</v>
      </c>
      <c r="J40" s="139"/>
      <c r="K40" s="105"/>
      <c r="L40" s="105"/>
      <c r="M40" s="105"/>
      <c r="N40" s="105"/>
      <c r="O40" s="105"/>
      <c r="P40" s="153"/>
      <c r="Q40" s="153"/>
      <c r="R40" s="153"/>
      <c r="S40" s="153"/>
      <c r="T40" s="153"/>
    </row>
    <row r="41" spans="1:34" ht="11.25" customHeight="1" outlineLevel="1">
      <c r="C41" s="157"/>
      <c r="D41" s="16" t="s">
        <v>95</v>
      </c>
      <c r="E41" s="16" t="str">
        <f t="shared" si="30"/>
        <v>Per cent</v>
      </c>
      <c r="J41" s="139"/>
      <c r="K41" s="105"/>
      <c r="L41" s="105"/>
      <c r="M41" s="105"/>
      <c r="N41" s="105"/>
      <c r="O41" s="105"/>
      <c r="P41" s="153"/>
      <c r="Q41" s="153"/>
      <c r="R41" s="153"/>
      <c r="S41" s="153"/>
      <c r="T41" s="153"/>
      <c r="U41" s="147"/>
      <c r="V41" s="102"/>
    </row>
    <row r="42" spans="1:34" ht="11.25" customHeight="1" outlineLevel="1">
      <c r="C42" s="157"/>
      <c r="D42" s="16" t="s">
        <v>95</v>
      </c>
      <c r="E42" s="16" t="str">
        <f t="shared" si="30"/>
        <v>Per cent</v>
      </c>
      <c r="J42" s="139"/>
      <c r="K42" s="105"/>
      <c r="L42" s="105"/>
      <c r="M42" s="105"/>
      <c r="N42" s="105"/>
      <c r="O42" s="105"/>
      <c r="P42" s="153"/>
      <c r="Q42" s="153"/>
      <c r="R42" s="153"/>
      <c r="S42" s="153"/>
      <c r="T42" s="153"/>
      <c r="U42" s="147"/>
    </row>
    <row r="43" spans="1:34" ht="11.25" customHeight="1" outlineLevel="1">
      <c r="C43" s="157"/>
      <c r="D43" s="16" t="s">
        <v>95</v>
      </c>
      <c r="E43" s="16" t="str">
        <f t="shared" si="30"/>
        <v>Per cent</v>
      </c>
      <c r="J43" s="139"/>
      <c r="K43" s="105"/>
      <c r="L43" s="105"/>
      <c r="M43" s="105"/>
      <c r="N43" s="105"/>
      <c r="O43" s="105"/>
      <c r="P43" s="153"/>
      <c r="Q43" s="153"/>
      <c r="R43" s="153"/>
      <c r="S43" s="153"/>
      <c r="T43" s="153"/>
      <c r="U43" s="147"/>
    </row>
    <row r="44" spans="1:34" ht="11.25" customHeight="1" outlineLevel="1">
      <c r="C44" s="157"/>
      <c r="D44" s="16" t="s">
        <v>95</v>
      </c>
      <c r="E44" s="16" t="str">
        <f t="shared" si="30"/>
        <v>Per cent</v>
      </c>
      <c r="J44" s="139"/>
      <c r="K44" s="105"/>
      <c r="L44" s="105"/>
      <c r="M44" s="105"/>
      <c r="N44" s="105"/>
      <c r="O44" s="105"/>
      <c r="P44" s="153"/>
      <c r="Q44" s="153"/>
      <c r="R44" s="153"/>
      <c r="S44" s="153"/>
      <c r="T44" s="153"/>
      <c r="U44" s="147"/>
    </row>
    <row r="45" spans="1:34" ht="11.25" customHeight="1" outlineLevel="1">
      <c r="C45" s="157"/>
      <c r="D45" s="16" t="s">
        <v>95</v>
      </c>
      <c r="E45" s="16" t="str">
        <f t="shared" si="30"/>
        <v>Per cent</v>
      </c>
      <c r="J45" s="139"/>
      <c r="K45" s="105"/>
      <c r="L45" s="105"/>
      <c r="M45" s="105"/>
      <c r="N45" s="105"/>
      <c r="O45" s="105"/>
      <c r="P45" s="153"/>
      <c r="Q45" s="153"/>
      <c r="R45" s="153"/>
      <c r="S45" s="153"/>
      <c r="T45" s="153"/>
      <c r="U45" s="147"/>
    </row>
    <row r="46" spans="1:34" ht="11.25" customHeight="1" outlineLevel="1"/>
    <row r="47" spans="1:34" ht="11.25" customHeight="1" outlineLevel="1">
      <c r="C47" s="8" t="s">
        <v>97</v>
      </c>
      <c r="D47" s="16" t="s">
        <v>89</v>
      </c>
      <c r="E47" s="16" t="s">
        <v>98</v>
      </c>
      <c r="F47" s="16" t="s">
        <v>99</v>
      </c>
      <c r="J47" s="89" t="str">
        <f t="shared" ref="J47:U47" si="31">IF(J36=J4,IF(COUNTA($C38:$C45)=COUNT(J38:J45),"Ok","Check"),"")</f>
        <v/>
      </c>
      <c r="K47" s="89" t="str">
        <f t="shared" si="31"/>
        <v/>
      </c>
      <c r="L47" s="89" t="str">
        <f t="shared" si="31"/>
        <v/>
      </c>
      <c r="M47" s="89" t="str">
        <f t="shared" si="31"/>
        <v/>
      </c>
      <c r="N47" s="89" t="str">
        <f t="shared" si="31"/>
        <v/>
      </c>
      <c r="O47" s="89" t="str">
        <f t="shared" si="31"/>
        <v/>
      </c>
      <c r="P47" s="89" t="str">
        <f t="shared" si="31"/>
        <v>Ok</v>
      </c>
      <c r="Q47" s="89" t="str">
        <f t="shared" si="31"/>
        <v>Ok</v>
      </c>
      <c r="R47" s="89" t="str">
        <f t="shared" si="31"/>
        <v>Ok</v>
      </c>
      <c r="S47" s="89" t="str">
        <f t="shared" si="31"/>
        <v>Ok</v>
      </c>
      <c r="T47" s="89" t="str">
        <f t="shared" si="31"/>
        <v>Ok</v>
      </c>
      <c r="U47" s="89" t="str">
        <f t="shared" si="31"/>
        <v/>
      </c>
      <c r="V47" s="25"/>
      <c r="X47" s="88" t="str">
        <f>IF(COUNTIF(J47:U47,"Check")=0,"Ok","Check")</f>
        <v>Ok</v>
      </c>
    </row>
    <row r="48" spans="1:34" ht="11.25" customHeight="1" outlineLevel="1"/>
    <row r="49" spans="1:34" ht="11.25" customHeight="1" outlineLevel="1">
      <c r="C49" s="9" t="s">
        <v>100</v>
      </c>
      <c r="D49" s="21" t="s">
        <v>33</v>
      </c>
      <c r="E49" s="21" t="s">
        <v>53</v>
      </c>
      <c r="J49" s="114" t="str">
        <f t="shared" ref="J49:U49" si="32">IF(YEAR(J$4)&gt;=FPFirstYear,IF(YEAR(J$4)&lt;=FPLastYear,J$4,""),"")</f>
        <v/>
      </c>
      <c r="K49" s="114" t="str">
        <f t="shared" si="32"/>
        <v/>
      </c>
      <c r="L49" s="114" t="str">
        <f t="shared" si="32"/>
        <v/>
      </c>
      <c r="M49" s="114" t="str">
        <f t="shared" si="32"/>
        <v/>
      </c>
      <c r="N49" s="114" t="str">
        <f t="shared" si="32"/>
        <v/>
      </c>
      <c r="O49" s="114" t="str">
        <f t="shared" si="32"/>
        <v/>
      </c>
      <c r="P49" s="114">
        <f t="shared" si="32"/>
        <v>46174</v>
      </c>
      <c r="Q49" s="114">
        <f t="shared" si="32"/>
        <v>46539</v>
      </c>
      <c r="R49" s="114">
        <f t="shared" si="32"/>
        <v>46905</v>
      </c>
      <c r="S49" s="114">
        <f t="shared" si="32"/>
        <v>47270</v>
      </c>
      <c r="T49" s="114">
        <f t="shared" si="32"/>
        <v>47635</v>
      </c>
      <c r="U49" s="114" t="str">
        <f t="shared" si="32"/>
        <v/>
      </c>
    </row>
    <row r="50" spans="1:34" ht="11.25" customHeight="1" outlineLevel="1"/>
    <row r="51" spans="1:34" ht="11.25" customHeight="1" outlineLevel="1">
      <c r="C51" s="103" t="str">
        <f t="shared" ref="C51:C58" si="33">C38</f>
        <v>Labour</v>
      </c>
      <c r="D51" s="16" t="s">
        <v>95</v>
      </c>
      <c r="E51" s="16" t="str">
        <f t="shared" ref="E51:E58" si="34">percent</f>
        <v>Per cent</v>
      </c>
      <c r="J51" s="139"/>
      <c r="K51" s="105"/>
      <c r="L51" s="105"/>
      <c r="M51" s="105"/>
      <c r="N51" s="105"/>
      <c r="O51" s="105"/>
      <c r="P51" s="158">
        <v>0.6875</v>
      </c>
      <c r="Q51" s="158">
        <v>0.6875</v>
      </c>
      <c r="R51" s="158">
        <v>0.6875</v>
      </c>
      <c r="S51" s="158">
        <v>0.6875</v>
      </c>
      <c r="T51" s="158">
        <v>0.6875</v>
      </c>
      <c r="U51" s="117"/>
    </row>
    <row r="52" spans="1:34" ht="11.25" customHeight="1" outlineLevel="1">
      <c r="C52" s="103" t="str">
        <f t="shared" si="33"/>
        <v>Non Labour</v>
      </c>
      <c r="D52" s="16" t="s">
        <v>95</v>
      </c>
      <c r="E52" s="16" t="str">
        <f t="shared" si="34"/>
        <v>Per cent</v>
      </c>
      <c r="J52" s="139"/>
      <c r="K52" s="105"/>
      <c r="L52" s="105"/>
      <c r="M52" s="105"/>
      <c r="N52" s="105"/>
      <c r="O52" s="105"/>
      <c r="P52" s="158">
        <v>0.3125</v>
      </c>
      <c r="Q52" s="158">
        <v>0.3125</v>
      </c>
      <c r="R52" s="158">
        <v>0.3125</v>
      </c>
      <c r="S52" s="158">
        <v>0.3125</v>
      </c>
      <c r="T52" s="158">
        <v>0.3125</v>
      </c>
      <c r="U52" s="117"/>
    </row>
    <row r="53" spans="1:34" ht="11.25" customHeight="1" outlineLevel="1">
      <c r="C53" s="103">
        <f t="shared" si="33"/>
        <v>0</v>
      </c>
      <c r="D53" s="16" t="s">
        <v>95</v>
      </c>
      <c r="E53" s="16" t="str">
        <f t="shared" si="34"/>
        <v>Per cent</v>
      </c>
      <c r="J53" s="139"/>
      <c r="K53" s="105"/>
      <c r="L53" s="105"/>
      <c r="M53" s="105"/>
      <c r="N53" s="105"/>
      <c r="O53" s="105"/>
      <c r="P53" s="158"/>
      <c r="Q53" s="158"/>
      <c r="R53" s="158"/>
      <c r="S53" s="158"/>
      <c r="T53" s="158"/>
      <c r="U53" s="117"/>
    </row>
    <row r="54" spans="1:34" ht="11.25" customHeight="1" outlineLevel="1">
      <c r="C54" s="103">
        <f t="shared" si="33"/>
        <v>0</v>
      </c>
      <c r="D54" s="16" t="s">
        <v>95</v>
      </c>
      <c r="E54" s="16" t="str">
        <f t="shared" si="34"/>
        <v>Per cent</v>
      </c>
      <c r="J54" s="139"/>
      <c r="K54" s="105"/>
      <c r="L54" s="105"/>
      <c r="M54" s="105"/>
      <c r="N54" s="105"/>
      <c r="O54" s="105"/>
      <c r="P54" s="138"/>
      <c r="Q54" s="138"/>
      <c r="R54" s="138"/>
      <c r="S54" s="138"/>
      <c r="T54" s="138"/>
      <c r="U54" s="117"/>
      <c r="V54" s="102"/>
    </row>
    <row r="55" spans="1:34" ht="11.25" customHeight="1" outlineLevel="1">
      <c r="C55" s="103">
        <f t="shared" si="33"/>
        <v>0</v>
      </c>
      <c r="D55" s="16" t="s">
        <v>95</v>
      </c>
      <c r="E55" s="16" t="str">
        <f t="shared" si="34"/>
        <v>Per cent</v>
      </c>
      <c r="J55" s="139"/>
      <c r="K55" s="105"/>
      <c r="L55" s="105"/>
      <c r="M55" s="105"/>
      <c r="N55" s="105"/>
      <c r="O55" s="105"/>
      <c r="P55" s="138"/>
      <c r="Q55" s="138"/>
      <c r="R55" s="138"/>
      <c r="S55" s="138"/>
      <c r="T55" s="138"/>
      <c r="U55" s="117"/>
    </row>
    <row r="56" spans="1:34" ht="11.25" customHeight="1" outlineLevel="1">
      <c r="C56" s="103">
        <f t="shared" si="33"/>
        <v>0</v>
      </c>
      <c r="D56" s="16" t="s">
        <v>95</v>
      </c>
      <c r="E56" s="16" t="str">
        <f t="shared" si="34"/>
        <v>Per cent</v>
      </c>
      <c r="J56" s="139"/>
      <c r="K56" s="105"/>
      <c r="L56" s="105"/>
      <c r="M56" s="105"/>
      <c r="N56" s="105"/>
      <c r="O56" s="105"/>
      <c r="P56" s="138"/>
      <c r="Q56" s="138"/>
      <c r="R56" s="138"/>
      <c r="S56" s="138"/>
      <c r="T56" s="138"/>
      <c r="U56" s="117"/>
    </row>
    <row r="57" spans="1:34" ht="11.25" customHeight="1" outlineLevel="1">
      <c r="C57" s="103">
        <f t="shared" si="33"/>
        <v>0</v>
      </c>
      <c r="D57" s="16" t="s">
        <v>95</v>
      </c>
      <c r="E57" s="16" t="str">
        <f t="shared" si="34"/>
        <v>Per cent</v>
      </c>
      <c r="J57" s="139"/>
      <c r="K57" s="105"/>
      <c r="L57" s="105"/>
      <c r="M57" s="105"/>
      <c r="N57" s="105"/>
      <c r="O57" s="105"/>
      <c r="P57" s="138"/>
      <c r="Q57" s="138"/>
      <c r="R57" s="138"/>
      <c r="S57" s="138"/>
      <c r="T57" s="138"/>
      <c r="U57" s="117"/>
    </row>
    <row r="58" spans="1:34" ht="11.25" customHeight="1" outlineLevel="1">
      <c r="C58" s="103">
        <f t="shared" si="33"/>
        <v>0</v>
      </c>
      <c r="D58" s="16" t="s">
        <v>95</v>
      </c>
      <c r="E58" s="16" t="str">
        <f t="shared" si="34"/>
        <v>Per cent</v>
      </c>
      <c r="J58" s="139"/>
      <c r="K58" s="105"/>
      <c r="L58" s="105"/>
      <c r="M58" s="105"/>
      <c r="N58" s="105"/>
      <c r="O58" s="105"/>
      <c r="P58" s="158"/>
      <c r="Q58" s="158"/>
      <c r="R58" s="158"/>
      <c r="S58" s="158"/>
      <c r="T58" s="158"/>
      <c r="U58" s="117"/>
    </row>
    <row r="59" spans="1:34" ht="11.25" customHeight="1" outlineLevel="1"/>
    <row r="60" spans="1:34" outlineLevel="1">
      <c r="C60" s="8" t="s">
        <v>97</v>
      </c>
      <c r="D60" s="16" t="s">
        <v>89</v>
      </c>
      <c r="E60" s="16" t="s">
        <v>98</v>
      </c>
      <c r="F60" s="16" t="s">
        <v>99</v>
      </c>
      <c r="J60" s="89" t="str">
        <f t="shared" ref="J60:S60" si="35">IF(J49=J$4,IF(SUM(J51:J58)=1,"Ok","Check"),"")</f>
        <v/>
      </c>
      <c r="K60" s="89" t="str">
        <f t="shared" si="35"/>
        <v/>
      </c>
      <c r="L60" s="89" t="str">
        <f t="shared" si="35"/>
        <v/>
      </c>
      <c r="M60" s="89" t="str">
        <f t="shared" si="35"/>
        <v/>
      </c>
      <c r="N60" s="89" t="str">
        <f t="shared" si="35"/>
        <v/>
      </c>
      <c r="O60" s="89" t="str">
        <f t="shared" si="35"/>
        <v/>
      </c>
      <c r="P60" s="89" t="str">
        <f t="shared" si="35"/>
        <v>Ok</v>
      </c>
      <c r="Q60" s="89" t="str">
        <f t="shared" si="35"/>
        <v>Ok</v>
      </c>
      <c r="R60" s="89" t="str">
        <f t="shared" si="35"/>
        <v>Ok</v>
      </c>
      <c r="S60" s="89" t="str">
        <f t="shared" si="35"/>
        <v>Ok</v>
      </c>
      <c r="T60" s="89" t="str">
        <f>IF(T49=T$4,IF(SUM(T51:T58)=1,"Ok","Check"),"")</f>
        <v>Ok</v>
      </c>
      <c r="U60" s="89" t="str">
        <f>IF(U49=U$4,IF(SUM(U51:U58)=1,"Ok","Check"),"")</f>
        <v/>
      </c>
      <c r="V60" s="25"/>
      <c r="X60" s="88" t="str">
        <f>IF(COUNTIF(J60:U60,"Check")=0,"Ok","Check")</f>
        <v>Ok</v>
      </c>
    </row>
    <row r="61" spans="1:34"/>
    <row r="62" spans="1:34" customFormat="1" ht="12.75">
      <c r="A62" s="36"/>
      <c r="B62" s="42" t="s">
        <v>101</v>
      </c>
      <c r="C62" s="36"/>
      <c r="D62" s="36"/>
      <c r="E62" s="36"/>
      <c r="F62" s="37"/>
      <c r="G62" s="37"/>
      <c r="H62" s="37"/>
      <c r="I62" s="37"/>
      <c r="J62" s="37"/>
      <c r="K62" s="38"/>
      <c r="L62" s="39"/>
      <c r="M62" s="38"/>
      <c r="N62" s="39"/>
      <c r="O62" s="38"/>
      <c r="P62" s="38"/>
      <c r="Q62" s="38"/>
      <c r="R62" s="38"/>
      <c r="S62" s="38"/>
      <c r="T62" s="38"/>
      <c r="U62" s="38"/>
      <c r="V62" s="38"/>
      <c r="W62" s="38"/>
      <c r="X62" s="39"/>
      <c r="Y62" s="40"/>
      <c r="Z62" s="40"/>
      <c r="AA62" s="40"/>
      <c r="AB62" s="40"/>
      <c r="AC62" s="40"/>
      <c r="AD62" s="40"/>
      <c r="AE62" s="40"/>
      <c r="AF62" s="40"/>
      <c r="AG62" s="41"/>
      <c r="AH62" s="41"/>
    </row>
    <row r="63" spans="1:34" outlineLevel="1">
      <c r="G63" s="21"/>
      <c r="H63" s="21"/>
    </row>
    <row r="64" spans="1:34" outlineLevel="1">
      <c r="C64" s="9" t="s">
        <v>102</v>
      </c>
      <c r="D64" s="21" t="s">
        <v>33</v>
      </c>
      <c r="E64" s="21" t="s">
        <v>53</v>
      </c>
      <c r="F64" s="21" t="s">
        <v>56</v>
      </c>
      <c r="G64" s="21"/>
      <c r="H64" s="21"/>
      <c r="J64" s="114" t="str">
        <f t="shared" ref="J64:U64" si="36">IF(YEAR(J$4)&gt;=PPLastYear,IF(YEAR(J$4)&lt;=FPLastYear,J$4,""),"")</f>
        <v/>
      </c>
      <c r="K64" s="114" t="str">
        <f t="shared" si="36"/>
        <v/>
      </c>
      <c r="L64" s="114" t="str">
        <f t="shared" si="36"/>
        <v/>
      </c>
      <c r="M64" s="114" t="str">
        <f t="shared" si="36"/>
        <v/>
      </c>
      <c r="N64" s="114" t="str">
        <f t="shared" si="36"/>
        <v/>
      </c>
      <c r="O64" s="114">
        <f t="shared" si="36"/>
        <v>45809</v>
      </c>
      <c r="P64" s="114">
        <f t="shared" si="36"/>
        <v>46174</v>
      </c>
      <c r="Q64" s="114">
        <f t="shared" si="36"/>
        <v>46539</v>
      </c>
      <c r="R64" s="114">
        <f t="shared" si="36"/>
        <v>46905</v>
      </c>
      <c r="S64" s="114">
        <f t="shared" si="36"/>
        <v>47270</v>
      </c>
      <c r="T64" s="114">
        <f t="shared" si="36"/>
        <v>47635</v>
      </c>
      <c r="U64" s="114" t="str">
        <f t="shared" si="36"/>
        <v/>
      </c>
    </row>
    <row r="65" spans="3:24" outlineLevel="1">
      <c r="C65" s="15"/>
      <c r="G65" s="21"/>
      <c r="H65" s="21"/>
      <c r="K65" s="24"/>
      <c r="L65" s="24"/>
      <c r="M65" s="24"/>
      <c r="N65" s="24"/>
      <c r="O65" s="24"/>
    </row>
    <row r="66" spans="3:24" outlineLevel="1">
      <c r="C66" s="52" t="s">
        <v>103</v>
      </c>
      <c r="D66" s="16" t="s">
        <v>95</v>
      </c>
      <c r="E66" s="16" t="s">
        <v>104</v>
      </c>
      <c r="F66" s="16" t="s">
        <v>99</v>
      </c>
      <c r="G66" s="21"/>
      <c r="H66" s="21"/>
      <c r="J66" s="139"/>
      <c r="K66" s="135"/>
      <c r="L66" s="135"/>
      <c r="M66" s="135"/>
      <c r="N66" s="135"/>
      <c r="O66" s="136">
        <v>1.0049999999999999</v>
      </c>
      <c r="P66" s="136">
        <f>O66*(1+0.5%)</f>
        <v>1.0100249999999997</v>
      </c>
      <c r="Q66" s="136">
        <f t="shared" ref="Q66:T66" si="37">P66*(1+0.5%)</f>
        <v>1.0150751249999996</v>
      </c>
      <c r="R66" s="136">
        <f t="shared" si="37"/>
        <v>1.0201505006249996</v>
      </c>
      <c r="S66" s="136">
        <f t="shared" si="37"/>
        <v>1.0252512531281244</v>
      </c>
      <c r="T66" s="136">
        <f t="shared" si="37"/>
        <v>1.0303775093937648</v>
      </c>
      <c r="U66" s="136"/>
    </row>
    <row r="67" spans="3:24" outlineLevel="1">
      <c r="C67" s="52"/>
      <c r="D67" s="16" t="s">
        <v>95</v>
      </c>
      <c r="E67" s="16" t="s">
        <v>104</v>
      </c>
      <c r="F67" s="16" t="s">
        <v>99</v>
      </c>
      <c r="G67" s="21"/>
      <c r="H67" s="21"/>
      <c r="J67" s="139"/>
      <c r="K67" s="135"/>
      <c r="L67" s="135"/>
      <c r="M67" s="135"/>
      <c r="N67" s="135"/>
      <c r="O67" s="136"/>
      <c r="P67" s="136"/>
      <c r="Q67" s="136"/>
      <c r="R67" s="136"/>
      <c r="S67" s="136"/>
      <c r="T67" s="136"/>
      <c r="U67" s="136"/>
    </row>
    <row r="68" spans="3:24" outlineLevel="1">
      <c r="C68" s="52"/>
      <c r="D68" s="16" t="s">
        <v>95</v>
      </c>
      <c r="E68" s="16" t="s">
        <v>104</v>
      </c>
      <c r="F68" s="16" t="s">
        <v>99</v>
      </c>
      <c r="G68" s="21"/>
      <c r="H68" s="21"/>
      <c r="J68" s="139"/>
      <c r="K68" s="135"/>
      <c r="L68" s="135"/>
      <c r="M68" s="135"/>
      <c r="N68" s="135"/>
      <c r="O68" s="136"/>
      <c r="P68" s="136"/>
      <c r="Q68" s="136"/>
      <c r="R68" s="136"/>
      <c r="S68" s="136"/>
      <c r="T68" s="136"/>
      <c r="U68" s="136"/>
    </row>
    <row r="69" spans="3:24" outlineLevel="1">
      <c r="C69" s="52"/>
      <c r="D69" s="16" t="s">
        <v>95</v>
      </c>
      <c r="E69" s="16" t="s">
        <v>104</v>
      </c>
      <c r="F69" s="16" t="s">
        <v>99</v>
      </c>
      <c r="G69" s="21"/>
      <c r="H69" s="21"/>
      <c r="J69" s="139"/>
      <c r="K69" s="135"/>
      <c r="L69" s="135"/>
      <c r="M69" s="135"/>
      <c r="N69" s="135"/>
      <c r="O69" s="136"/>
      <c r="P69" s="136"/>
      <c r="Q69" s="136"/>
      <c r="R69" s="136"/>
      <c r="S69" s="136"/>
      <c r="T69" s="136"/>
      <c r="U69" s="136"/>
    </row>
    <row r="70" spans="3:24" outlineLevel="1">
      <c r="C70" s="52"/>
      <c r="D70" s="16" t="s">
        <v>95</v>
      </c>
      <c r="E70" s="16" t="s">
        <v>104</v>
      </c>
      <c r="F70" s="16" t="s">
        <v>99</v>
      </c>
      <c r="G70" s="21"/>
      <c r="H70" s="21"/>
      <c r="J70" s="139"/>
      <c r="K70" s="135"/>
      <c r="L70" s="135"/>
      <c r="M70" s="135"/>
      <c r="N70" s="135"/>
      <c r="O70" s="136"/>
      <c r="P70" s="136"/>
      <c r="Q70" s="136"/>
      <c r="R70" s="136"/>
      <c r="S70" s="136"/>
      <c r="T70" s="136"/>
      <c r="U70" s="136"/>
    </row>
    <row r="71" spans="3:24" outlineLevel="1">
      <c r="C71" s="52"/>
      <c r="D71" s="16" t="s">
        <v>95</v>
      </c>
      <c r="E71" s="16" t="s">
        <v>104</v>
      </c>
      <c r="F71" s="16" t="s">
        <v>99</v>
      </c>
      <c r="G71" s="21"/>
      <c r="H71" s="21"/>
      <c r="J71" s="139"/>
      <c r="K71" s="135"/>
      <c r="L71" s="135"/>
      <c r="M71" s="135"/>
      <c r="N71" s="135"/>
      <c r="O71" s="136"/>
      <c r="P71" s="136"/>
      <c r="Q71" s="136"/>
      <c r="R71" s="136"/>
      <c r="S71" s="136"/>
      <c r="T71" s="136"/>
      <c r="U71" s="136"/>
    </row>
    <row r="72" spans="3:24" outlineLevel="1">
      <c r="C72" s="15"/>
      <c r="G72" s="21"/>
      <c r="H72" s="21"/>
      <c r="K72" s="24"/>
      <c r="L72" s="24"/>
      <c r="M72" s="24"/>
      <c r="N72" s="24"/>
      <c r="O72" s="24"/>
    </row>
    <row r="73" spans="3:24" outlineLevel="1">
      <c r="C73" s="8" t="s">
        <v>97</v>
      </c>
      <c r="D73" s="16" t="s">
        <v>89</v>
      </c>
      <c r="E73" s="16" t="s">
        <v>98</v>
      </c>
      <c r="F73" s="16" t="s">
        <v>99</v>
      </c>
      <c r="J73" s="89" t="str">
        <f t="shared" ref="J73:S73" si="38">IF(J64=J$4,IF(COUNTA($C66:$C71)=COUNT(J66:J71),"Ok","Check"),"")</f>
        <v/>
      </c>
      <c r="K73" s="89" t="str">
        <f t="shared" si="38"/>
        <v/>
      </c>
      <c r="L73" s="89" t="str">
        <f t="shared" si="38"/>
        <v/>
      </c>
      <c r="M73" s="89" t="str">
        <f t="shared" si="38"/>
        <v/>
      </c>
      <c r="N73" s="89" t="str">
        <f t="shared" si="38"/>
        <v/>
      </c>
      <c r="O73" s="89" t="str">
        <f t="shared" si="38"/>
        <v>Ok</v>
      </c>
      <c r="P73" s="89" t="str">
        <f t="shared" si="38"/>
        <v>Ok</v>
      </c>
      <c r="Q73" s="89" t="str">
        <f t="shared" si="38"/>
        <v>Ok</v>
      </c>
      <c r="R73" s="89" t="str">
        <f t="shared" si="38"/>
        <v>Ok</v>
      </c>
      <c r="S73" s="89" t="str">
        <f t="shared" si="38"/>
        <v>Ok</v>
      </c>
      <c r="T73" s="89" t="str">
        <f>IF(T64=T$4,IF(COUNTA($C66:$C71)=COUNT(T66:T71),"Ok","Check"),"")</f>
        <v>Ok</v>
      </c>
      <c r="U73" s="89" t="str">
        <f>IF(U64=U$4,IF(COUNTA($C66:$C71)=COUNT(U66:U71),"Ok","Check"),"")</f>
        <v/>
      </c>
      <c r="V73" s="25"/>
      <c r="X73" s="88" t="str">
        <f>IF(COUNTIF(J73:U73,"Check")=0,"Ok","Check")</f>
        <v>Ok</v>
      </c>
    </row>
    <row r="74" spans="3:24" outlineLevel="1">
      <c r="C74" s="15"/>
      <c r="G74" s="21"/>
      <c r="H74" s="21"/>
      <c r="K74" s="24"/>
      <c r="L74" s="24"/>
      <c r="M74" s="24"/>
      <c r="N74" s="24"/>
      <c r="O74" s="24"/>
    </row>
    <row r="75" spans="3:24" outlineLevel="1">
      <c r="C75" s="9" t="s">
        <v>105</v>
      </c>
      <c r="D75" s="21" t="s">
        <v>33</v>
      </c>
      <c r="E75" s="21" t="s">
        <v>53</v>
      </c>
      <c r="F75" s="21" t="s">
        <v>56</v>
      </c>
      <c r="G75" s="21"/>
      <c r="H75" s="21"/>
      <c r="J75" s="114" t="str">
        <f t="shared" ref="J75:U75" si="39">IF(YEAR(J$4)&gt;=FPFirstYear,IF(YEAR(J$4)&lt;=FPLastYear,J$4,""),"")</f>
        <v/>
      </c>
      <c r="K75" s="114" t="str">
        <f t="shared" si="39"/>
        <v/>
      </c>
      <c r="L75" s="114" t="str">
        <f t="shared" si="39"/>
        <v/>
      </c>
      <c r="M75" s="114" t="str">
        <f t="shared" si="39"/>
        <v/>
      </c>
      <c r="N75" s="114" t="str">
        <f t="shared" si="39"/>
        <v/>
      </c>
      <c r="O75" s="114" t="str">
        <f t="shared" si="39"/>
        <v/>
      </c>
      <c r="P75" s="114">
        <f t="shared" si="39"/>
        <v>46174</v>
      </c>
      <c r="Q75" s="114">
        <f t="shared" si="39"/>
        <v>46539</v>
      </c>
      <c r="R75" s="114">
        <f t="shared" si="39"/>
        <v>46905</v>
      </c>
      <c r="S75" s="114">
        <f t="shared" si="39"/>
        <v>47270</v>
      </c>
      <c r="T75" s="114">
        <f t="shared" si="39"/>
        <v>47635</v>
      </c>
      <c r="U75" s="114" t="str">
        <f t="shared" si="39"/>
        <v/>
      </c>
      <c r="V75" s="8" t="str">
        <f>IF(RIGHT(V$4,2)&gt;=RIGHT('Input|General'!$G$13,2),IF(RIGHT(V$4,2)&lt;='Input|General'!$G$14,'Input|Reported opex'!U$4,""),"")</f>
        <v/>
      </c>
    </row>
    <row r="76" spans="3:24" outlineLevel="1">
      <c r="C76" s="15"/>
      <c r="G76" s="21"/>
      <c r="H76" s="21"/>
      <c r="K76" s="24"/>
      <c r="L76" s="24"/>
      <c r="M76" s="24"/>
      <c r="N76" s="24"/>
      <c r="O76" s="24"/>
    </row>
    <row r="77" spans="3:24" outlineLevel="1">
      <c r="C77" s="103" t="s">
        <v>210</v>
      </c>
      <c r="D77" s="16" t="s">
        <v>89</v>
      </c>
      <c r="E77" s="16" t="s">
        <v>104</v>
      </c>
      <c r="F77" s="16" t="s">
        <v>99</v>
      </c>
      <c r="G77" s="21"/>
      <c r="H77" s="21"/>
      <c r="J77" s="78" t="str">
        <f t="shared" ref="J77:M77" si="40">IF(ISBLANK(I66),"",IF(ISBLANK(J66),"",LN(J66)-LN(I66)))</f>
        <v/>
      </c>
      <c r="K77" s="78" t="str">
        <f t="shared" si="40"/>
        <v/>
      </c>
      <c r="L77" s="78" t="str">
        <f t="shared" si="40"/>
        <v/>
      </c>
      <c r="M77" s="78" t="str">
        <f t="shared" si="40"/>
        <v/>
      </c>
      <c r="N77" s="78" t="str">
        <f>IF(ISBLANK(M66),"",IF(ISBLANK(N66),"",LN(N66)-LN(M66)))</f>
        <v/>
      </c>
      <c r="O77" s="78" t="str">
        <f t="shared" ref="O77:U77" si="41">IF(ISBLANK(N66),"",IF(ISBLANK(O66),"",LN(O66)-LN(N66)))</f>
        <v/>
      </c>
      <c r="P77" s="78">
        <f>IF(ISBLANK(O66),"",IF(ISBLANK(P66),"",LN(P66)-LN(O66)))</f>
        <v>4.9875415110389107E-3</v>
      </c>
      <c r="Q77" s="78">
        <f t="shared" si="41"/>
        <v>4.9875415110389818E-3</v>
      </c>
      <c r="R77" s="78">
        <f t="shared" si="41"/>
        <v>4.9875415110390113E-3</v>
      </c>
      <c r="S77" s="78">
        <f t="shared" si="41"/>
        <v>4.9875415110388864E-3</v>
      </c>
      <c r="T77" s="78">
        <f t="shared" si="41"/>
        <v>4.9875415110389038E-3</v>
      </c>
      <c r="U77" s="78" t="str">
        <f t="shared" si="41"/>
        <v/>
      </c>
    </row>
    <row r="78" spans="3:24" outlineLevel="1">
      <c r="C78" s="103">
        <f t="shared" ref="C78:C82" si="42">C67</f>
        <v>0</v>
      </c>
      <c r="D78" s="16" t="s">
        <v>89</v>
      </c>
      <c r="E78" s="16" t="s">
        <v>104</v>
      </c>
      <c r="F78" s="16" t="s">
        <v>99</v>
      </c>
      <c r="G78" s="21"/>
      <c r="H78" s="21"/>
      <c r="J78" s="78" t="str">
        <f t="shared" ref="J78:U78" si="43">IF(ISBLANK(I67),"",IF(ISBLANK(J67),"",LN(J67)-LN(I67)))</f>
        <v/>
      </c>
      <c r="K78" s="78" t="str">
        <f t="shared" si="43"/>
        <v/>
      </c>
      <c r="L78" s="78" t="str">
        <f t="shared" si="43"/>
        <v/>
      </c>
      <c r="M78" s="78" t="str">
        <f t="shared" si="43"/>
        <v/>
      </c>
      <c r="N78" s="78" t="str">
        <f t="shared" si="43"/>
        <v/>
      </c>
      <c r="O78" s="78" t="str">
        <f t="shared" si="43"/>
        <v/>
      </c>
      <c r="P78" s="78" t="str">
        <f t="shared" si="43"/>
        <v/>
      </c>
      <c r="Q78" s="78" t="str">
        <f t="shared" si="43"/>
        <v/>
      </c>
      <c r="R78" s="78" t="str">
        <f t="shared" si="43"/>
        <v/>
      </c>
      <c r="S78" s="78" t="str">
        <f t="shared" si="43"/>
        <v/>
      </c>
      <c r="T78" s="78" t="str">
        <f t="shared" si="43"/>
        <v/>
      </c>
      <c r="U78" s="78" t="str">
        <f t="shared" si="43"/>
        <v/>
      </c>
    </row>
    <row r="79" spans="3:24" outlineLevel="1">
      <c r="C79" s="103">
        <f t="shared" si="42"/>
        <v>0</v>
      </c>
      <c r="D79" s="16" t="s">
        <v>89</v>
      </c>
      <c r="E79" s="16" t="s">
        <v>104</v>
      </c>
      <c r="F79" s="16" t="s">
        <v>99</v>
      </c>
      <c r="G79" s="21"/>
      <c r="H79" s="21"/>
      <c r="J79" s="78" t="str">
        <f t="shared" ref="J79:U79" si="44">IF(ISBLANK(I68),"",IF(ISBLANK(J68),"",LN(J68)-LN(I68)))</f>
        <v/>
      </c>
      <c r="K79" s="78" t="str">
        <f t="shared" si="44"/>
        <v/>
      </c>
      <c r="L79" s="78" t="str">
        <f t="shared" si="44"/>
        <v/>
      </c>
      <c r="M79" s="78" t="str">
        <f t="shared" si="44"/>
        <v/>
      </c>
      <c r="N79" s="78" t="str">
        <f t="shared" si="44"/>
        <v/>
      </c>
      <c r="O79" s="78" t="str">
        <f t="shared" si="44"/>
        <v/>
      </c>
      <c r="P79" s="78" t="str">
        <f t="shared" si="44"/>
        <v/>
      </c>
      <c r="Q79" s="78" t="str">
        <f t="shared" si="44"/>
        <v/>
      </c>
      <c r="R79" s="78" t="str">
        <f t="shared" si="44"/>
        <v/>
      </c>
      <c r="S79" s="78" t="str">
        <f t="shared" si="44"/>
        <v/>
      </c>
      <c r="T79" s="78" t="str">
        <f t="shared" si="44"/>
        <v/>
      </c>
      <c r="U79" s="78" t="str">
        <f t="shared" si="44"/>
        <v/>
      </c>
    </row>
    <row r="80" spans="3:24" outlineLevel="1">
      <c r="C80" s="103">
        <f t="shared" si="42"/>
        <v>0</v>
      </c>
      <c r="D80" s="16" t="s">
        <v>89</v>
      </c>
      <c r="E80" s="16" t="s">
        <v>104</v>
      </c>
      <c r="F80" s="16" t="s">
        <v>99</v>
      </c>
      <c r="G80" s="21"/>
      <c r="H80" s="21"/>
      <c r="J80" s="78" t="str">
        <f t="shared" ref="J80:U80" si="45">IF(ISBLANK(I69),"",IF(ISBLANK(J69),"",LN(J69)-LN(I69)))</f>
        <v/>
      </c>
      <c r="K80" s="78" t="str">
        <f t="shared" si="45"/>
        <v/>
      </c>
      <c r="L80" s="78" t="str">
        <f t="shared" si="45"/>
        <v/>
      </c>
      <c r="M80" s="78" t="str">
        <f t="shared" si="45"/>
        <v/>
      </c>
      <c r="N80" s="78" t="str">
        <f t="shared" si="45"/>
        <v/>
      </c>
      <c r="O80" s="78" t="str">
        <f t="shared" si="45"/>
        <v/>
      </c>
      <c r="P80" s="78" t="str">
        <f t="shared" si="45"/>
        <v/>
      </c>
      <c r="Q80" s="78" t="str">
        <f t="shared" si="45"/>
        <v/>
      </c>
      <c r="R80" s="78" t="str">
        <f t="shared" si="45"/>
        <v/>
      </c>
      <c r="S80" s="78" t="str">
        <f t="shared" si="45"/>
        <v/>
      </c>
      <c r="T80" s="78" t="str">
        <f t="shared" si="45"/>
        <v/>
      </c>
      <c r="U80" s="78" t="str">
        <f t="shared" si="45"/>
        <v/>
      </c>
    </row>
    <row r="81" spans="3:24" outlineLevel="1">
      <c r="C81" s="103">
        <f t="shared" si="42"/>
        <v>0</v>
      </c>
      <c r="D81" s="16" t="s">
        <v>89</v>
      </c>
      <c r="E81" s="16" t="s">
        <v>104</v>
      </c>
      <c r="F81" s="16" t="s">
        <v>99</v>
      </c>
      <c r="G81" s="21"/>
      <c r="H81" s="21"/>
      <c r="J81" s="78" t="str">
        <f t="shared" ref="J81:T81" si="46">IF(ISBLANK(I70),"",IF(ISBLANK(J70),"",LN(J70)-LN(I70)))</f>
        <v/>
      </c>
      <c r="K81" s="78" t="str">
        <f t="shared" si="46"/>
        <v/>
      </c>
      <c r="L81" s="78" t="str">
        <f t="shared" si="46"/>
        <v/>
      </c>
      <c r="M81" s="78" t="str">
        <f t="shared" si="46"/>
        <v/>
      </c>
      <c r="N81" s="78" t="str">
        <f t="shared" si="46"/>
        <v/>
      </c>
      <c r="O81" s="78" t="str">
        <f t="shared" si="46"/>
        <v/>
      </c>
      <c r="P81" s="78" t="str">
        <f t="shared" si="46"/>
        <v/>
      </c>
      <c r="Q81" s="78" t="str">
        <f t="shared" si="46"/>
        <v/>
      </c>
      <c r="R81" s="78" t="str">
        <f t="shared" si="46"/>
        <v/>
      </c>
      <c r="S81" s="78" t="str">
        <f t="shared" si="46"/>
        <v/>
      </c>
      <c r="T81" s="78" t="str">
        <f t="shared" si="46"/>
        <v/>
      </c>
      <c r="U81" s="78"/>
    </row>
    <row r="82" spans="3:24" outlineLevel="1">
      <c r="C82" s="103">
        <f t="shared" si="42"/>
        <v>0</v>
      </c>
      <c r="D82" s="16" t="s">
        <v>89</v>
      </c>
      <c r="E82" s="16" t="s">
        <v>104</v>
      </c>
      <c r="F82" s="16" t="s">
        <v>99</v>
      </c>
      <c r="G82" s="21"/>
      <c r="H82" s="21"/>
      <c r="J82" s="78" t="str">
        <f t="shared" ref="J82:T82" si="47">IF(ISBLANK(I71),"",IF(ISBLANK(J71),"",LN(J71)-LN(I71)))</f>
        <v/>
      </c>
      <c r="K82" s="78" t="str">
        <f t="shared" si="47"/>
        <v/>
      </c>
      <c r="L82" s="78" t="str">
        <f t="shared" si="47"/>
        <v/>
      </c>
      <c r="M82" s="78" t="str">
        <f t="shared" si="47"/>
        <v/>
      </c>
      <c r="N82" s="78" t="str">
        <f t="shared" si="47"/>
        <v/>
      </c>
      <c r="O82" s="78" t="str">
        <f t="shared" si="47"/>
        <v/>
      </c>
      <c r="P82" s="78" t="str">
        <f t="shared" si="47"/>
        <v/>
      </c>
      <c r="Q82" s="78" t="str">
        <f t="shared" si="47"/>
        <v/>
      </c>
      <c r="R82" s="78" t="str">
        <f t="shared" si="47"/>
        <v/>
      </c>
      <c r="S82" s="78" t="str">
        <f t="shared" si="47"/>
        <v/>
      </c>
      <c r="T82" s="78" t="str">
        <f t="shared" si="47"/>
        <v/>
      </c>
      <c r="U82" s="78"/>
    </row>
    <row r="83" spans="3:24" outlineLevel="1">
      <c r="C83" s="15"/>
      <c r="G83" s="21"/>
      <c r="H83" s="21"/>
      <c r="K83" s="24"/>
      <c r="L83" s="24"/>
      <c r="M83" s="24"/>
      <c r="N83" s="24"/>
      <c r="O83" s="24"/>
    </row>
    <row r="84" spans="3:24" outlineLevel="1">
      <c r="C84" s="9" t="s">
        <v>106</v>
      </c>
      <c r="D84" s="21" t="s">
        <v>33</v>
      </c>
      <c r="E84" s="21" t="s">
        <v>53</v>
      </c>
      <c r="F84" s="21" t="s">
        <v>56</v>
      </c>
      <c r="G84" s="21"/>
      <c r="H84" s="21"/>
      <c r="J84" s="146" t="s">
        <v>107</v>
      </c>
      <c r="K84" s="146"/>
      <c r="L84" s="146"/>
      <c r="M84" s="146"/>
      <c r="N84" s="114"/>
      <c r="O84" s="114"/>
      <c r="P84" s="114"/>
      <c r="Q84" s="114"/>
      <c r="R84" s="114"/>
      <c r="S84" s="114"/>
      <c r="T84" s="114"/>
      <c r="U84" s="114"/>
    </row>
    <row r="85" spans="3:24" outlineLevel="1">
      <c r="C85" s="15"/>
      <c r="G85" s="21"/>
      <c r="H85" s="21"/>
      <c r="K85" s="24"/>
      <c r="L85" s="24"/>
      <c r="M85" s="24"/>
      <c r="N85" s="24"/>
      <c r="O85" s="70"/>
      <c r="P85" s="70"/>
      <c r="Q85" s="70"/>
      <c r="R85" s="70"/>
      <c r="S85" s="70"/>
      <c r="T85" s="70"/>
      <c r="U85" s="70"/>
    </row>
    <row r="86" spans="3:24" outlineLevel="1">
      <c r="C86" s="103" t="s">
        <v>210</v>
      </c>
      <c r="D86" s="16" t="s">
        <v>95</v>
      </c>
      <c r="E86" s="16" t="s">
        <v>104</v>
      </c>
      <c r="F86" s="16" t="s">
        <v>99</v>
      </c>
      <c r="G86" s="21"/>
      <c r="H86" s="21"/>
      <c r="J86" s="51">
        <v>1</v>
      </c>
      <c r="K86" s="51"/>
      <c r="L86" s="51"/>
      <c r="M86" s="51"/>
      <c r="N86" s="133"/>
      <c r="O86" s="133"/>
      <c r="P86" s="133"/>
      <c r="Q86" s="133"/>
      <c r="R86" s="133"/>
      <c r="S86" s="133"/>
      <c r="T86" s="133"/>
      <c r="U86" s="133"/>
    </row>
    <row r="87" spans="3:24" outlineLevel="1">
      <c r="C87" s="103">
        <f t="shared" ref="C87:C91" si="48">C67</f>
        <v>0</v>
      </c>
      <c r="D87" s="16" t="s">
        <v>95</v>
      </c>
      <c r="E87" s="16" t="s">
        <v>104</v>
      </c>
      <c r="F87" s="16" t="s">
        <v>99</v>
      </c>
      <c r="G87" s="21"/>
      <c r="H87" s="21"/>
      <c r="J87" s="51"/>
      <c r="K87" s="51"/>
      <c r="L87" s="51"/>
      <c r="M87" s="51"/>
      <c r="N87" s="133"/>
      <c r="O87" s="133"/>
      <c r="P87" s="133"/>
      <c r="Q87" s="133"/>
      <c r="R87" s="133"/>
      <c r="S87" s="133"/>
      <c r="T87" s="133"/>
      <c r="U87" s="133"/>
    </row>
    <row r="88" spans="3:24" outlineLevel="1">
      <c r="C88" s="103">
        <f t="shared" si="48"/>
        <v>0</v>
      </c>
      <c r="D88" s="16" t="s">
        <v>95</v>
      </c>
      <c r="E88" s="16" t="s">
        <v>104</v>
      </c>
      <c r="F88" s="16" t="s">
        <v>99</v>
      </c>
      <c r="G88" s="21"/>
      <c r="H88" s="21"/>
      <c r="J88" s="51"/>
      <c r="K88" s="51"/>
      <c r="L88" s="51"/>
      <c r="M88" s="51"/>
      <c r="N88" s="133"/>
      <c r="O88" s="133"/>
      <c r="P88" s="133"/>
      <c r="Q88" s="133"/>
      <c r="R88" s="133"/>
      <c r="S88" s="133"/>
      <c r="T88" s="133"/>
      <c r="U88" s="133"/>
    </row>
    <row r="89" spans="3:24" outlineLevel="1">
      <c r="C89" s="103">
        <f t="shared" si="48"/>
        <v>0</v>
      </c>
      <c r="D89" s="16" t="s">
        <v>95</v>
      </c>
      <c r="E89" s="16" t="s">
        <v>104</v>
      </c>
      <c r="F89" s="16" t="s">
        <v>99</v>
      </c>
      <c r="G89" s="21"/>
      <c r="H89" s="21"/>
      <c r="J89" s="51"/>
      <c r="K89" s="52"/>
      <c r="L89" s="52"/>
      <c r="M89" s="51"/>
      <c r="N89" s="133"/>
      <c r="O89" s="133"/>
      <c r="P89" s="133"/>
      <c r="Q89" s="133"/>
      <c r="R89" s="133"/>
      <c r="S89" s="133"/>
      <c r="T89" s="133"/>
      <c r="U89" s="133"/>
    </row>
    <row r="90" spans="3:24" outlineLevel="1">
      <c r="C90" s="103">
        <f t="shared" si="48"/>
        <v>0</v>
      </c>
      <c r="D90" s="16" t="s">
        <v>95</v>
      </c>
      <c r="E90" s="16" t="s">
        <v>104</v>
      </c>
      <c r="F90" s="16" t="s">
        <v>99</v>
      </c>
      <c r="G90" s="21"/>
      <c r="H90" s="21"/>
      <c r="J90" s="52"/>
      <c r="K90" s="52"/>
      <c r="L90" s="52"/>
      <c r="M90" s="52"/>
      <c r="N90" s="133"/>
      <c r="O90" s="133"/>
      <c r="P90" s="133"/>
      <c r="Q90" s="133"/>
      <c r="R90" s="133"/>
      <c r="S90" s="133"/>
      <c r="T90" s="133"/>
      <c r="U90" s="133"/>
    </row>
    <row r="91" spans="3:24" outlineLevel="1">
      <c r="C91" s="103">
        <f t="shared" si="48"/>
        <v>0</v>
      </c>
      <c r="D91" s="16" t="s">
        <v>95</v>
      </c>
      <c r="E91" s="16" t="s">
        <v>104</v>
      </c>
      <c r="F91" s="16" t="s">
        <v>99</v>
      </c>
      <c r="G91" s="21"/>
      <c r="H91" s="21"/>
      <c r="J91" s="52"/>
      <c r="K91" s="52"/>
      <c r="L91" s="52"/>
      <c r="M91" s="52"/>
      <c r="N91" s="133"/>
      <c r="O91" s="133"/>
      <c r="P91" s="133"/>
      <c r="Q91" s="133"/>
      <c r="R91" s="133"/>
      <c r="S91" s="133"/>
      <c r="T91" s="133"/>
      <c r="U91" s="133"/>
    </row>
    <row r="92" spans="3:24" outlineLevel="1">
      <c r="G92" s="21"/>
      <c r="H92" s="21"/>
    </row>
    <row r="93" spans="3:24" outlineLevel="1">
      <c r="C93" s="8" t="s">
        <v>97</v>
      </c>
      <c r="D93" s="16" t="s">
        <v>89</v>
      </c>
      <c r="E93" s="16" t="s">
        <v>98</v>
      </c>
      <c r="F93" s="16" t="s">
        <v>99</v>
      </c>
      <c r="J93" s="89" t="str">
        <f t="array" ref="J93">IF(ISBLANK(J84),IF(ISBLANK(J86:J91),"Ok","Check"),IF(SUM(J86:J91)=1,"Ok","Check"))</f>
        <v>Ok</v>
      </c>
      <c r="K93" s="89" t="str">
        <f t="array" ref="K93">IF(ISBLANK(K84),IF(ISBLANK(K86:K91),"Ok","Check"),IF(SUM(K86:K91)=1,"Ok","Check"))</f>
        <v>Ok</v>
      </c>
      <c r="L93" s="89" t="str">
        <f t="array" ref="L93">IF(ISBLANK(L84),IF(ISBLANK(L86:L91),"Ok","Check"),IF(SUM(L86:L91)=1,"Ok","Check"))</f>
        <v>Ok</v>
      </c>
      <c r="M93" s="89" t="str">
        <f t="array" ref="M93">IF(ISBLANK(M84),IF(ISBLANK(M86:M91),"Ok","Check"),IF(SUM(M86:M91)=1,"Ok","Check"))</f>
        <v>Ok</v>
      </c>
      <c r="N93" s="89" t="str">
        <f t="array" ref="N93">IF(ISBLANK(N86:N91),"",IF(SUM(N86:N91)=1,"Ok","Check"))</f>
        <v/>
      </c>
      <c r="O93" s="89" t="str">
        <f t="array" ref="O93">IF(ISBLANK(O86:O91),"",IF(SUM(O86:O91)=1,"Ok","Check"))</f>
        <v/>
      </c>
      <c r="P93" s="89" t="str">
        <f t="array" ref="P93">IF(ISBLANK(P86:P91),"",IF(SUM(P86:P91)=1,"Ok","Check"))</f>
        <v/>
      </c>
      <c r="Q93" s="89" t="str">
        <f t="array" ref="Q93">IF(ISBLANK(Q86:Q91),"",IF(SUM(Q86:Q91)=1,"Ok","Check"))</f>
        <v/>
      </c>
      <c r="R93" s="89" t="str">
        <f t="array" ref="R93">IF(ISBLANK(R86:R91),"",IF(SUM(R86:R91)=1,"Ok","Check"))</f>
        <v/>
      </c>
      <c r="S93" s="89" t="str">
        <f t="array" ref="S93">IF(ISBLANK(S86:S91),"",IF(SUM(S86:S91)=1,"Ok","Check"))</f>
        <v/>
      </c>
      <c r="T93" s="89" t="str">
        <f t="array" ref="T93">IF(ISBLANK(T86:T91),"",IF(SUM(T86:T91)=1,"Ok","Check"))</f>
        <v/>
      </c>
      <c r="U93" s="89"/>
      <c r="V93" s="25"/>
      <c r="X93" s="88" t="str">
        <f>IF(COUNTIF(K93:T93,"Check")=0,"Ok","Check")</f>
        <v>Ok</v>
      </c>
    </row>
    <row r="94" spans="3:24" outlineLevel="1"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25"/>
      <c r="X94" s="89"/>
    </row>
    <row r="95" spans="3:24" outlineLevel="1">
      <c r="C95" s="9" t="s">
        <v>108</v>
      </c>
      <c r="D95" s="21" t="s">
        <v>33</v>
      </c>
      <c r="E95" s="21" t="s">
        <v>53</v>
      </c>
      <c r="F95" s="21" t="s">
        <v>56</v>
      </c>
      <c r="J95" s="114" t="str">
        <f t="shared" ref="J95:U95" si="49">IF(YEAR(J$4)&gt;=FPFirstYear,IF(YEAR(J$4)&lt;=FPLastYear,J$4,""),"")</f>
        <v/>
      </c>
      <c r="K95" s="114" t="str">
        <f t="shared" si="49"/>
        <v/>
      </c>
      <c r="L95" s="114" t="str">
        <f t="shared" si="49"/>
        <v/>
      </c>
      <c r="M95" s="114" t="str">
        <f t="shared" si="49"/>
        <v/>
      </c>
      <c r="N95" s="114" t="str">
        <f t="shared" si="49"/>
        <v/>
      </c>
      <c r="O95" s="114" t="str">
        <f t="shared" si="49"/>
        <v/>
      </c>
      <c r="P95" s="114">
        <f t="shared" si="49"/>
        <v>46174</v>
      </c>
      <c r="Q95" s="114">
        <f t="shared" si="49"/>
        <v>46539</v>
      </c>
      <c r="R95" s="114">
        <f t="shared" si="49"/>
        <v>46905</v>
      </c>
      <c r="S95" s="114">
        <f t="shared" si="49"/>
        <v>47270</v>
      </c>
      <c r="T95" s="114">
        <f t="shared" si="49"/>
        <v>47635</v>
      </c>
      <c r="U95" s="114" t="str">
        <f t="shared" si="49"/>
        <v/>
      </c>
      <c r="V95" s="25"/>
      <c r="X95" s="89"/>
    </row>
    <row r="96" spans="3:24" outlineLevel="1"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25"/>
      <c r="X96" s="89"/>
    </row>
    <row r="97" spans="1:34" outlineLevel="1">
      <c r="C97" s="103" t="str">
        <f t="array" ref="C97:C100">TRANSPOSE(J84:M84)</f>
        <v>No growth</v>
      </c>
      <c r="D97" s="16" t="s">
        <v>89</v>
      </c>
      <c r="E97" s="16" t="s">
        <v>104</v>
      </c>
      <c r="F97" s="16" t="s">
        <v>99</v>
      </c>
      <c r="J97" s="78" t="str">
        <f t="shared" ref="J97:S97" si="50">IF(J$95=J$4,SUMPRODUCT(J$77:J$82,$J$86:$J$91),"")</f>
        <v/>
      </c>
      <c r="K97" s="78" t="str">
        <f t="shared" si="50"/>
        <v/>
      </c>
      <c r="L97" s="78" t="str">
        <f t="shared" si="50"/>
        <v/>
      </c>
      <c r="M97" s="78" t="str">
        <f t="shared" si="50"/>
        <v/>
      </c>
      <c r="N97" s="78" t="str">
        <f t="shared" si="50"/>
        <v/>
      </c>
      <c r="O97" s="78" t="str">
        <f t="shared" si="50"/>
        <v/>
      </c>
      <c r="P97" s="78">
        <f t="shared" si="50"/>
        <v>4.9875415110389107E-3</v>
      </c>
      <c r="Q97" s="78">
        <f t="shared" si="50"/>
        <v>4.9875415110389818E-3</v>
      </c>
      <c r="R97" s="78">
        <f t="shared" si="50"/>
        <v>4.9875415110390113E-3</v>
      </c>
      <c r="S97" s="78">
        <f t="shared" si="50"/>
        <v>4.9875415110388864E-3</v>
      </c>
      <c r="T97" s="78">
        <f>IF(T$95=T$4,SUMPRODUCT(T$77:T$82,$J$86:$J$91),"")</f>
        <v>4.9875415110389038E-3</v>
      </c>
      <c r="U97" s="78" t="str">
        <f>IF(U$95=U$4,SUMPRODUCT(U$77:U$82,$J$86:$J$91),"")</f>
        <v/>
      </c>
      <c r="V97" s="25"/>
      <c r="X97" s="89"/>
    </row>
    <row r="98" spans="1:34" outlineLevel="1">
      <c r="C98" s="103">
        <v>0</v>
      </c>
      <c r="D98" s="16" t="s">
        <v>89</v>
      </c>
      <c r="E98" s="16" t="s">
        <v>104</v>
      </c>
      <c r="F98" s="16" t="s">
        <v>99</v>
      </c>
      <c r="J98" s="78" t="str">
        <f t="shared" ref="J98:S98" si="51">IF(J$95=J$4,SUMPRODUCT(J$77:J$82,$K$86:$K$91),"")</f>
        <v/>
      </c>
      <c r="K98" s="78" t="str">
        <f t="shared" si="51"/>
        <v/>
      </c>
      <c r="L98" s="78" t="str">
        <f t="shared" si="51"/>
        <v/>
      </c>
      <c r="M98" s="78" t="str">
        <f t="shared" si="51"/>
        <v/>
      </c>
      <c r="N98" s="78" t="str">
        <f t="shared" si="51"/>
        <v/>
      </c>
      <c r="O98" s="78" t="str">
        <f t="shared" si="51"/>
        <v/>
      </c>
      <c r="P98" s="78">
        <f t="shared" si="51"/>
        <v>0</v>
      </c>
      <c r="Q98" s="78">
        <f t="shared" si="51"/>
        <v>0</v>
      </c>
      <c r="R98" s="78">
        <f t="shared" si="51"/>
        <v>0</v>
      </c>
      <c r="S98" s="78">
        <f t="shared" si="51"/>
        <v>0</v>
      </c>
      <c r="T98" s="78">
        <f>IF(T$95=T$4,SUMPRODUCT(T$77:T$82,$K$86:$K$91),"")</f>
        <v>0</v>
      </c>
      <c r="U98" s="78" t="str">
        <f>IF(U$95=U$4,SUMPRODUCT(U$77:U$82,$K$86:$K$91),"")</f>
        <v/>
      </c>
      <c r="V98" s="25"/>
      <c r="X98" s="89"/>
    </row>
    <row r="99" spans="1:34" outlineLevel="1">
      <c r="C99" s="103">
        <v>0</v>
      </c>
      <c r="D99" s="16" t="s">
        <v>89</v>
      </c>
      <c r="E99" s="16" t="s">
        <v>104</v>
      </c>
      <c r="F99" s="16" t="s">
        <v>99</v>
      </c>
      <c r="J99" s="78" t="str">
        <f t="shared" ref="J99:S99" si="52">IF(J$95=J$4,SUMPRODUCT(J$77:J$82,$L$86:$L$91),"")</f>
        <v/>
      </c>
      <c r="K99" s="78" t="str">
        <f t="shared" si="52"/>
        <v/>
      </c>
      <c r="L99" s="78" t="str">
        <f t="shared" si="52"/>
        <v/>
      </c>
      <c r="M99" s="78" t="str">
        <f t="shared" si="52"/>
        <v/>
      </c>
      <c r="N99" s="78" t="str">
        <f t="shared" si="52"/>
        <v/>
      </c>
      <c r="O99" s="78" t="str">
        <f t="shared" si="52"/>
        <v/>
      </c>
      <c r="P99" s="78">
        <f t="shared" si="52"/>
        <v>0</v>
      </c>
      <c r="Q99" s="78">
        <f t="shared" si="52"/>
        <v>0</v>
      </c>
      <c r="R99" s="78">
        <f t="shared" si="52"/>
        <v>0</v>
      </c>
      <c r="S99" s="78">
        <f t="shared" si="52"/>
        <v>0</v>
      </c>
      <c r="T99" s="78">
        <f>IF(T$95=T$4,SUMPRODUCT(T$77:T$82,$L$86:$L$91),"")</f>
        <v>0</v>
      </c>
      <c r="U99" s="78" t="str">
        <f>IF(U$95=U$4,SUMPRODUCT(U$77:U$82,$L$86:$L$91),"")</f>
        <v/>
      </c>
      <c r="V99" s="25"/>
      <c r="X99" s="89"/>
    </row>
    <row r="100" spans="1:34" outlineLevel="1">
      <c r="C100" s="103">
        <v>0</v>
      </c>
      <c r="D100" s="16" t="s">
        <v>89</v>
      </c>
      <c r="E100" s="16" t="s">
        <v>104</v>
      </c>
      <c r="F100" s="16" t="s">
        <v>99</v>
      </c>
      <c r="J100" s="78" t="str">
        <f t="shared" ref="J100:S100" si="53">IF(J$95=J$4,SUMPRODUCT(J$77:J$82,$M$86:$M$91),"")</f>
        <v/>
      </c>
      <c r="K100" s="78" t="str">
        <f t="shared" si="53"/>
        <v/>
      </c>
      <c r="L100" s="78" t="str">
        <f t="shared" si="53"/>
        <v/>
      </c>
      <c r="M100" s="78" t="str">
        <f t="shared" si="53"/>
        <v/>
      </c>
      <c r="N100" s="78" t="str">
        <f t="shared" si="53"/>
        <v/>
      </c>
      <c r="O100" s="78" t="str">
        <f t="shared" si="53"/>
        <v/>
      </c>
      <c r="P100" s="78">
        <f t="shared" si="53"/>
        <v>0</v>
      </c>
      <c r="Q100" s="78">
        <f t="shared" si="53"/>
        <v>0</v>
      </c>
      <c r="R100" s="78">
        <f t="shared" si="53"/>
        <v>0</v>
      </c>
      <c r="S100" s="78">
        <f t="shared" si="53"/>
        <v>0</v>
      </c>
      <c r="T100" s="78">
        <f>IF(T$95=T$4,SUMPRODUCT(T$77:T$82,$M$86:$M$91),"")</f>
        <v>0</v>
      </c>
      <c r="U100" s="78" t="str">
        <f>IF(U$95=U$4,SUMPRODUCT(U$77:U$82,$M$86:$M$91),"")</f>
        <v/>
      </c>
      <c r="V100" s="25"/>
      <c r="X100" s="89"/>
    </row>
    <row r="101" spans="1:34" outlineLevel="1">
      <c r="C101" s="15"/>
      <c r="G101" s="21"/>
      <c r="H101" s="21"/>
      <c r="K101" s="24"/>
      <c r="L101" s="24"/>
      <c r="M101" s="24"/>
      <c r="N101" s="24"/>
      <c r="O101" s="24"/>
    </row>
    <row r="102" spans="1:34" customFormat="1" ht="12.75">
      <c r="A102" s="36"/>
      <c r="B102" s="42" t="s">
        <v>109</v>
      </c>
      <c r="C102" s="36"/>
      <c r="D102" s="36"/>
      <c r="E102" s="36"/>
      <c r="F102" s="37"/>
      <c r="G102" s="37"/>
      <c r="H102" s="37"/>
      <c r="I102" s="37"/>
      <c r="J102" s="37"/>
      <c r="K102" s="38"/>
      <c r="L102" s="39"/>
      <c r="M102" s="38"/>
      <c r="N102" s="39"/>
      <c r="O102" s="38"/>
      <c r="P102" s="38"/>
      <c r="Q102" s="38"/>
      <c r="R102" s="38"/>
      <c r="S102" s="38"/>
      <c r="T102" s="38"/>
      <c r="U102" s="38"/>
      <c r="V102" s="38"/>
      <c r="W102" s="38"/>
      <c r="X102" s="39"/>
      <c r="Y102" s="40"/>
      <c r="Z102" s="40"/>
      <c r="AA102" s="40"/>
      <c r="AB102" s="40"/>
      <c r="AC102" s="40"/>
      <c r="AD102" s="40"/>
      <c r="AE102" s="40"/>
      <c r="AF102" s="40"/>
      <c r="AG102" s="41"/>
      <c r="AH102" s="41"/>
    </row>
    <row r="103" spans="1:34" outlineLevel="1">
      <c r="G103" s="21"/>
      <c r="H103" s="21"/>
    </row>
    <row r="104" spans="1:34" outlineLevel="1">
      <c r="C104" s="9" t="s">
        <v>110</v>
      </c>
      <c r="D104" s="21" t="s">
        <v>33</v>
      </c>
      <c r="E104" s="21" t="s">
        <v>53</v>
      </c>
      <c r="F104" s="21" t="s">
        <v>56</v>
      </c>
      <c r="G104" s="21"/>
      <c r="H104" s="21"/>
      <c r="J104" s="114" t="str">
        <f t="shared" ref="J104:U104" si="54">IF(YEAR(J$4)&gt;=FPFirstYear,IF(YEAR(J$4)&lt;=FPLastYear,J$4,""),"")</f>
        <v/>
      </c>
      <c r="K104" s="114" t="str">
        <f t="shared" si="54"/>
        <v/>
      </c>
      <c r="L104" s="114" t="str">
        <f t="shared" si="54"/>
        <v/>
      </c>
      <c r="M104" s="114" t="str">
        <f t="shared" si="54"/>
        <v/>
      </c>
      <c r="N104" s="114" t="str">
        <f t="shared" si="54"/>
        <v/>
      </c>
      <c r="O104" s="114" t="str">
        <f t="shared" si="54"/>
        <v/>
      </c>
      <c r="P104" s="114">
        <f t="shared" si="54"/>
        <v>46174</v>
      </c>
      <c r="Q104" s="114">
        <f t="shared" si="54"/>
        <v>46539</v>
      </c>
      <c r="R104" s="114">
        <f t="shared" si="54"/>
        <v>46905</v>
      </c>
      <c r="S104" s="114">
        <f t="shared" si="54"/>
        <v>47270</v>
      </c>
      <c r="T104" s="114">
        <f t="shared" si="54"/>
        <v>47635</v>
      </c>
      <c r="U104" s="114" t="str">
        <f t="shared" si="54"/>
        <v/>
      </c>
    </row>
    <row r="105" spans="1:34" outlineLevel="1">
      <c r="C105" s="15"/>
      <c r="G105" s="21"/>
      <c r="H105" s="21"/>
      <c r="K105" s="24"/>
      <c r="L105" s="24"/>
      <c r="M105" s="24"/>
      <c r="N105" s="24"/>
      <c r="O105" s="24"/>
    </row>
    <row r="106" spans="1:34" outlineLevel="1">
      <c r="C106" s="15" t="s">
        <v>110</v>
      </c>
      <c r="D106" s="16" t="s">
        <v>95</v>
      </c>
      <c r="E106" s="16" t="str">
        <f>percent</f>
        <v>Per cent</v>
      </c>
      <c r="F106" s="16" t="s">
        <v>99</v>
      </c>
      <c r="G106" s="21"/>
      <c r="H106" s="21"/>
      <c r="J106" s="139"/>
      <c r="K106" s="134"/>
      <c r="L106" s="134"/>
      <c r="M106" s="134"/>
      <c r="N106" s="134"/>
      <c r="O106" s="117"/>
      <c r="P106" s="117">
        <v>5.0000000000000001E-3</v>
      </c>
      <c r="Q106" s="117">
        <v>5.0000000000000001E-3</v>
      </c>
      <c r="R106" s="117">
        <v>5.0000000000000001E-3</v>
      </c>
      <c r="S106" s="117">
        <v>5.0000000000000001E-3</v>
      </c>
      <c r="T106" s="117">
        <v>5.0000000000000001E-3</v>
      </c>
      <c r="U106" s="117"/>
    </row>
    <row r="107" spans="1:34" outlineLevel="1">
      <c r="C107" s="15"/>
      <c r="G107" s="21"/>
      <c r="H107" s="21"/>
      <c r="K107" s="24"/>
      <c r="L107" s="24"/>
      <c r="M107" s="24"/>
      <c r="N107" s="24"/>
      <c r="O107" s="24"/>
      <c r="P107" s="132"/>
      <c r="Q107" s="132"/>
      <c r="R107" s="132"/>
      <c r="S107" s="132"/>
      <c r="T107" s="132"/>
      <c r="U107" s="132"/>
    </row>
    <row r="108" spans="1:34" outlineLevel="1">
      <c r="C108" s="8" t="s">
        <v>97</v>
      </c>
      <c r="D108" s="16" t="s">
        <v>89</v>
      </c>
      <c r="E108" s="16" t="s">
        <v>98</v>
      </c>
      <c r="F108" s="16" t="s">
        <v>99</v>
      </c>
      <c r="J108" s="89" t="str">
        <f t="shared" ref="J108:R108" si="55">IF(J104=J$4,IF(ISBLANK(J106),"Check","Ok"),"")</f>
        <v/>
      </c>
      <c r="K108" s="89" t="str">
        <f t="shared" si="55"/>
        <v/>
      </c>
      <c r="L108" s="89" t="str">
        <f t="shared" si="55"/>
        <v/>
      </c>
      <c r="M108" s="89" t="str">
        <f t="shared" si="55"/>
        <v/>
      </c>
      <c r="N108" s="89" t="str">
        <f t="shared" si="55"/>
        <v/>
      </c>
      <c r="O108" s="89" t="str">
        <f t="shared" si="55"/>
        <v/>
      </c>
      <c r="P108" s="89" t="str">
        <f t="shared" si="55"/>
        <v>Ok</v>
      </c>
      <c r="Q108" s="89" t="str">
        <f t="shared" si="55"/>
        <v>Ok</v>
      </c>
      <c r="R108" s="89" t="str">
        <f t="shared" si="55"/>
        <v>Ok</v>
      </c>
      <c r="S108" s="89" t="str">
        <f>IF(S104=S$4,IF(ISBLANK(S106),"Check","Ok"),"")</f>
        <v>Ok</v>
      </c>
      <c r="T108" s="89" t="str">
        <f>IF(T104=T$4,IF(ISBLANK(T106),"Check","Ok"),"")</f>
        <v>Ok</v>
      </c>
      <c r="U108" s="89" t="str">
        <f>IF(U104=U$4,IF(ISBLANK(U106),"Check","Ok"),"")</f>
        <v/>
      </c>
      <c r="V108" s="25"/>
      <c r="X108" s="88" t="str">
        <f>IF(COUNTIF(J108:T108,"Check")=0,"Ok","Check")</f>
        <v>Ok</v>
      </c>
    </row>
    <row r="109" spans="1:34" outlineLevel="1">
      <c r="C109" s="15"/>
      <c r="G109" s="21"/>
      <c r="H109" s="21"/>
      <c r="K109" s="24"/>
      <c r="L109" s="24"/>
      <c r="M109" s="24"/>
      <c r="N109" s="24"/>
      <c r="O109" s="24"/>
    </row>
    <row r="110" spans="1:34" customFormat="1" ht="12.75">
      <c r="A110" s="36"/>
      <c r="B110" s="42" t="s">
        <v>23</v>
      </c>
      <c r="C110" s="36"/>
      <c r="D110" s="36"/>
      <c r="E110" s="36"/>
      <c r="F110" s="37"/>
      <c r="G110" s="37"/>
      <c r="H110" s="37"/>
      <c r="I110" s="37"/>
      <c r="J110" s="37"/>
      <c r="K110" s="38"/>
      <c r="L110" s="39"/>
      <c r="M110" s="38"/>
      <c r="N110" s="39"/>
      <c r="O110" s="38"/>
      <c r="P110" s="38"/>
      <c r="Q110" s="38"/>
      <c r="R110" s="38"/>
      <c r="S110" s="38"/>
      <c r="T110" s="38"/>
      <c r="U110" s="38"/>
      <c r="V110" s="38"/>
      <c r="W110" s="38"/>
      <c r="X110" s="39"/>
      <c r="Y110" s="40"/>
      <c r="Z110" s="40"/>
      <c r="AA110" s="40"/>
      <c r="AB110" s="40"/>
      <c r="AC110" s="40"/>
      <c r="AD110" s="40"/>
      <c r="AE110" s="40"/>
      <c r="AF110" s="40"/>
      <c r="AG110" s="41"/>
      <c r="AH110" s="41"/>
    </row>
  </sheetData>
  <mergeCells count="2">
    <mergeCell ref="K3:M3"/>
    <mergeCell ref="O3:T3"/>
  </mergeCells>
  <conditionalFormatting sqref="J38:T40">
    <cfRule type="expression" dxfId="102" priority="1">
      <formula>J$36=J$4</formula>
    </cfRule>
  </conditionalFormatting>
  <conditionalFormatting sqref="J16:U22">
    <cfRule type="cellIs" dxfId="101" priority="14" operator="equal">
      <formula>0</formula>
    </cfRule>
  </conditionalFormatting>
  <conditionalFormatting sqref="J26:U32">
    <cfRule type="cellIs" dxfId="100" priority="15" operator="equal">
      <formula>0</formula>
    </cfRule>
  </conditionalFormatting>
  <conditionalFormatting sqref="J36:U36">
    <cfRule type="expression" dxfId="99" priority="49">
      <formula>J$36=J$4</formula>
    </cfRule>
  </conditionalFormatting>
  <conditionalFormatting sqref="J41:U45">
    <cfRule type="expression" dxfId="98" priority="47">
      <formula>J$36=J$4</formula>
    </cfRule>
  </conditionalFormatting>
  <conditionalFormatting sqref="J47:U47">
    <cfRule type="cellIs" dxfId="97" priority="34" operator="equal">
      <formula>"Check"</formula>
    </cfRule>
    <cfRule type="cellIs" dxfId="96" priority="35" operator="equal">
      <formula>"Ok"</formula>
    </cfRule>
  </conditionalFormatting>
  <conditionalFormatting sqref="J49:U49">
    <cfRule type="expression" dxfId="95" priority="19">
      <formula>J$36=J$4</formula>
    </cfRule>
  </conditionalFormatting>
  <conditionalFormatting sqref="J51:U58">
    <cfRule type="expression" dxfId="94" priority="3">
      <formula>J$49=J$4</formula>
    </cfRule>
  </conditionalFormatting>
  <conditionalFormatting sqref="J60:U60">
    <cfRule type="cellIs" dxfId="93" priority="58" operator="equal">
      <formula>"Check"</formula>
    </cfRule>
    <cfRule type="cellIs" dxfId="92" priority="59" operator="equal">
      <formula>"Ok"</formula>
    </cfRule>
  </conditionalFormatting>
  <conditionalFormatting sqref="J64:U64">
    <cfRule type="expression" dxfId="91" priority="24">
      <formula>J$64=J$4</formula>
    </cfRule>
  </conditionalFormatting>
  <conditionalFormatting sqref="J66:U71">
    <cfRule type="expression" dxfId="90" priority="22">
      <formula>J$64=J$4</formula>
    </cfRule>
  </conditionalFormatting>
  <conditionalFormatting sqref="J73:U73">
    <cfRule type="cellIs" dxfId="89" priority="30" operator="equal">
      <formula>"Check"</formula>
    </cfRule>
    <cfRule type="cellIs" dxfId="88" priority="31" operator="equal">
      <formula>"Ok"</formula>
    </cfRule>
  </conditionalFormatting>
  <conditionalFormatting sqref="J75:U75">
    <cfRule type="expression" dxfId="87" priority="18">
      <formula>J$36=J$4</formula>
    </cfRule>
  </conditionalFormatting>
  <conditionalFormatting sqref="J93:U94 J96:U96">
    <cfRule type="cellIs" dxfId="86" priority="7" operator="equal">
      <formula>"Check"</formula>
    </cfRule>
    <cfRule type="cellIs" dxfId="85" priority="8" operator="equal">
      <formula>"Ok"</formula>
    </cfRule>
  </conditionalFormatting>
  <conditionalFormatting sqref="J95:U95">
    <cfRule type="expression" dxfId="84" priority="6">
      <formula>J$95=J$4</formula>
    </cfRule>
  </conditionalFormatting>
  <conditionalFormatting sqref="J104:U104">
    <cfRule type="expression" dxfId="83" priority="17">
      <formula>J$36=J$4</formula>
    </cfRule>
  </conditionalFormatting>
  <conditionalFormatting sqref="J106:U106">
    <cfRule type="expression" dxfId="82" priority="119">
      <formula>J$104=J$4</formula>
    </cfRule>
  </conditionalFormatting>
  <conditionalFormatting sqref="J108:U108">
    <cfRule type="cellIs" dxfId="81" priority="38" operator="equal">
      <formula>"Check"</formula>
    </cfRule>
    <cfRule type="cellIs" dxfId="80" priority="39" operator="equal">
      <formula>"Ok"</formula>
    </cfRule>
  </conditionalFormatting>
  <conditionalFormatting sqref="L86:M87 K88:M91">
    <cfRule type="expression" dxfId="79" priority="5">
      <formula>K$84=K$4</formula>
    </cfRule>
  </conditionalFormatting>
  <conditionalFormatting sqref="T1:U1">
    <cfRule type="cellIs" dxfId="78" priority="78" operator="equal">
      <formula>"Check"</formula>
    </cfRule>
    <cfRule type="cellIs" dxfId="77" priority="79" operator="equal">
      <formula>"Ok"</formula>
    </cfRule>
  </conditionalFormatting>
  <conditionalFormatting sqref="X1">
    <cfRule type="cellIs" dxfId="76" priority="114" operator="equal">
      <formula>"Check"</formula>
    </cfRule>
    <cfRule type="cellIs" dxfId="75" priority="115" operator="equal">
      <formula>"Ok"</formula>
    </cfRule>
  </conditionalFormatting>
  <conditionalFormatting sqref="X47">
    <cfRule type="cellIs" dxfId="74" priority="36" operator="equal">
      <formula>"Check"</formula>
    </cfRule>
    <cfRule type="cellIs" dxfId="73" priority="37" operator="equal">
      <formula>"Ok"</formula>
    </cfRule>
  </conditionalFormatting>
  <conditionalFormatting sqref="X60">
    <cfRule type="cellIs" dxfId="72" priority="66" operator="equal">
      <formula>"Check"</formula>
    </cfRule>
    <cfRule type="cellIs" dxfId="71" priority="67" operator="equal">
      <formula>"Ok"</formula>
    </cfRule>
  </conditionalFormatting>
  <conditionalFormatting sqref="X73">
    <cfRule type="cellIs" dxfId="70" priority="32" operator="equal">
      <formula>"Check"</formula>
    </cfRule>
    <cfRule type="cellIs" dxfId="69" priority="33" operator="equal">
      <formula>"Ok"</formula>
    </cfRule>
  </conditionalFormatting>
  <conditionalFormatting sqref="X93:X100">
    <cfRule type="cellIs" dxfId="68" priority="10" operator="equal">
      <formula>"Check"</formula>
    </cfRule>
    <cfRule type="cellIs" dxfId="67" priority="11" operator="equal">
      <formula>"Ok"</formula>
    </cfRule>
  </conditionalFormatting>
  <conditionalFormatting sqref="X108">
    <cfRule type="cellIs" dxfId="66" priority="40" operator="equal">
      <formula>"Check"</formula>
    </cfRule>
    <cfRule type="cellIs" dxfId="65" priority="41" operator="equal">
      <formula>"Ok"</formula>
    </cfRule>
  </conditionalFormatting>
  <dataValidations disablePrompts="1" count="1">
    <dataValidation type="list" allowBlank="1" showInputMessage="1" showErrorMessage="1" sqref="F109 F74 F101 F85 F83" xr:uid="{00000000-0002-0000-0400-000000000000}">
      <formula1>#REF!</formula1>
    </dataValidation>
  </dataValidations>
  <hyperlinks>
    <hyperlink ref="K1" location="Index!A1" display="Back to Index" xr:uid="{00000000-0004-0000-0400-000000000000}"/>
    <hyperlink ref="W1" location="'Check|List'!A1" display="Overall Check:" xr:uid="{00000000-0004-0000-04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FF99"/>
  </sheetPr>
  <dimension ref="A1:AU54"/>
  <sheetViews>
    <sheetView showGridLines="0" topLeftCell="A19" zoomScale="115" zoomScaleNormal="115" workbookViewId="0">
      <selection activeCell="O30" sqref="O30"/>
    </sheetView>
  </sheetViews>
  <sheetFormatPr defaultColWidth="0" defaultRowHeight="11.25" zeroHeight="1" outlineLevelRow="1"/>
  <cols>
    <col min="1" max="2" width="1.5" style="8" customWidth="1"/>
    <col min="3" max="3" width="48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3" width="10.83203125" style="8" customWidth="1"/>
    <col min="24" max="47" width="10.5" style="8" hidden="1" customWidth="1"/>
    <col min="48" max="16384" width="0" style="8" hidden="1"/>
  </cols>
  <sheetData>
    <row r="1" spans="1:30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tr">
        <f>IF(COUNTA($W$8:$W$237)=COUNTIF($W$8:$W$237,"OK"),"OK","Check")</f>
        <v>OK</v>
      </c>
      <c r="U1" s="129" t="s">
        <v>30</v>
      </c>
      <c r="V1" s="34" t="str">
        <f>'Check|List'!$S$1</f>
        <v>Ok</v>
      </c>
    </row>
    <row r="2" spans="1:30" s="35" customFormat="1" ht="13.5" thickBot="1">
      <c r="A2" s="165"/>
      <c r="B2" s="166" t="str">
        <f>Index!$C$11</f>
        <v>Input | Step changes</v>
      </c>
      <c r="C2" s="166"/>
      <c r="D2" s="166"/>
      <c r="E2" s="166"/>
      <c r="F2" s="168"/>
      <c r="G2" s="168"/>
      <c r="H2" s="168"/>
      <c r="I2" s="168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</row>
    <row r="3" spans="1:30" s="59" customFormat="1">
      <c r="D3" s="125"/>
      <c r="E3" s="125"/>
      <c r="F3" s="125"/>
      <c r="G3" s="125"/>
      <c r="H3" s="125"/>
      <c r="I3" s="125"/>
      <c r="J3" s="110" t="s">
        <v>41</v>
      </c>
      <c r="K3" s="119"/>
      <c r="L3" s="119"/>
      <c r="M3" s="125"/>
      <c r="N3" s="171"/>
      <c r="O3" s="171"/>
      <c r="P3" s="171"/>
      <c r="Q3" s="171"/>
      <c r="R3" s="171"/>
      <c r="S3" s="171"/>
      <c r="T3" s="60"/>
      <c r="U3" s="60"/>
      <c r="V3" s="60"/>
      <c r="W3" s="60"/>
      <c r="X3" s="60"/>
      <c r="Y3" s="60"/>
      <c r="Z3" s="60"/>
    </row>
    <row r="4" spans="1:30" customFormat="1">
      <c r="A4" s="61"/>
      <c r="B4" s="61"/>
      <c r="C4" s="61"/>
      <c r="D4" s="62" t="s">
        <v>33</v>
      </c>
      <c r="E4" s="62" t="s">
        <v>53</v>
      </c>
      <c r="F4" s="63" t="s">
        <v>56</v>
      </c>
      <c r="G4" s="64"/>
      <c r="H4" s="64"/>
      <c r="I4" s="64"/>
      <c r="J4" s="108">
        <f>DATE(PPFirstYear,MONTH('Input|General'!$G$9),1)</f>
        <v>44348</v>
      </c>
      <c r="K4" s="108">
        <f>DATE(PPFirstYear+1,MONTH('Input|General'!$G$9),1)</f>
        <v>44713</v>
      </c>
      <c r="L4" s="108">
        <f>DATE(PPFirstYear+2,MONTH('Input|General'!$G$9),1)</f>
        <v>45078</v>
      </c>
      <c r="M4" s="108">
        <f>DATE(PPFirstYear+3,MONTH('Input|General'!$G$9),1)</f>
        <v>45444</v>
      </c>
      <c r="N4" s="108">
        <f>DATE(PPFirstYear+4,MONTH('Input|General'!$G$9),1)</f>
        <v>45809</v>
      </c>
      <c r="O4" s="108">
        <f>DATE(PPFirstYear+5,MONTH('Input|General'!$G$9),1)</f>
        <v>46174</v>
      </c>
      <c r="P4" s="108">
        <f>DATE(PPFirstYear+6,MONTH('Input|General'!$G$9),1)</f>
        <v>46539</v>
      </c>
      <c r="Q4" s="108">
        <f>DATE(PPFirstYear+7,MONTH('Input|General'!$G$9),1)</f>
        <v>46905</v>
      </c>
      <c r="R4" s="108">
        <f>DATE(PPFirstYear+8,MONTH('Input|General'!$G$9),1)</f>
        <v>47270</v>
      </c>
      <c r="S4" s="108">
        <f>DATE(PPFirstYear+9,MONTH('Input|General'!$G$9),1)</f>
        <v>47635</v>
      </c>
      <c r="T4" s="108">
        <f>DATE(PPFirstYear+10,MONTH('Input|General'!$G$9),1)</f>
        <v>48000</v>
      </c>
      <c r="U4" s="65"/>
      <c r="V4" s="66"/>
      <c r="W4" s="66"/>
    </row>
    <row r="5" spans="1:30" s="6" customFormat="1" ht="3" customHeight="1">
      <c r="D5" s="22"/>
      <c r="E5" s="22"/>
      <c r="F5" s="22"/>
      <c r="G5" s="22"/>
      <c r="H5" s="22"/>
      <c r="I5" s="22"/>
    </row>
    <row r="6" spans="1:30" s="6" customFormat="1" ht="9" customHeight="1">
      <c r="D6" s="22"/>
      <c r="E6" s="22"/>
      <c r="F6" s="22"/>
      <c r="G6" s="22"/>
      <c r="H6" s="22"/>
      <c r="I6" s="22"/>
    </row>
    <row r="7" spans="1:30" s="6" customFormat="1" ht="3" customHeight="1">
      <c r="D7" s="22"/>
      <c r="E7" s="22"/>
      <c r="F7" s="22"/>
      <c r="G7" s="22"/>
      <c r="H7" s="22"/>
      <c r="I7" s="22"/>
    </row>
    <row r="8" spans="1:30" customFormat="1" ht="12.75">
      <c r="A8" s="36"/>
      <c r="B8" s="42" t="s">
        <v>111</v>
      </c>
      <c r="C8" s="36"/>
      <c r="D8" s="36"/>
      <c r="E8" s="36"/>
      <c r="F8" s="37"/>
      <c r="G8" s="37"/>
      <c r="H8" s="37"/>
      <c r="I8" s="37"/>
      <c r="J8" s="38"/>
      <c r="K8" s="39"/>
      <c r="L8" s="38"/>
      <c r="M8" s="39"/>
      <c r="N8" s="38"/>
      <c r="O8" s="38"/>
      <c r="P8" s="38"/>
      <c r="Q8" s="38"/>
      <c r="R8" s="38"/>
      <c r="S8" s="38"/>
      <c r="T8" s="38"/>
      <c r="U8" s="38"/>
      <c r="V8" s="39"/>
      <c r="W8" s="39"/>
      <c r="X8" s="40"/>
      <c r="Y8" s="40"/>
      <c r="Z8" s="40"/>
      <c r="AA8" s="40"/>
      <c r="AB8" s="40"/>
      <c r="AC8" s="41"/>
      <c r="AD8" s="41"/>
    </row>
    <row r="9" spans="1:30" outlineLevel="1">
      <c r="G9" s="21"/>
      <c r="H9" s="21"/>
    </row>
    <row r="10" spans="1:30" outlineLevel="1">
      <c r="C10" s="9" t="s">
        <v>112</v>
      </c>
      <c r="D10" s="21" t="s">
        <v>33</v>
      </c>
      <c r="E10" s="21" t="s">
        <v>53</v>
      </c>
      <c r="F10" s="21" t="s">
        <v>56</v>
      </c>
      <c r="G10" s="21"/>
      <c r="H10" s="21"/>
      <c r="I10" s="114"/>
      <c r="J10" s="114" t="str">
        <f t="shared" ref="J10:T10" si="0">IF(YEAR(J$4)&gt;=FPFirstYear,IF(YEAR(J$4)&lt;=FPLastYear,J$4,""),"")</f>
        <v/>
      </c>
      <c r="K10" s="114" t="str">
        <f t="shared" si="0"/>
        <v/>
      </c>
      <c r="L10" s="114" t="str">
        <f t="shared" si="0"/>
        <v/>
      </c>
      <c r="M10" s="114" t="str">
        <f t="shared" si="0"/>
        <v/>
      </c>
      <c r="N10" s="114" t="str">
        <f t="shared" si="0"/>
        <v/>
      </c>
      <c r="O10" s="114">
        <f t="shared" si="0"/>
        <v>46174</v>
      </c>
      <c r="P10" s="114">
        <f t="shared" si="0"/>
        <v>46539</v>
      </c>
      <c r="Q10" s="114">
        <f t="shared" si="0"/>
        <v>46905</v>
      </c>
      <c r="R10" s="114">
        <f t="shared" si="0"/>
        <v>47270</v>
      </c>
      <c r="S10" s="114">
        <f t="shared" si="0"/>
        <v>47635</v>
      </c>
      <c r="T10" s="114" t="str">
        <f t="shared" si="0"/>
        <v/>
      </c>
    </row>
    <row r="11" spans="1:30" outlineLevel="1">
      <c r="G11" s="21"/>
      <c r="H11" s="21"/>
    </row>
    <row r="12" spans="1:30" outlineLevel="1">
      <c r="C12" s="52" t="s">
        <v>113</v>
      </c>
      <c r="D12" s="16" t="s">
        <v>39</v>
      </c>
      <c r="E12" s="16" t="str">
        <f t="shared" ref="E12:E20" si="1">units</f>
        <v>$millions</v>
      </c>
      <c r="F12" s="148">
        <f t="shared" ref="F12:F20" si="2">DATE(PPLastYear,MONTH(month),1)</f>
        <v>45809</v>
      </c>
      <c r="G12" s="21"/>
      <c r="H12" s="21"/>
      <c r="J12" s="105"/>
      <c r="K12" s="105"/>
      <c r="L12" s="105"/>
      <c r="M12" s="105"/>
      <c r="N12" s="105"/>
      <c r="O12" s="118">
        <f>1.5/'Input|Inflation'!F68*'Input|Inflation'!F82</f>
        <v>1.7710830074196209</v>
      </c>
      <c r="P12" s="118">
        <f>O12</f>
        <v>1.7710830074196209</v>
      </c>
      <c r="Q12" s="118">
        <f t="shared" ref="Q12" si="3">P12</f>
        <v>1.7710830074196209</v>
      </c>
      <c r="R12" s="118">
        <v>0</v>
      </c>
      <c r="S12" s="118">
        <v>0</v>
      </c>
      <c r="T12" s="118"/>
    </row>
    <row r="13" spans="1:30" outlineLevel="1">
      <c r="C13" s="52"/>
      <c r="D13" s="16" t="s">
        <v>39</v>
      </c>
      <c r="E13" s="16" t="str">
        <f t="shared" si="1"/>
        <v>$millions</v>
      </c>
      <c r="F13" s="148">
        <f t="shared" si="2"/>
        <v>45809</v>
      </c>
      <c r="G13" s="21"/>
      <c r="H13" s="21"/>
      <c r="J13" s="105"/>
      <c r="K13" s="105"/>
      <c r="L13" s="105"/>
      <c r="M13" s="105"/>
      <c r="N13" s="105"/>
      <c r="O13" s="118"/>
      <c r="P13" s="118"/>
      <c r="Q13" s="118"/>
      <c r="R13" s="118"/>
      <c r="S13" s="118"/>
      <c r="T13" s="118"/>
    </row>
    <row r="14" spans="1:30" outlineLevel="1">
      <c r="C14" s="52"/>
      <c r="D14" s="16" t="s">
        <v>39</v>
      </c>
      <c r="E14" s="16" t="str">
        <f t="shared" si="1"/>
        <v>$millions</v>
      </c>
      <c r="F14" s="148">
        <f t="shared" si="2"/>
        <v>45809</v>
      </c>
      <c r="G14" s="21"/>
      <c r="H14" s="21"/>
      <c r="J14" s="105"/>
      <c r="K14" s="105"/>
      <c r="L14" s="105"/>
      <c r="M14" s="105"/>
      <c r="N14" s="105"/>
      <c r="O14" s="118"/>
      <c r="P14" s="118"/>
      <c r="Q14" s="118"/>
      <c r="R14" s="118"/>
      <c r="S14" s="118"/>
      <c r="T14" s="118"/>
    </row>
    <row r="15" spans="1:30" outlineLevel="1">
      <c r="C15" s="52"/>
      <c r="D15" s="16" t="s">
        <v>39</v>
      </c>
      <c r="E15" s="16" t="str">
        <f t="shared" si="1"/>
        <v>$millions</v>
      </c>
      <c r="F15" s="148">
        <f t="shared" si="2"/>
        <v>45809</v>
      </c>
      <c r="G15" s="21"/>
      <c r="H15" s="21"/>
      <c r="J15" s="105"/>
      <c r="K15" s="105"/>
      <c r="L15" s="105"/>
      <c r="M15" s="105"/>
      <c r="N15" s="105"/>
      <c r="O15" s="118"/>
      <c r="P15" s="118"/>
      <c r="Q15" s="118"/>
      <c r="R15" s="118"/>
      <c r="S15" s="118"/>
      <c r="T15" s="118"/>
    </row>
    <row r="16" spans="1:30" outlineLevel="1">
      <c r="C16" s="52"/>
      <c r="D16" s="16" t="s">
        <v>39</v>
      </c>
      <c r="E16" s="16" t="str">
        <f t="shared" si="1"/>
        <v>$millions</v>
      </c>
      <c r="F16" s="148">
        <f t="shared" si="2"/>
        <v>45809</v>
      </c>
      <c r="G16" s="21"/>
      <c r="H16" s="21"/>
      <c r="J16" s="105"/>
      <c r="K16" s="105"/>
      <c r="L16" s="105"/>
      <c r="M16" s="105"/>
      <c r="N16" s="105"/>
      <c r="O16" s="118"/>
      <c r="P16" s="118"/>
      <c r="Q16" s="118"/>
      <c r="R16" s="118"/>
      <c r="S16" s="118"/>
      <c r="T16" s="118"/>
    </row>
    <row r="17" spans="1:30" outlineLevel="1">
      <c r="C17" s="52"/>
      <c r="D17" s="16" t="s">
        <v>39</v>
      </c>
      <c r="E17" s="16" t="str">
        <f t="shared" si="1"/>
        <v>$millions</v>
      </c>
      <c r="F17" s="148">
        <f t="shared" si="2"/>
        <v>45809</v>
      </c>
      <c r="G17" s="21"/>
      <c r="H17" s="21"/>
      <c r="J17" s="105"/>
      <c r="K17" s="105"/>
      <c r="L17" s="105"/>
      <c r="M17" s="105"/>
      <c r="N17" s="105"/>
      <c r="O17" s="118"/>
      <c r="P17" s="118"/>
      <c r="Q17" s="118"/>
      <c r="R17" s="118"/>
      <c r="S17" s="118"/>
      <c r="T17" s="118"/>
    </row>
    <row r="18" spans="1:30" outlineLevel="1">
      <c r="C18" s="52"/>
      <c r="D18" s="16" t="s">
        <v>39</v>
      </c>
      <c r="E18" s="16" t="str">
        <f t="shared" si="1"/>
        <v>$millions</v>
      </c>
      <c r="F18" s="148">
        <f t="shared" si="2"/>
        <v>45809</v>
      </c>
      <c r="G18" s="21"/>
      <c r="H18" s="21"/>
      <c r="J18" s="105"/>
      <c r="K18" s="105"/>
      <c r="L18" s="105"/>
      <c r="M18" s="105"/>
      <c r="N18" s="105"/>
      <c r="O18" s="118"/>
      <c r="P18" s="118"/>
      <c r="Q18" s="118"/>
      <c r="R18" s="118"/>
      <c r="S18" s="118"/>
      <c r="T18" s="118"/>
    </row>
    <row r="19" spans="1:30" outlineLevel="1">
      <c r="C19" s="52"/>
      <c r="D19" s="16" t="s">
        <v>39</v>
      </c>
      <c r="E19" s="16" t="str">
        <f t="shared" si="1"/>
        <v>$millions</v>
      </c>
      <c r="F19" s="148">
        <f t="shared" si="2"/>
        <v>45809</v>
      </c>
      <c r="G19" s="21"/>
      <c r="H19" s="21"/>
      <c r="J19" s="105"/>
      <c r="K19" s="105"/>
      <c r="L19" s="105"/>
      <c r="M19" s="105"/>
      <c r="N19" s="105"/>
      <c r="O19" s="118"/>
      <c r="P19" s="118"/>
      <c r="Q19" s="118"/>
      <c r="R19" s="118"/>
      <c r="S19" s="118"/>
      <c r="T19" s="118"/>
    </row>
    <row r="20" spans="1:30" outlineLevel="1">
      <c r="C20" s="52"/>
      <c r="D20" s="16" t="s">
        <v>39</v>
      </c>
      <c r="E20" s="16" t="str">
        <f t="shared" si="1"/>
        <v>$millions</v>
      </c>
      <c r="F20" s="148">
        <f t="shared" si="2"/>
        <v>45809</v>
      </c>
      <c r="G20" s="21"/>
      <c r="H20" s="21"/>
      <c r="J20" s="105"/>
      <c r="K20" s="105"/>
      <c r="L20" s="105"/>
      <c r="M20" s="105"/>
      <c r="N20" s="105"/>
      <c r="O20" s="118"/>
      <c r="P20" s="118"/>
      <c r="Q20" s="118"/>
      <c r="R20" s="118"/>
      <c r="S20" s="118"/>
      <c r="T20" s="118"/>
    </row>
    <row r="21" spans="1:30" outlineLevel="1">
      <c r="G21" s="21"/>
      <c r="H21" s="21"/>
    </row>
    <row r="22" spans="1:30" outlineLevel="1">
      <c r="C22" s="8" t="s">
        <v>97</v>
      </c>
      <c r="D22" s="16" t="s">
        <v>89</v>
      </c>
      <c r="E22" s="16" t="s">
        <v>98</v>
      </c>
      <c r="F22" s="16" t="s">
        <v>99</v>
      </c>
      <c r="J22" s="89" t="str">
        <f t="shared" ref="J22:S22" si="4">IF(J10=J4,IF(COUNTA($C12:$C20)=COUNT(J12:J20),"Ok","Check"),"")</f>
        <v/>
      </c>
      <c r="K22" s="89" t="str">
        <f t="shared" si="4"/>
        <v/>
      </c>
      <c r="L22" s="89" t="str">
        <f t="shared" si="4"/>
        <v/>
      </c>
      <c r="M22" s="89" t="str">
        <f t="shared" si="4"/>
        <v/>
      </c>
      <c r="N22" s="89" t="str">
        <f t="shared" si="4"/>
        <v/>
      </c>
      <c r="O22" s="89" t="str">
        <f t="shared" si="4"/>
        <v>Ok</v>
      </c>
      <c r="P22" s="89" t="str">
        <f t="shared" si="4"/>
        <v>Ok</v>
      </c>
      <c r="Q22" s="89" t="str">
        <f t="shared" si="4"/>
        <v>Ok</v>
      </c>
      <c r="R22" s="89" t="str">
        <f t="shared" si="4"/>
        <v>Ok</v>
      </c>
      <c r="S22" s="89" t="str">
        <f t="shared" si="4"/>
        <v>Ok</v>
      </c>
      <c r="T22" s="89" t="str">
        <f t="shared" ref="T22" si="5">IF(T10=T4,IF(COUNTA($C12:$C20)=COUNT(T12:T20),"Ok","Check"),"")</f>
        <v/>
      </c>
      <c r="U22" s="25"/>
      <c r="W22" s="88" t="str">
        <f>IF(COUNTIF(J22:T22,"Check")=0,"Ok","Check")</f>
        <v>Ok</v>
      </c>
    </row>
    <row r="23" spans="1:30">
      <c r="G23" s="21"/>
      <c r="H23" s="21"/>
    </row>
    <row r="24" spans="1:30" customFormat="1" ht="12.75">
      <c r="A24" s="36"/>
      <c r="B24" s="42" t="s">
        <v>114</v>
      </c>
      <c r="C24" s="36"/>
      <c r="D24" s="36"/>
      <c r="E24" s="36"/>
      <c r="F24" s="37"/>
      <c r="G24" s="37"/>
      <c r="H24" s="37"/>
      <c r="I24" s="37"/>
      <c r="J24" s="38"/>
      <c r="K24" s="39"/>
      <c r="L24" s="38"/>
      <c r="M24" s="39"/>
      <c r="N24" s="38"/>
      <c r="O24" s="38"/>
      <c r="P24" s="38"/>
      <c r="Q24" s="38"/>
      <c r="R24" s="38"/>
      <c r="S24" s="38"/>
      <c r="T24" s="38"/>
      <c r="U24" s="38"/>
      <c r="V24" s="39"/>
      <c r="W24" s="39"/>
      <c r="X24" s="40"/>
      <c r="Y24" s="40"/>
      <c r="Z24" s="40"/>
      <c r="AA24" s="40"/>
      <c r="AB24" s="40"/>
      <c r="AC24" s="41"/>
      <c r="AD24" s="41"/>
    </row>
    <row r="25" spans="1:30" outlineLevel="1">
      <c r="G25" s="21"/>
      <c r="H25" s="21"/>
    </row>
    <row r="26" spans="1:30" outlineLevel="1">
      <c r="C26" s="9" t="s">
        <v>115</v>
      </c>
      <c r="D26" s="21" t="s">
        <v>33</v>
      </c>
      <c r="E26" s="21" t="s">
        <v>53</v>
      </c>
      <c r="F26" s="21" t="s">
        <v>56</v>
      </c>
      <c r="G26" s="21"/>
      <c r="H26" s="21"/>
      <c r="J26" s="114" t="str">
        <f t="shared" ref="J26:T26" si="6">IF(YEAR(J$4)&gt;=FPFirstYear,IF(YEAR(J$4)&lt;=FPLastYear,J$4,""),"")</f>
        <v/>
      </c>
      <c r="K26" s="114" t="str">
        <f t="shared" si="6"/>
        <v/>
      </c>
      <c r="L26" s="114" t="str">
        <f t="shared" si="6"/>
        <v/>
      </c>
      <c r="M26" s="114" t="str">
        <f t="shared" si="6"/>
        <v/>
      </c>
      <c r="N26" s="114" t="str">
        <f t="shared" si="6"/>
        <v/>
      </c>
      <c r="O26" s="114">
        <f t="shared" si="6"/>
        <v>46174</v>
      </c>
      <c r="P26" s="114">
        <f t="shared" si="6"/>
        <v>46539</v>
      </c>
      <c r="Q26" s="114">
        <f t="shared" si="6"/>
        <v>46905</v>
      </c>
      <c r="R26" s="114">
        <f t="shared" si="6"/>
        <v>47270</v>
      </c>
      <c r="S26" s="114">
        <f t="shared" si="6"/>
        <v>47635</v>
      </c>
      <c r="T26" s="114" t="str">
        <f t="shared" si="6"/>
        <v/>
      </c>
    </row>
    <row r="27" spans="1:30" outlineLevel="1">
      <c r="G27" s="21"/>
      <c r="H27" s="21"/>
    </row>
    <row r="28" spans="1:30" outlineLevel="1">
      <c r="C28" s="162" t="s">
        <v>76</v>
      </c>
      <c r="D28" s="16" t="s">
        <v>39</v>
      </c>
      <c r="E28" s="16" t="str">
        <f>units</f>
        <v>$millions</v>
      </c>
      <c r="F28" s="148">
        <f>DATE(PPLastYear,MONTH(month),1)</f>
        <v>45809</v>
      </c>
      <c r="G28" s="21"/>
      <c r="H28" s="21"/>
      <c r="J28" s="105"/>
      <c r="K28" s="105"/>
      <c r="L28" s="105"/>
      <c r="M28" s="105"/>
      <c r="N28" s="118"/>
      <c r="O28" s="118">
        <v>11.068040511977244</v>
      </c>
      <c r="P28" s="118">
        <v>11.660838498616441</v>
      </c>
      <c r="Q28" s="118">
        <v>12.001658683305999</v>
      </c>
      <c r="R28" s="118">
        <v>12.326305560653612</v>
      </c>
      <c r="S28" s="118">
        <v>12.592775141583546</v>
      </c>
      <c r="T28" s="118"/>
    </row>
    <row r="29" spans="1:30" outlineLevel="1">
      <c r="C29" s="162" t="s">
        <v>116</v>
      </c>
      <c r="D29" s="16" t="s">
        <v>39</v>
      </c>
      <c r="E29" s="16" t="str">
        <f>units</f>
        <v>$millions</v>
      </c>
      <c r="F29" s="148">
        <f>DATE(PPLastYear,MONTH(month),1)</f>
        <v>45809</v>
      </c>
      <c r="G29" s="21"/>
      <c r="H29" s="21"/>
      <c r="J29" s="105"/>
      <c r="K29" s="105"/>
      <c r="L29" s="105"/>
      <c r="M29" s="105"/>
      <c r="N29" s="118"/>
      <c r="O29" s="118">
        <v>2.9542052839759831</v>
      </c>
      <c r="P29" s="118">
        <v>2.9762465249701728</v>
      </c>
      <c r="Q29" s="118">
        <v>2.9946838411600467</v>
      </c>
      <c r="R29" s="118">
        <v>3.0190204915497949</v>
      </c>
      <c r="S29" s="118">
        <v>3.046785242989893</v>
      </c>
      <c r="T29" s="118"/>
    </row>
    <row r="30" spans="1:30" outlineLevel="1">
      <c r="C30" s="162" t="s">
        <v>117</v>
      </c>
      <c r="D30" s="16" t="s">
        <v>39</v>
      </c>
      <c r="E30" s="16" t="str">
        <f>units</f>
        <v>$millions</v>
      </c>
      <c r="F30" s="148">
        <f>DATE(PPLastYear,MONTH(month),1)</f>
        <v>45809</v>
      </c>
      <c r="G30" s="21"/>
      <c r="H30" s="21"/>
      <c r="J30" s="105"/>
      <c r="K30" s="105"/>
      <c r="L30" s="105"/>
      <c r="M30" s="105"/>
      <c r="N30" s="118"/>
      <c r="O30" s="118">
        <v>0.92292139080715041</v>
      </c>
      <c r="P30" s="118">
        <v>1.1042980620507834</v>
      </c>
      <c r="Q30" s="118">
        <v>0.78293326205078329</v>
      </c>
      <c r="R30" s="118">
        <v>0.78293326205078329</v>
      </c>
      <c r="S30" s="118">
        <v>0.78293326205078329</v>
      </c>
      <c r="T30" s="118"/>
    </row>
    <row r="31" spans="1:30" outlineLevel="1">
      <c r="C31" s="162" t="s">
        <v>118</v>
      </c>
      <c r="D31" s="16" t="s">
        <v>39</v>
      </c>
      <c r="E31" s="16" t="str">
        <f>units</f>
        <v>$millions</v>
      </c>
      <c r="F31" s="148">
        <f>DATE(PPLastYear,MONTH(month),1)</f>
        <v>45809</v>
      </c>
      <c r="G31" s="21"/>
      <c r="H31" s="21"/>
      <c r="J31" s="105"/>
      <c r="K31" s="105"/>
      <c r="L31" s="105"/>
      <c r="M31" s="105"/>
      <c r="N31" s="118"/>
      <c r="O31" s="118">
        <v>2.4354118734448349</v>
      </c>
      <c r="P31" s="118">
        <v>2.3137357668136458</v>
      </c>
      <c r="Q31" s="118">
        <v>2.1912626548159606</v>
      </c>
      <c r="R31" s="118">
        <v>2.121483365685938</v>
      </c>
      <c r="S31" s="118">
        <v>2.1516609936696778</v>
      </c>
      <c r="T31" s="118"/>
    </row>
    <row r="32" spans="1:30" outlineLevel="1">
      <c r="C32" s="52"/>
      <c r="D32" s="16" t="s">
        <v>39</v>
      </c>
      <c r="E32" s="16" t="str">
        <f>units</f>
        <v>$millions</v>
      </c>
      <c r="F32" s="148">
        <f>DATE(PPLastYear,MONTH(month),1)</f>
        <v>45809</v>
      </c>
      <c r="G32" s="21"/>
      <c r="H32" s="21"/>
      <c r="J32" s="105"/>
      <c r="K32" s="105"/>
      <c r="L32" s="105"/>
      <c r="M32" s="105"/>
      <c r="N32" s="118"/>
      <c r="O32" s="118"/>
      <c r="P32" s="118"/>
      <c r="Q32" s="118"/>
      <c r="R32" s="118"/>
      <c r="S32" s="118"/>
      <c r="T32" s="118"/>
    </row>
    <row r="33" spans="1:30" outlineLevel="1">
      <c r="G33" s="21"/>
      <c r="H33" s="21"/>
    </row>
    <row r="34" spans="1:30" outlineLevel="1">
      <c r="C34" s="8" t="s">
        <v>97</v>
      </c>
      <c r="D34" s="16" t="s">
        <v>89</v>
      </c>
      <c r="E34" s="16" t="s">
        <v>98</v>
      </c>
      <c r="F34" s="16" t="s">
        <v>99</v>
      </c>
      <c r="J34" s="89" t="str">
        <f t="shared" ref="J34:R34" si="7">IF(J26=J4,IF(COUNTA($C28:$C32)=COUNT(J28:J32),"Ok","Check"),"")</f>
        <v/>
      </c>
      <c r="K34" s="89" t="str">
        <f t="shared" si="7"/>
        <v/>
      </c>
      <c r="L34" s="89" t="str">
        <f t="shared" si="7"/>
        <v/>
      </c>
      <c r="M34" s="89" t="str">
        <f t="shared" si="7"/>
        <v/>
      </c>
      <c r="N34" s="89" t="str">
        <f t="shared" si="7"/>
        <v/>
      </c>
      <c r="O34" s="89" t="str">
        <f t="shared" si="7"/>
        <v>Ok</v>
      </c>
      <c r="P34" s="89" t="str">
        <f t="shared" si="7"/>
        <v>Ok</v>
      </c>
      <c r="Q34" s="89" t="str">
        <f t="shared" si="7"/>
        <v>Ok</v>
      </c>
      <c r="R34" s="89" t="str">
        <f t="shared" si="7"/>
        <v>Ok</v>
      </c>
      <c r="S34" s="89" t="str">
        <f>IF(S26=S4,IF(COUNTA($C28:$C32)=COUNT(S28:S32),"Ok","Check"),"")</f>
        <v>Ok</v>
      </c>
      <c r="T34" s="89" t="str">
        <f>IF(T26=T4,IF(COUNTA($C28:$C32)=COUNT(T28:T32),"Ok","Check"),"")</f>
        <v/>
      </c>
      <c r="U34" s="25"/>
      <c r="W34" s="88" t="str">
        <f>IF(COUNTIF(J34:T34,"Check")=0,"Ok","Check")</f>
        <v>Ok</v>
      </c>
    </row>
    <row r="35" spans="1:30">
      <c r="G35" s="21"/>
      <c r="H35" s="21"/>
    </row>
    <row r="36" spans="1:30" customFormat="1" ht="12.75">
      <c r="A36" s="36"/>
      <c r="B36" s="42" t="s">
        <v>119</v>
      </c>
      <c r="C36" s="36"/>
      <c r="D36" s="36"/>
      <c r="E36" s="36"/>
      <c r="F36" s="37"/>
      <c r="G36" s="37"/>
      <c r="H36" s="37"/>
      <c r="I36" s="37"/>
      <c r="J36" s="38"/>
      <c r="K36" s="39"/>
      <c r="L36" s="38"/>
      <c r="M36" s="39"/>
      <c r="N36" s="38"/>
      <c r="O36" s="38"/>
      <c r="P36" s="38"/>
      <c r="Q36" s="38"/>
      <c r="R36" s="38"/>
      <c r="S36" s="38"/>
      <c r="T36" s="38"/>
      <c r="U36" s="38"/>
      <c r="V36" s="39"/>
      <c r="W36" s="39"/>
      <c r="X36" s="40"/>
      <c r="Y36" s="40"/>
      <c r="Z36" s="40"/>
      <c r="AA36" s="40"/>
      <c r="AB36" s="40"/>
      <c r="AC36" s="41"/>
      <c r="AD36" s="41"/>
    </row>
    <row r="37" spans="1:30" outlineLevel="1">
      <c r="G37" s="21"/>
      <c r="H37" s="21"/>
    </row>
    <row r="38" spans="1:30" outlineLevel="1">
      <c r="C38" s="9" t="s">
        <v>120</v>
      </c>
      <c r="D38" s="21" t="s">
        <v>33</v>
      </c>
      <c r="E38" s="21" t="s">
        <v>53</v>
      </c>
      <c r="F38" s="21" t="s">
        <v>56</v>
      </c>
      <c r="G38" s="21"/>
      <c r="H38" s="21"/>
      <c r="J38" s="114" t="str">
        <f t="shared" ref="J38:T38" si="8">IF(YEAR(J$4)&gt;=FPFirstYear,IF(YEAR(J$4)&lt;=FPLastYear,J$4,""),"")</f>
        <v/>
      </c>
      <c r="K38" s="114" t="str">
        <f t="shared" si="8"/>
        <v/>
      </c>
      <c r="L38" s="114" t="str">
        <f t="shared" si="8"/>
        <v/>
      </c>
      <c r="M38" s="114" t="str">
        <f t="shared" si="8"/>
        <v/>
      </c>
      <c r="N38" s="114" t="str">
        <f t="shared" si="8"/>
        <v/>
      </c>
      <c r="O38" s="114">
        <f t="shared" si="8"/>
        <v>46174</v>
      </c>
      <c r="P38" s="114">
        <f t="shared" si="8"/>
        <v>46539</v>
      </c>
      <c r="Q38" s="114">
        <f t="shared" si="8"/>
        <v>46905</v>
      </c>
      <c r="R38" s="114">
        <f t="shared" si="8"/>
        <v>47270</v>
      </c>
      <c r="S38" s="114">
        <f t="shared" si="8"/>
        <v>47635</v>
      </c>
      <c r="T38" s="114" t="str">
        <f t="shared" si="8"/>
        <v/>
      </c>
    </row>
    <row r="39" spans="1:30" outlineLevel="1">
      <c r="G39" s="21"/>
      <c r="H39" s="21"/>
    </row>
    <row r="40" spans="1:30" outlineLevel="1">
      <c r="C40" s="15" t="s">
        <v>63</v>
      </c>
      <c r="D40" s="16" t="s">
        <v>121</v>
      </c>
      <c r="E40" s="16" t="s">
        <v>48</v>
      </c>
      <c r="F40" s="148">
        <f>DATE(PPLastYear,MONTH(month),1)</f>
        <v>45809</v>
      </c>
      <c r="G40" s="21"/>
      <c r="H40" s="21"/>
      <c r="I40" s="21"/>
      <c r="J40" s="118"/>
      <c r="K40" s="118"/>
      <c r="L40" s="118"/>
      <c r="M40" s="118"/>
      <c r="N40" s="118"/>
      <c r="O40" s="118">
        <v>0.48121736498141099</v>
      </c>
      <c r="P40" s="118">
        <v>0.46658611599588323</v>
      </c>
      <c r="Q40" s="118">
        <v>0.443938885163984</v>
      </c>
      <c r="R40" s="118">
        <v>0.42532345064609534</v>
      </c>
      <c r="S40" s="118">
        <v>0.41324714032301108</v>
      </c>
      <c r="T40" s="118"/>
    </row>
    <row r="41" spans="1:30" outlineLevel="1">
      <c r="G41" s="21"/>
      <c r="H41" s="21"/>
    </row>
    <row r="42" spans="1:30" outlineLevel="1">
      <c r="C42" s="8" t="s">
        <v>97</v>
      </c>
      <c r="D42" s="16" t="s">
        <v>89</v>
      </c>
      <c r="E42" s="16" t="s">
        <v>98</v>
      </c>
      <c r="F42" s="16" t="s">
        <v>99</v>
      </c>
      <c r="J42" s="89" t="str">
        <f t="shared" ref="J42:R42" si="9">IF(J38=J4,IF(ISBLANK(J40),"Check","Ok"),"")</f>
        <v/>
      </c>
      <c r="K42" s="89" t="str">
        <f t="shared" si="9"/>
        <v/>
      </c>
      <c r="L42" s="89" t="str">
        <f t="shared" si="9"/>
        <v/>
      </c>
      <c r="M42" s="89" t="str">
        <f t="shared" si="9"/>
        <v/>
      </c>
      <c r="N42" s="89" t="str">
        <f t="shared" si="9"/>
        <v/>
      </c>
      <c r="O42" s="89" t="str">
        <f t="shared" si="9"/>
        <v>Ok</v>
      </c>
      <c r="P42" s="89" t="str">
        <f t="shared" si="9"/>
        <v>Ok</v>
      </c>
      <c r="Q42" s="89" t="str">
        <f t="shared" si="9"/>
        <v>Ok</v>
      </c>
      <c r="R42" s="89" t="str">
        <f t="shared" si="9"/>
        <v>Ok</v>
      </c>
      <c r="S42" s="89" t="str">
        <f>IF(S38=S4,IF(ISBLANK(S40),"Check","Ok"),"")</f>
        <v>Ok</v>
      </c>
      <c r="T42" s="89" t="str">
        <f>IF(T38=T4,IF(ISBLANK(T40),"Check","Ok"),"")</f>
        <v/>
      </c>
      <c r="U42" s="25"/>
      <c r="W42" s="88" t="str">
        <f>IF(COUNTIF(J42:T42,"Check")=0,"Ok","Check")</f>
        <v>Ok</v>
      </c>
    </row>
    <row r="43" spans="1:30">
      <c r="G43" s="21"/>
      <c r="H43" s="21"/>
    </row>
    <row r="44" spans="1:30" customFormat="1" ht="12.75">
      <c r="A44" s="36"/>
      <c r="B44" s="42" t="s">
        <v>23</v>
      </c>
      <c r="C44" s="36"/>
      <c r="D44" s="36"/>
      <c r="E44" s="36"/>
      <c r="F44" s="37"/>
      <c r="G44" s="37"/>
      <c r="H44" s="37"/>
      <c r="I44" s="37"/>
      <c r="J44" s="38"/>
      <c r="K44" s="39"/>
      <c r="L44" s="38"/>
      <c r="M44" s="39"/>
      <c r="N44" s="38"/>
      <c r="O44" s="38"/>
      <c r="P44" s="38"/>
      <c r="Q44" s="38"/>
      <c r="R44" s="38"/>
      <c r="S44" s="38"/>
      <c r="T44" s="38"/>
      <c r="U44" s="38"/>
      <c r="V44" s="39"/>
      <c r="W44" s="39"/>
      <c r="X44" s="40"/>
      <c r="Y44" s="40"/>
      <c r="Z44" s="40"/>
      <c r="AA44" s="40"/>
      <c r="AB44" s="40"/>
      <c r="AC44" s="41"/>
      <c r="AD44" s="41"/>
    </row>
    <row r="45" spans="1:30" hidden="1">
      <c r="G45" s="21"/>
      <c r="H45" s="21"/>
    </row>
    <row r="46" spans="1:30" hidden="1">
      <c r="G46" s="21"/>
      <c r="H46" s="21"/>
    </row>
    <row r="47" spans="1:30" hidden="1">
      <c r="G47" s="21"/>
      <c r="H47" s="21"/>
    </row>
    <row r="48" spans="1:30" hidden="1">
      <c r="G48" s="21"/>
      <c r="H48" s="21"/>
    </row>
    <row r="49" spans="7:8" hidden="1">
      <c r="G49" s="21"/>
      <c r="H49" s="21"/>
    </row>
    <row r="50" spans="7:8" hidden="1">
      <c r="G50" s="21"/>
      <c r="H50" s="21"/>
    </row>
    <row r="51" spans="7:8" hidden="1">
      <c r="G51" s="21"/>
      <c r="H51" s="21"/>
    </row>
    <row r="52" spans="7:8" hidden="1">
      <c r="G52" s="21"/>
      <c r="H52" s="21"/>
    </row>
    <row r="53" spans="7:8" hidden="1">
      <c r="G53" s="21"/>
      <c r="H53" s="21"/>
    </row>
    <row r="54" spans="7:8" hidden="1">
      <c r="G54" s="21"/>
      <c r="H54" s="21"/>
    </row>
  </sheetData>
  <mergeCells count="1">
    <mergeCell ref="N3:S3"/>
  </mergeCells>
  <conditionalFormatting sqref="J28:M32 O31:O32 P31:S31">
    <cfRule type="expression" dxfId="64" priority="12">
      <formula>J$26=J$4</formula>
    </cfRule>
  </conditionalFormatting>
  <conditionalFormatting sqref="J10:T10">
    <cfRule type="expression" dxfId="63" priority="24">
      <formula>J$10=J$4</formula>
    </cfRule>
  </conditionalFormatting>
  <conditionalFormatting sqref="J12:T20">
    <cfRule type="expression" dxfId="62" priority="23">
      <formula>J$10=J$4</formula>
    </cfRule>
  </conditionalFormatting>
  <conditionalFormatting sqref="J22:T22">
    <cfRule type="cellIs" dxfId="61" priority="17" operator="equal">
      <formula>"Check"</formula>
    </cfRule>
    <cfRule type="cellIs" dxfId="60" priority="18" operator="equal">
      <formula>"Ok"</formula>
    </cfRule>
  </conditionalFormatting>
  <conditionalFormatting sqref="J26:T26">
    <cfRule type="expression" dxfId="59" priority="2">
      <formula>J$10=J$4</formula>
    </cfRule>
  </conditionalFormatting>
  <conditionalFormatting sqref="J34:T34">
    <cfRule type="cellIs" dxfId="58" priority="13" operator="equal">
      <formula>"Check"</formula>
    </cfRule>
    <cfRule type="cellIs" dxfId="57" priority="14" operator="equal">
      <formula>"Ok"</formula>
    </cfRule>
  </conditionalFormatting>
  <conditionalFormatting sqref="J38:T38">
    <cfRule type="expression" dxfId="56" priority="1">
      <formula>J$10=J$4</formula>
    </cfRule>
  </conditionalFormatting>
  <conditionalFormatting sqref="J40:T40">
    <cfRule type="expression" dxfId="55" priority="3">
      <formula>J$38=J$4</formula>
    </cfRule>
  </conditionalFormatting>
  <conditionalFormatting sqref="J42:T42">
    <cfRule type="cellIs" dxfId="54" priority="8" operator="equal">
      <formula>"Check"</formula>
    </cfRule>
    <cfRule type="cellIs" dxfId="53" priority="9" operator="equal">
      <formula>"Ok"</formula>
    </cfRule>
  </conditionalFormatting>
  <conditionalFormatting sqref="N28:N32">
    <cfRule type="expression" dxfId="52" priority="6">
      <formula>N$10=N$4</formula>
    </cfRule>
  </conditionalFormatting>
  <conditionalFormatting sqref="T31 P32:T32 O28:T30">
    <cfRule type="expression" dxfId="51" priority="7">
      <formula>O$10=O$4</formula>
    </cfRule>
  </conditionalFormatting>
  <conditionalFormatting sqref="S1">
    <cfRule type="cellIs" dxfId="50" priority="26" operator="equal">
      <formula>"Check"</formula>
    </cfRule>
    <cfRule type="cellIs" dxfId="49" priority="27" operator="equal">
      <formula>"Ok"</formula>
    </cfRule>
  </conditionalFormatting>
  <conditionalFormatting sqref="V1">
    <cfRule type="cellIs" dxfId="48" priority="28" operator="equal">
      <formula>"Check"</formula>
    </cfRule>
    <cfRule type="cellIs" dxfId="47" priority="29" operator="equal">
      <formula>"Ok"</formula>
    </cfRule>
  </conditionalFormatting>
  <conditionalFormatting sqref="W22">
    <cfRule type="cellIs" dxfId="46" priority="19" operator="equal">
      <formula>"Check"</formula>
    </cfRule>
    <cfRule type="cellIs" dxfId="45" priority="20" operator="equal">
      <formula>"Ok"</formula>
    </cfRule>
  </conditionalFormatting>
  <conditionalFormatting sqref="W34">
    <cfRule type="cellIs" dxfId="44" priority="15" operator="equal">
      <formula>"Check"</formula>
    </cfRule>
    <cfRule type="cellIs" dxfId="43" priority="16" operator="equal">
      <formula>"Ok"</formula>
    </cfRule>
  </conditionalFormatting>
  <conditionalFormatting sqref="W42">
    <cfRule type="cellIs" dxfId="42" priority="10" operator="equal">
      <formula>"Check"</formula>
    </cfRule>
    <cfRule type="cellIs" dxfId="41" priority="11" operator="equal">
      <formula>"Ok"</formula>
    </cfRule>
  </conditionalFormatting>
  <dataValidations count="2">
    <dataValidation type="list" allowBlank="1" showInputMessage="1" showErrorMessage="1" sqref="F23 F33 F35 F43" xr:uid="{00000000-0002-0000-05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500-000001000000}">
      <formula1>#REF!</formula1>
    </dataValidation>
  </dataValidations>
  <hyperlinks>
    <hyperlink ref="J1" location="Index!A1" display="Back to Index" xr:uid="{00000000-0004-0000-0500-000000000000}"/>
    <hyperlink ref="U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5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CCFFCC"/>
  </sheetPr>
  <dimension ref="A1:AM194"/>
  <sheetViews>
    <sheetView showGridLines="0" topLeftCell="A61" zoomScaleNormal="100" workbookViewId="0">
      <selection activeCell="O77" sqref="O77"/>
    </sheetView>
  </sheetViews>
  <sheetFormatPr defaultColWidth="0" defaultRowHeight="11.25" zeroHeight="1" outlineLevelRow="1"/>
  <cols>
    <col min="1" max="2" width="1.5" style="8" customWidth="1"/>
    <col min="3" max="3" width="76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5" style="16" customWidth="1"/>
    <col min="10" max="24" width="10.83203125" style="8" customWidth="1"/>
    <col min="25" max="39" width="10.5" style="8" hidden="1" customWidth="1"/>
    <col min="40" max="16384" width="10.5" style="8" hidden="1"/>
  </cols>
  <sheetData>
    <row r="1" spans="1:31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">
        <v>99</v>
      </c>
      <c r="T1" s="34"/>
      <c r="V1" s="129" t="s">
        <v>30</v>
      </c>
      <c r="W1" s="34" t="str">
        <f>'Check|List'!$S$1</f>
        <v>Ok</v>
      </c>
    </row>
    <row r="2" spans="1:31" s="35" customFormat="1" ht="13.5" thickBot="1">
      <c r="A2" s="165"/>
      <c r="B2" s="166" t="str">
        <f>Index!$C$12</f>
        <v>Calc | Opex Forecast</v>
      </c>
      <c r="C2" s="166"/>
      <c r="D2" s="166"/>
      <c r="E2" s="166"/>
      <c r="F2" s="168"/>
      <c r="G2" s="168"/>
      <c r="H2" s="168"/>
      <c r="I2" s="168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</row>
    <row r="3" spans="1:31" s="59" customFormat="1">
      <c r="D3" s="125"/>
      <c r="E3" s="125"/>
      <c r="F3" s="125"/>
      <c r="G3" s="125"/>
      <c r="H3" s="125"/>
      <c r="I3" s="125"/>
      <c r="J3" s="119" t="s">
        <v>41</v>
      </c>
      <c r="K3" s="119"/>
      <c r="L3" s="119"/>
      <c r="M3" s="125"/>
      <c r="N3" s="171"/>
      <c r="O3" s="171"/>
      <c r="P3" s="171"/>
      <c r="Q3" s="171"/>
      <c r="R3" s="171"/>
      <c r="S3" s="171"/>
      <c r="T3" s="125"/>
      <c r="U3" s="60"/>
      <c r="V3" s="60"/>
      <c r="W3" s="60"/>
      <c r="X3" s="60"/>
      <c r="Y3" s="60"/>
      <c r="Z3" s="60"/>
      <c r="AA3" s="60"/>
    </row>
    <row r="4" spans="1:31" customFormat="1">
      <c r="A4" s="61"/>
      <c r="B4" s="61"/>
      <c r="C4" s="61"/>
      <c r="D4" s="62" t="s">
        <v>33</v>
      </c>
      <c r="E4" s="62" t="s">
        <v>53</v>
      </c>
      <c r="F4" s="63" t="s">
        <v>56</v>
      </c>
      <c r="G4" s="64"/>
      <c r="H4" s="64"/>
      <c r="I4" s="64"/>
      <c r="J4" s="108">
        <f>DATE(PPFirstYear,MONTH('Input|General'!$G$9),1)</f>
        <v>44348</v>
      </c>
      <c r="K4" s="108">
        <f>DATE(PPFirstYear+1,MONTH('Input|General'!$G$9),1)</f>
        <v>44713</v>
      </c>
      <c r="L4" s="108">
        <f>DATE(PPFirstYear+2,MONTH('Input|General'!$G$9),1)</f>
        <v>45078</v>
      </c>
      <c r="M4" s="108">
        <f>DATE(PPFirstYear+3,MONTH('Input|General'!$G$9),1)</f>
        <v>45444</v>
      </c>
      <c r="N4" s="108">
        <f>DATE(PPFirstYear+4,MONTH('Input|General'!$G$9),1)</f>
        <v>45809</v>
      </c>
      <c r="O4" s="108">
        <f>DATE(PPFirstYear+5,MONTH('Input|General'!$G$9),1)</f>
        <v>46174</v>
      </c>
      <c r="P4" s="108">
        <f>DATE(PPFirstYear+6,MONTH('Input|General'!$G$9),1)</f>
        <v>46539</v>
      </c>
      <c r="Q4" s="108">
        <f>DATE(PPFirstYear+7,MONTH('Input|General'!$G$9),1)</f>
        <v>46905</v>
      </c>
      <c r="R4" s="108">
        <f>DATE(PPFirstYear+8,MONTH('Input|General'!$G$9),1)</f>
        <v>47270</v>
      </c>
      <c r="S4" s="108">
        <f>DATE(PPFirstYear+9,MONTH('Input|General'!$G$9),1)</f>
        <v>47635</v>
      </c>
      <c r="T4" s="108">
        <f>DATE(PPFirstYear+10,MONTH('Input|General'!$G$9),1)</f>
        <v>48000</v>
      </c>
      <c r="U4" s="65"/>
      <c r="V4" s="65"/>
      <c r="W4" s="66"/>
      <c r="X4" s="66"/>
    </row>
    <row r="5" spans="1:31" s="6" customFormat="1" ht="3" customHeight="1">
      <c r="D5" s="22"/>
      <c r="E5" s="22"/>
      <c r="F5" s="22"/>
      <c r="G5" s="22"/>
      <c r="H5" s="22"/>
      <c r="I5" s="22"/>
    </row>
    <row r="6" spans="1:31" s="6" customFormat="1" ht="9" customHeight="1">
      <c r="D6" s="22"/>
      <c r="E6" s="22"/>
      <c r="F6" s="22"/>
      <c r="G6" s="22"/>
      <c r="H6" s="22"/>
      <c r="I6" s="22"/>
    </row>
    <row r="7" spans="1:31" s="6" customFormat="1" ht="3" customHeight="1">
      <c r="D7" s="22"/>
      <c r="E7" s="22"/>
      <c r="F7" s="22"/>
      <c r="G7" s="22"/>
      <c r="H7" s="22"/>
      <c r="I7" s="22"/>
    </row>
    <row r="8" spans="1:31" customFormat="1" ht="12.75">
      <c r="A8" s="36"/>
      <c r="B8" s="42" t="s">
        <v>122</v>
      </c>
      <c r="C8" s="36"/>
      <c r="D8" s="36"/>
      <c r="E8" s="58" t="s">
        <v>48</v>
      </c>
      <c r="F8" s="140">
        <f>DATE(PPLastYear,MONTH('Input|General'!$G$9),1)</f>
        <v>45809</v>
      </c>
      <c r="G8" s="37"/>
      <c r="H8" s="37"/>
      <c r="I8" s="37"/>
      <c r="J8" s="38"/>
      <c r="K8" s="39"/>
      <c r="L8" s="38"/>
      <c r="M8" s="39"/>
      <c r="N8" s="38"/>
      <c r="O8" s="38"/>
      <c r="P8" s="38"/>
      <c r="Q8" s="38"/>
      <c r="R8" s="38"/>
      <c r="S8" s="38"/>
      <c r="T8" s="38"/>
      <c r="U8" s="38"/>
      <c r="V8" s="38"/>
      <c r="W8" s="39"/>
      <c r="X8" s="39"/>
      <c r="Y8" s="40"/>
      <c r="Z8" s="40"/>
      <c r="AA8" s="40"/>
      <c r="AB8" s="40"/>
      <c r="AC8" s="40"/>
      <c r="AD8" s="41"/>
      <c r="AE8" s="41"/>
    </row>
    <row r="9" spans="1:31" outlineLevel="1"/>
    <row r="10" spans="1:31" outlineLevel="1">
      <c r="C10" s="9"/>
      <c r="D10" s="21" t="s">
        <v>33</v>
      </c>
      <c r="E10" s="21" t="s">
        <v>53</v>
      </c>
      <c r="F10" s="21" t="s">
        <v>56</v>
      </c>
      <c r="J10" s="114">
        <f t="shared" ref="J10:S10" si="0">IF(YEAR(J$4)&lt;=PPLastYear,J$4,"")</f>
        <v>44348</v>
      </c>
      <c r="K10" s="114">
        <f t="shared" si="0"/>
        <v>44713</v>
      </c>
      <c r="L10" s="114">
        <f t="shared" si="0"/>
        <v>45078</v>
      </c>
      <c r="M10" s="114">
        <f t="shared" si="0"/>
        <v>45444</v>
      </c>
      <c r="N10" s="114">
        <f t="shared" si="0"/>
        <v>45809</v>
      </c>
      <c r="O10" s="114" t="str">
        <f t="shared" si="0"/>
        <v/>
      </c>
      <c r="P10" s="114" t="str">
        <f t="shared" si="0"/>
        <v/>
      </c>
      <c r="Q10" s="114" t="str">
        <f t="shared" si="0"/>
        <v/>
      </c>
      <c r="R10" s="114" t="str">
        <f t="shared" si="0"/>
        <v/>
      </c>
      <c r="S10" s="114" t="str">
        <f t="shared" si="0"/>
        <v/>
      </c>
      <c r="T10" s="114"/>
    </row>
    <row r="11" spans="1:31" outlineLevel="1">
      <c r="C11" s="15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</row>
    <row r="12" spans="1:31" outlineLevel="1">
      <c r="C12" s="15" t="s">
        <v>123</v>
      </c>
      <c r="D12" s="71" t="s">
        <v>124</v>
      </c>
      <c r="E12" s="16" t="str">
        <f>'Input|Reported opex'!E57</f>
        <v>$millions</v>
      </c>
      <c r="F12" s="113" t="str">
        <f>'Input|Reported opex'!F57</f>
        <v>nominal</v>
      </c>
      <c r="J12" s="72">
        <f>IF(YEAR(J$4)=BaseYear,'Input|Reported opex'!J47,0)</f>
        <v>0</v>
      </c>
      <c r="K12" s="72">
        <f>IF(YEAR(K$4)=BaseYear,'Input|Reported opex'!K47,0)</f>
        <v>19.769639773915927</v>
      </c>
      <c r="L12" s="72">
        <f>IF(YEAR(L$4)=BaseYear,'Input|Reported opex'!L47,0)</f>
        <v>0</v>
      </c>
      <c r="M12" s="72">
        <f>IF(YEAR(M$4)=BaseYear,'Input|Reported opex'!M47,0)</f>
        <v>0</v>
      </c>
      <c r="N12" s="72">
        <f>IF(YEAR(N$4)=BaseYear,'Input|Reported opex'!N47,0)</f>
        <v>0</v>
      </c>
      <c r="O12" s="72">
        <f>IF(YEAR(O$4)=BaseYear,'Input|Reported opex'!O47,0)</f>
        <v>0</v>
      </c>
      <c r="P12" s="72">
        <f>IF(YEAR(P$4)=BaseYear,'Input|Reported opex'!P47,0)</f>
        <v>0</v>
      </c>
      <c r="Q12" s="72">
        <f>IF(YEAR(Q$4)=BaseYear,'Input|Reported opex'!Q47,0)</f>
        <v>0</v>
      </c>
      <c r="R12" s="72">
        <f>IF(YEAR(R$4)=BaseYear,'Input|Reported opex'!R47,0)</f>
        <v>0</v>
      </c>
      <c r="S12" s="72">
        <f>IF(YEAR(S$4)=BaseYear,'Input|Reported opex'!S47,0)</f>
        <v>0</v>
      </c>
      <c r="T12" s="72">
        <f>IF(YEAR(T$4)=BaseYear,'Input|Reported opex'!T47,0)</f>
        <v>0</v>
      </c>
    </row>
    <row r="13" spans="1:31" outlineLevel="1">
      <c r="C13" s="15" t="s">
        <v>123</v>
      </c>
      <c r="D13" s="16" t="s">
        <v>52</v>
      </c>
      <c r="E13" s="16" t="str">
        <f>$E$8</f>
        <v>$millions</v>
      </c>
      <c r="F13" s="113">
        <f>$F$8</f>
        <v>45809</v>
      </c>
      <c r="J13" s="72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72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23.133505637732366</v>
      </c>
      <c r="L13" s="72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72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72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72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72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72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72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72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72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125</v>
      </c>
      <c r="D14" s="71" t="s">
        <v>124</v>
      </c>
      <c r="E14" s="16" t="str">
        <f>'Input|Reported opex'!E15</f>
        <v>$millions</v>
      </c>
      <c r="F14" s="113">
        <f>'Input|Reported opex'!F15</f>
        <v>43983</v>
      </c>
      <c r="J14" s="72">
        <f>IF(YEAR(J$4)=BaseYear,'Input|Reported opex'!J15,0)</f>
        <v>0</v>
      </c>
      <c r="K14" s="72">
        <f>IF(YEAR(K$4)=BaseYear,'Input|Reported opex'!K15,0)</f>
        <v>0</v>
      </c>
      <c r="L14" s="72">
        <f>IF(YEAR(L$4)=BaseYear,'Input|Reported opex'!L15,0)</f>
        <v>0</v>
      </c>
      <c r="M14" s="72">
        <f>IF(YEAR(M$4)=BaseYear,'Input|Reported opex'!M15,0)</f>
        <v>0</v>
      </c>
      <c r="N14" s="72">
        <f>IF(YEAR(N$4)=BaseYear,'Input|Reported opex'!N15,0)</f>
        <v>0</v>
      </c>
      <c r="O14" s="72">
        <f>IF(YEAR(O$4)=BaseYear,'Input|Reported opex'!O15,0)</f>
        <v>0</v>
      </c>
      <c r="P14" s="72">
        <f>IF(YEAR(P$4)=BaseYear,'Input|Reported opex'!P15,0)</f>
        <v>0</v>
      </c>
      <c r="Q14" s="72">
        <f>IF(YEAR(Q$4)=BaseYear,'Input|Reported opex'!Q15,0)</f>
        <v>0</v>
      </c>
      <c r="R14" s="72">
        <f>IF(YEAR(R$4)=BaseYear,'Input|Reported opex'!R15,0)</f>
        <v>0</v>
      </c>
      <c r="S14" s="72">
        <f>IF(YEAR(S$4)=BaseYear,'Input|Reported opex'!S15,0)</f>
        <v>0</v>
      </c>
      <c r="T14" s="72"/>
    </row>
    <row r="15" spans="1:31" outlineLevel="1">
      <c r="C15" s="15" t="s">
        <v>125</v>
      </c>
      <c r="D15" s="16" t="s">
        <v>52</v>
      </c>
      <c r="E15" s="16" t="str">
        <f>$E$8</f>
        <v>$millions</v>
      </c>
      <c r="F15" s="113">
        <f>$F$8</f>
        <v>45809</v>
      </c>
      <c r="J15" s="72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72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72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72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72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72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72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72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72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72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72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126</v>
      </c>
      <c r="D16" s="71" t="s">
        <v>124</v>
      </c>
      <c r="E16" s="16" t="str">
        <f>'Input|Reported opex'!E15</f>
        <v>$millions</v>
      </c>
      <c r="F16" s="113">
        <f>'Input|Reported opex'!F15</f>
        <v>43983</v>
      </c>
      <c r="J16" s="72">
        <f>IF(YEAR(J$4)=PPLastYear,'Input|Reported opex'!J15,0)</f>
        <v>0</v>
      </c>
      <c r="K16" s="72">
        <f>IF(YEAR(K$4)=PPLastYear,'Input|Reported opex'!K15,0)</f>
        <v>0</v>
      </c>
      <c r="L16" s="72">
        <f>IF(YEAR(L$4)=PPLastYear,'Input|Reported opex'!L15,0)</f>
        <v>0</v>
      </c>
      <c r="M16" s="72">
        <f>IF(YEAR(M$4)=PPLastYear,'Input|Reported opex'!M15,0)</f>
        <v>0</v>
      </c>
      <c r="N16" s="72">
        <f>IF(YEAR(N$4)=PPLastYear,'Input|Reported opex'!N15,0)</f>
        <v>0</v>
      </c>
      <c r="O16" s="72">
        <f>IF(YEAR(O$4)=PPLastYear,'Input|Reported opex'!O15,0)</f>
        <v>0</v>
      </c>
      <c r="P16" s="72">
        <f>IF(YEAR(P$4)=PPLastYear,'Input|Reported opex'!P15,0)</f>
        <v>0</v>
      </c>
      <c r="Q16" s="72">
        <f>IF(YEAR(Q$4)=PPLastYear,'Input|Reported opex'!Q15,0)</f>
        <v>0</v>
      </c>
      <c r="R16" s="72">
        <f>IF(YEAR(R$4)=PPLastYear,'Input|Reported opex'!R15,0)</f>
        <v>0</v>
      </c>
      <c r="S16" s="72">
        <f>IF(YEAR(S$4)=PPLastYear,'Input|Reported opex'!S15,0)</f>
        <v>0</v>
      </c>
      <c r="T16" s="72"/>
    </row>
    <row r="17" spans="3:20" outlineLevel="1">
      <c r="C17" s="15" t="s">
        <v>126</v>
      </c>
      <c r="D17" s="16" t="s">
        <v>52</v>
      </c>
      <c r="E17" s="16" t="str">
        <f>$E$8</f>
        <v>$millions</v>
      </c>
      <c r="F17" s="113">
        <f>$F$8</f>
        <v>45809</v>
      </c>
      <c r="J17" s="72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72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72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72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72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72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72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72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72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72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72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113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</row>
    <row r="19" spans="3:20" outlineLevel="1">
      <c r="C19" s="15" t="s">
        <v>127</v>
      </c>
      <c r="D19" s="71" t="s">
        <v>124</v>
      </c>
      <c r="E19" s="16" t="str">
        <f>'Input|Reported opex'!E64</f>
        <v>$millions</v>
      </c>
      <c r="F19" s="113" t="str">
        <f>'Input|Reported opex'!F57</f>
        <v>nominal</v>
      </c>
      <c r="J19" s="72">
        <f>IF(YEAR(J$4)=BaseYear,'Input|Reported opex'!J57,0)</f>
        <v>0</v>
      </c>
      <c r="K19" s="72">
        <f>IF(YEAR(K$4)=BaseYear,'Input|Reported opex'!K57,0)</f>
        <v>11.25839845</v>
      </c>
      <c r="L19" s="72">
        <f>IF(YEAR(L$4)=BaseYear,'Input|Reported opex'!L57,0)</f>
        <v>0</v>
      </c>
      <c r="M19" s="72">
        <f>IF(YEAR(M$4)=BaseYear,'Input|Reported opex'!M57,0)</f>
        <v>0</v>
      </c>
      <c r="N19" s="72">
        <f>IF(YEAR(N$4)=BaseYear,'Input|Reported opex'!N57,0)</f>
        <v>0</v>
      </c>
      <c r="O19" s="72">
        <f>IF(YEAR(O$4)=BaseYear,'Input|Reported opex'!O57,0)</f>
        <v>0</v>
      </c>
      <c r="P19" s="72">
        <f>IF(YEAR(P$4)=BaseYear,'Input|Reported opex'!P57,0)</f>
        <v>0</v>
      </c>
      <c r="Q19" s="72">
        <f>IF(YEAR(Q$4)=BaseYear,'Input|Reported opex'!Q57,0)</f>
        <v>0</v>
      </c>
      <c r="R19" s="72">
        <f>IF(YEAR(R$4)=BaseYear,'Input|Reported opex'!R57,0)</f>
        <v>0</v>
      </c>
      <c r="S19" s="72">
        <f>IF(YEAR(S$4)=BaseYear,'Input|Reported opex'!S57,0)</f>
        <v>0</v>
      </c>
      <c r="T19" s="72"/>
    </row>
    <row r="20" spans="3:20" outlineLevel="1">
      <c r="C20" s="15" t="s">
        <v>127</v>
      </c>
      <c r="D20" s="16" t="s">
        <v>52</v>
      </c>
      <c r="E20" s="16" t="str">
        <f>$E$8</f>
        <v>$millions</v>
      </c>
      <c r="F20" s="113">
        <f>$F$8</f>
        <v>45809</v>
      </c>
      <c r="J20" s="72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72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13.174050058238553</v>
      </c>
      <c r="L20" s="72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72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72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72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72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72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72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72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72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128</v>
      </c>
      <c r="D21" s="71" t="s">
        <v>124</v>
      </c>
      <c r="E21" s="16" t="str">
        <f>'Input|Reported opex'!E22</f>
        <v>$millions</v>
      </c>
      <c r="F21" s="113">
        <f>'Input|Reported opex'!F29</f>
        <v>43983</v>
      </c>
      <c r="J21" s="72">
        <f>IF(YEAR(J$4)=BaseYear,'Input|Reported opex'!J29,0)</f>
        <v>0</v>
      </c>
      <c r="K21" s="72">
        <f>IF(YEAR(K$4)=BaseYear,'Input|Reported opex'!K29,0)</f>
        <v>0</v>
      </c>
      <c r="L21" s="72">
        <f>IF(YEAR(L$4)=BaseYear,'Input|Reported opex'!L29,0)</f>
        <v>0</v>
      </c>
      <c r="M21" s="72">
        <f>IF(YEAR(M$4)=BaseYear,'Input|Reported opex'!M29,0)</f>
        <v>0</v>
      </c>
      <c r="N21" s="72">
        <f>IF(YEAR(N$4)=BaseYear,'Input|Reported opex'!N29,0)</f>
        <v>0</v>
      </c>
      <c r="O21" s="72">
        <f>IF(YEAR(O$4)=BaseYear,'Input|Reported opex'!O29,0)</f>
        <v>0</v>
      </c>
      <c r="P21" s="72">
        <f>IF(YEAR(P$4)=BaseYear,'Input|Reported opex'!P29,0)</f>
        <v>0</v>
      </c>
      <c r="Q21" s="72">
        <f>IF(YEAR(Q$4)=BaseYear,'Input|Reported opex'!Q29,0)</f>
        <v>0</v>
      </c>
      <c r="R21" s="72">
        <f>IF(YEAR(R$4)=BaseYear,'Input|Reported opex'!R29,0)</f>
        <v>0</v>
      </c>
      <c r="S21" s="72">
        <f>IF(YEAR(S$4)=BaseYear,'Input|Reported opex'!S29,0)</f>
        <v>0</v>
      </c>
      <c r="T21" s="72"/>
    </row>
    <row r="22" spans="3:20" outlineLevel="1">
      <c r="C22" s="15" t="s">
        <v>128</v>
      </c>
      <c r="D22" s="16" t="s">
        <v>52</v>
      </c>
      <c r="E22" s="16" t="str">
        <f>$E$8</f>
        <v>$millions</v>
      </c>
      <c r="F22" s="113">
        <f>$F$8</f>
        <v>45809</v>
      </c>
      <c r="J22" s="72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72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72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72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N22" s="72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72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72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72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72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72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72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129</v>
      </c>
      <c r="D23" s="71" t="s">
        <v>124</v>
      </c>
      <c r="E23" s="16" t="str">
        <f>'Input|Reported opex'!E22</f>
        <v>$millions</v>
      </c>
      <c r="F23" s="113">
        <f>'Input|Reported opex'!F29</f>
        <v>43983</v>
      </c>
      <c r="J23" s="72">
        <f>IF(YEAR(J$4)=PPLastYear,'Input|Reported opex'!J29,0)</f>
        <v>0</v>
      </c>
      <c r="K23" s="72">
        <f>IF(YEAR(K$4)=PPLastYear,'Input|Reported opex'!K29,0)</f>
        <v>0</v>
      </c>
      <c r="L23" s="72">
        <f>IF(YEAR(L$4)=PPLastYear,'Input|Reported opex'!L29,0)</f>
        <v>0</v>
      </c>
      <c r="M23" s="72">
        <f>IF(YEAR(M$4)=PPLastYear,'Input|Reported opex'!M29,0)</f>
        <v>0</v>
      </c>
      <c r="N23" s="72">
        <f>IF(YEAR(N$4)=PPLastYear,'Input|Reported opex'!N29,0)</f>
        <v>0</v>
      </c>
      <c r="O23" s="72">
        <f>IF(YEAR(O$4)=PPLastYear,'Input|Reported opex'!O29,0)</f>
        <v>0</v>
      </c>
      <c r="P23" s="72">
        <f>IF(YEAR(P$4)=PPLastYear,'Input|Reported opex'!P29,0)</f>
        <v>0</v>
      </c>
      <c r="Q23" s="72">
        <f>IF(YEAR(Q$4)=PPLastYear,'Input|Reported opex'!Q29,0)</f>
        <v>0</v>
      </c>
      <c r="R23" s="72">
        <f>IF(YEAR(R$4)=PPLastYear,'Input|Reported opex'!R29,0)</f>
        <v>0</v>
      </c>
      <c r="S23" s="72">
        <f>IF(YEAR(S$4)=PPLastYear,'Input|Reported opex'!S29,0)</f>
        <v>0</v>
      </c>
      <c r="T23" s="72"/>
    </row>
    <row r="24" spans="3:20" outlineLevel="1">
      <c r="C24" s="15" t="s">
        <v>129</v>
      </c>
      <c r="D24" s="16" t="s">
        <v>52</v>
      </c>
      <c r="E24" s="16" t="str">
        <f>$E$8</f>
        <v>$millions</v>
      </c>
      <c r="F24" s="113">
        <f>$F$8</f>
        <v>45809</v>
      </c>
      <c r="J24" s="72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72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72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72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72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O24" s="72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72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72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72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72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72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73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</row>
    <row r="26" spans="3:20" outlineLevel="1">
      <c r="C26" s="74" t="s">
        <v>130</v>
      </c>
      <c r="D26" s="75" t="s">
        <v>52</v>
      </c>
      <c r="E26" s="75" t="str">
        <f>$E$8</f>
        <v>$millions</v>
      </c>
      <c r="F26" s="113">
        <f>$F$8</f>
        <v>45809</v>
      </c>
      <c r="J26" s="76">
        <f ca="1">J13</f>
        <v>0</v>
      </c>
      <c r="K26" s="76">
        <f ca="1">K13</f>
        <v>23.133505637732366</v>
      </c>
      <c r="L26" s="76">
        <f t="shared" ref="L26:S26" ca="1" si="1">L13</f>
        <v>0</v>
      </c>
      <c r="M26" s="76">
        <f t="shared" ca="1" si="1"/>
        <v>0</v>
      </c>
      <c r="N26" s="76">
        <f t="shared" ca="1" si="1"/>
        <v>0</v>
      </c>
      <c r="O26" s="76">
        <f t="shared" ca="1" si="1"/>
        <v>0</v>
      </c>
      <c r="P26" s="76">
        <f t="shared" ca="1" si="1"/>
        <v>0</v>
      </c>
      <c r="Q26" s="76">
        <f t="shared" ca="1" si="1"/>
        <v>0</v>
      </c>
      <c r="R26" s="76">
        <f t="shared" ca="1" si="1"/>
        <v>0</v>
      </c>
      <c r="S26" s="76">
        <f t="shared" ca="1" si="1"/>
        <v>0</v>
      </c>
      <c r="T26" s="76"/>
    </row>
    <row r="27" spans="3:20" outlineLevel="1">
      <c r="C27" s="83"/>
      <c r="F27" s="113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</row>
    <row r="28" spans="3:20" outlineLevel="1">
      <c r="C28" s="83" t="s">
        <v>131</v>
      </c>
      <c r="D28" s="71" t="s">
        <v>124</v>
      </c>
      <c r="E28" s="16" t="str">
        <f>'Input|Reported opex'!E69</f>
        <v>$millions</v>
      </c>
      <c r="F28" s="113">
        <f>'Input|Reported opex'!F69</f>
        <v>45809</v>
      </c>
      <c r="J28" s="76">
        <f>IF('Input|Reported opex'!J$61='Input|Reported opex'!J$10,'Input|Reported opex'!J69,0)</f>
        <v>0</v>
      </c>
      <c r="K28" s="76">
        <f>IF('Input|Reported opex'!K$61='Input|Reported opex'!K$10,'Input|Reported opex'!K69,0)</f>
        <v>0</v>
      </c>
      <c r="L28" s="76">
        <f>IF('Input|Reported opex'!L$61='Input|Reported opex'!L$10,'Input|Reported opex'!L69,0)</f>
        <v>0</v>
      </c>
      <c r="M28" s="76">
        <f>IF('Input|Reported opex'!M$61='Input|Reported opex'!M$10,'Input|Reported opex'!M69,0)</f>
        <v>0</v>
      </c>
      <c r="N28" s="76">
        <f>IF('Input|Reported opex'!N$61='Input|Reported opex'!N$10,'Input|Reported opex'!N69,0)</f>
        <v>0</v>
      </c>
      <c r="O28" s="76">
        <f>IF('Input|Reported opex'!O$61='Input|Reported opex'!O$10,'Input|Reported opex'!O69,0)</f>
        <v>0</v>
      </c>
      <c r="P28" s="76">
        <f>IF('Input|Reported opex'!P$61='Input|Reported opex'!P$10,'Input|Reported opex'!P69,0)</f>
        <v>0</v>
      </c>
      <c r="Q28" s="76">
        <f>IF('Input|Reported opex'!Q$61='Input|Reported opex'!Q$10,'Input|Reported opex'!Q69,0)</f>
        <v>0</v>
      </c>
      <c r="R28" s="76">
        <f>IF('Input|Reported opex'!R$61='Input|Reported opex'!R$10,'Input|Reported opex'!R69,0)</f>
        <v>0</v>
      </c>
      <c r="S28" s="76">
        <f>IF('Input|Reported opex'!S$61='Input|Reported opex'!S$10,'Input|Reported opex'!S69,0)</f>
        <v>0</v>
      </c>
      <c r="T28" s="76"/>
    </row>
    <row r="29" spans="3:20" outlineLevel="1">
      <c r="C29" s="83" t="str">
        <f>C28</f>
        <v>Add back non-recurrent efficiency gains in the base year</v>
      </c>
      <c r="D29" s="16" t="s">
        <v>52</v>
      </c>
      <c r="E29" s="16" t="str">
        <f>$E$8</f>
        <v>$millions</v>
      </c>
      <c r="F29" s="113">
        <f>$F$8</f>
        <v>45809</v>
      </c>
      <c r="J29" s="76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6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6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6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6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76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6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6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6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6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6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outlineLevel="1">
      <c r="C30" s="83"/>
      <c r="F30" s="113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</row>
    <row r="31" spans="3:20" outlineLevel="1">
      <c r="C31" s="83" t="s">
        <v>132</v>
      </c>
      <c r="D31" s="16" t="s">
        <v>52</v>
      </c>
      <c r="E31" s="16" t="str">
        <f>$E$8</f>
        <v>$millions</v>
      </c>
      <c r="F31" s="113">
        <f>$F$8</f>
        <v>45809</v>
      </c>
      <c r="J31" s="76">
        <f t="shared" ref="J31:S31" si="2">IF(YEAR(J$4)=PPLastYear,-SUM($J15:$S15)+SUM($J17:$S17),0)</f>
        <v>0</v>
      </c>
      <c r="K31" s="76">
        <f t="shared" si="2"/>
        <v>0</v>
      </c>
      <c r="L31" s="76">
        <f t="shared" si="2"/>
        <v>0</v>
      </c>
      <c r="M31" s="76">
        <f t="shared" si="2"/>
        <v>0</v>
      </c>
      <c r="N31" s="76">
        <f t="shared" si="2"/>
        <v>0</v>
      </c>
      <c r="O31" s="76">
        <f t="shared" si="2"/>
        <v>0</v>
      </c>
      <c r="P31" s="76">
        <f t="shared" si="2"/>
        <v>0</v>
      </c>
      <c r="Q31" s="76">
        <f t="shared" si="2"/>
        <v>0</v>
      </c>
      <c r="R31" s="76">
        <f t="shared" si="2"/>
        <v>0</v>
      </c>
      <c r="S31" s="76">
        <f t="shared" si="2"/>
        <v>0</v>
      </c>
      <c r="T31" s="76"/>
    </row>
    <row r="32" spans="3:20" outlineLevel="1">
      <c r="C32" s="83"/>
      <c r="F32" s="113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</row>
    <row r="33" spans="3:20" outlineLevel="1">
      <c r="C33" s="83" t="s">
        <v>133</v>
      </c>
      <c r="D33" s="16" t="s">
        <v>52</v>
      </c>
      <c r="E33" s="16" t="str">
        <f>$E$8</f>
        <v>$millions</v>
      </c>
      <c r="F33" s="113">
        <f>$F$8</f>
        <v>45809</v>
      </c>
      <c r="J33" s="76">
        <f t="shared" ref="J33:S33" si="3">IF(YEAR(J$4)=PPLastYear,SUM($J26:$S26,$J29:$S29,$J31:$S31),0)</f>
        <v>0</v>
      </c>
      <c r="K33" s="76">
        <f t="shared" si="3"/>
        <v>0</v>
      </c>
      <c r="L33" s="76">
        <f t="shared" si="3"/>
        <v>0</v>
      </c>
      <c r="M33" s="76">
        <f t="shared" si="3"/>
        <v>0</v>
      </c>
      <c r="N33" s="76">
        <f t="shared" ca="1" si="3"/>
        <v>23.133505637732366</v>
      </c>
      <c r="O33" s="76">
        <f t="shared" si="3"/>
        <v>0</v>
      </c>
      <c r="P33" s="76">
        <f t="shared" si="3"/>
        <v>0</v>
      </c>
      <c r="Q33" s="76">
        <f t="shared" si="3"/>
        <v>0</v>
      </c>
      <c r="R33" s="76">
        <f t="shared" si="3"/>
        <v>0</v>
      </c>
      <c r="S33" s="76">
        <f t="shared" si="3"/>
        <v>0</v>
      </c>
      <c r="T33" s="76"/>
    </row>
    <row r="34" spans="3:20" outlineLevel="1">
      <c r="C34" s="83"/>
      <c r="F34" s="113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</row>
    <row r="35" spans="3:20" outlineLevel="1">
      <c r="C35" s="83" t="s">
        <v>134</v>
      </c>
      <c r="D35" s="16" t="s">
        <v>52</v>
      </c>
      <c r="E35" s="16" t="str">
        <f>$E$8</f>
        <v>$millions</v>
      </c>
      <c r="F35" s="113">
        <f>$F$8</f>
        <v>45809</v>
      </c>
      <c r="J35" s="76">
        <f t="shared" ref="J35:S35" si="4">IF(YEAR(J$4)=PPLastYear,-(SUM($J20:$S20)-SUM($J22:$S22)+SUM($J24:$S24)),0)</f>
        <v>0</v>
      </c>
      <c r="K35" s="76">
        <f t="shared" si="4"/>
        <v>0</v>
      </c>
      <c r="L35" s="76">
        <f t="shared" si="4"/>
        <v>0</v>
      </c>
      <c r="M35" s="76">
        <f t="shared" si="4"/>
        <v>0</v>
      </c>
      <c r="N35" s="76">
        <f t="shared" si="4"/>
        <v>-13.174050058238553</v>
      </c>
      <c r="O35" s="76">
        <f t="shared" si="4"/>
        <v>0</v>
      </c>
      <c r="P35" s="76">
        <f t="shared" si="4"/>
        <v>0</v>
      </c>
      <c r="Q35" s="76">
        <f t="shared" si="4"/>
        <v>0</v>
      </c>
      <c r="R35" s="76">
        <f t="shared" si="4"/>
        <v>0</v>
      </c>
      <c r="S35" s="76">
        <f t="shared" si="4"/>
        <v>0</v>
      </c>
      <c r="T35" s="76"/>
    </row>
    <row r="36" spans="3:20" outlineLevel="1">
      <c r="C36" s="83"/>
      <c r="F36" s="113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</row>
    <row r="37" spans="3:20" outlineLevel="1">
      <c r="C37" s="83">
        <f>'Input|Reported opex'!$C$63</f>
        <v>0</v>
      </c>
      <c r="D37" s="71" t="s">
        <v>124</v>
      </c>
      <c r="E37" s="16" t="str">
        <f>'Input|Reported opex'!E63</f>
        <v>$millions</v>
      </c>
      <c r="F37" s="113">
        <f>'Input|Reported opex'!F63</f>
        <v>45809</v>
      </c>
      <c r="J37" s="72">
        <f>IF(YEAR(J$4)=PPLastYear,'Input|Reported opex'!J63,0)</f>
        <v>0</v>
      </c>
      <c r="K37" s="72">
        <f>IF(YEAR(K$4)=PPLastYear,'Input|Reported opex'!K63,0)</f>
        <v>0</v>
      </c>
      <c r="L37" s="72">
        <f>IF(YEAR(L$4)=PPLastYear,'Input|Reported opex'!L63,0)</f>
        <v>0</v>
      </c>
      <c r="M37" s="72">
        <f>IF(YEAR(M$4)=PPLastYear,'Input|Reported opex'!M63,0)</f>
        <v>0</v>
      </c>
      <c r="N37" s="72">
        <f>IF(YEAR(N$4)=PPLastYear,'Input|Reported opex'!N63,0)</f>
        <v>0</v>
      </c>
      <c r="O37" s="72">
        <f>IF(YEAR(O$4)=PPLastYear,'Input|Reported opex'!O63,0)</f>
        <v>0</v>
      </c>
      <c r="P37" s="72">
        <f>IF(YEAR(P$4)=PPLastYear,'Input|Reported opex'!P63,0)</f>
        <v>0</v>
      </c>
      <c r="Q37" s="72">
        <f>IF(YEAR(Q$4)=PPLastYear,'Input|Reported opex'!Q63,0)</f>
        <v>0</v>
      </c>
      <c r="R37" s="72">
        <f>IF(YEAR(R$4)=PPLastYear,'Input|Reported opex'!R63,0)</f>
        <v>0</v>
      </c>
      <c r="S37" s="72">
        <f>IF(YEAR(S$4)=PPLastYear,'Input|Reported opex'!S63,0)</f>
        <v>0</v>
      </c>
      <c r="T37" s="72"/>
    </row>
    <row r="38" spans="3:20" outlineLevel="1">
      <c r="C38" s="83">
        <f>C37</f>
        <v>0</v>
      </c>
      <c r="D38" s="16" t="s">
        <v>52</v>
      </c>
      <c r="E38" s="16" t="str">
        <f>$E$8</f>
        <v>$millions</v>
      </c>
      <c r="F38" s="113">
        <f>$F$8</f>
        <v>45809</v>
      </c>
      <c r="J38" s="76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6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6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6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6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O38" s="76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6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6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6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6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6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outlineLevel="1">
      <c r="C39" s="83"/>
      <c r="F39" s="113"/>
      <c r="J39" s="76"/>
      <c r="K39" s="76"/>
      <c r="L39" s="76"/>
      <c r="M39" s="76"/>
      <c r="N39" s="76"/>
      <c r="O39" s="76"/>
      <c r="P39" s="76"/>
      <c r="Q39" s="76"/>
      <c r="R39" s="72"/>
      <c r="S39" s="72"/>
      <c r="T39" s="72"/>
    </row>
    <row r="40" spans="3:20" outlineLevel="1">
      <c r="C40" s="83" t="str">
        <f>'Input|Reported opex'!$C$64</f>
        <v>Adjustment 2</v>
      </c>
      <c r="D40" s="71" t="s">
        <v>124</v>
      </c>
      <c r="E40" s="16" t="str">
        <f>'Input|Reported opex'!$E$64</f>
        <v>$millions</v>
      </c>
      <c r="F40" s="113">
        <f>'Input|Reported opex'!$F$64</f>
        <v>45809</v>
      </c>
      <c r="J40" s="72">
        <f>IF(YEAR(J$4)=PPLastYear,'Input|Reported opex'!J64,0)</f>
        <v>0</v>
      </c>
      <c r="K40" s="72">
        <f>IF(YEAR(K$4)=PPLastYear,'Input|Reported opex'!K64,0)</f>
        <v>0</v>
      </c>
      <c r="L40" s="72">
        <f>IF(YEAR(L$4)=PPLastYear,'Input|Reported opex'!L64,0)</f>
        <v>0</v>
      </c>
      <c r="M40" s="72">
        <f>IF(YEAR(M$4)=PPLastYear,'Input|Reported opex'!M64,0)</f>
        <v>0</v>
      </c>
      <c r="N40" s="72">
        <f>IF(YEAR(N$4)=PPLastYear,'Input|Reported opex'!N64,0)</f>
        <v>0</v>
      </c>
      <c r="O40" s="72">
        <f>IF(YEAR(O$4)=PPLastYear,'Input|Reported opex'!O64,0)</f>
        <v>0</v>
      </c>
      <c r="P40" s="72">
        <f>IF(YEAR(P$4)=PPLastYear,'Input|Reported opex'!P64,0)</f>
        <v>0</v>
      </c>
      <c r="Q40" s="72">
        <f>IF(YEAR(Q$4)=PPLastYear,'Input|Reported opex'!Q64,0)</f>
        <v>0</v>
      </c>
      <c r="R40" s="72">
        <f>IF(YEAR(R$4)=PPLastYear,'Input|Reported opex'!R64,0)</f>
        <v>0</v>
      </c>
      <c r="S40" s="72">
        <f>IF(YEAR(S$4)=PPLastYear,'Input|Reported opex'!S64,0)</f>
        <v>0</v>
      </c>
      <c r="T40" s="72"/>
    </row>
    <row r="41" spans="3:20" outlineLevel="1">
      <c r="C41" s="83" t="str">
        <f>C40</f>
        <v>Adjustment 2</v>
      </c>
      <c r="D41" s="16" t="s">
        <v>52</v>
      </c>
      <c r="E41" s="16" t="str">
        <f>$E$8</f>
        <v>$millions</v>
      </c>
      <c r="F41" s="113">
        <f>$F$8</f>
        <v>45809</v>
      </c>
      <c r="J41" s="76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6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6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6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6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76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6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6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6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6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6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outlineLevel="1">
      <c r="C42" s="83"/>
      <c r="F42" s="113"/>
      <c r="J42" s="76"/>
      <c r="K42" s="76"/>
      <c r="L42" s="76"/>
      <c r="M42" s="76"/>
      <c r="N42" s="76"/>
      <c r="O42" s="76"/>
      <c r="P42" s="76"/>
      <c r="Q42" s="76"/>
      <c r="R42" s="72"/>
      <c r="S42" s="72"/>
      <c r="T42" s="72"/>
    </row>
    <row r="43" spans="3:20" outlineLevel="1">
      <c r="C43" s="83" t="str">
        <f>'Input|Reported opex'!$C$65</f>
        <v>Adjustment 3</v>
      </c>
      <c r="D43" s="71" t="s">
        <v>124</v>
      </c>
      <c r="E43" s="16" t="str">
        <f>'Input|Reported opex'!$E$65</f>
        <v>$millions</v>
      </c>
      <c r="F43" s="113">
        <f>'Input|Reported opex'!$F$65</f>
        <v>45809</v>
      </c>
      <c r="J43" s="72">
        <f>IF(YEAR(J$4)=PPLastYear,'Input|Reported opex'!J65,0)</f>
        <v>0</v>
      </c>
      <c r="K43" s="72">
        <f>IF(YEAR(K$4)=PPLastYear,'Input|Reported opex'!K65,0)</f>
        <v>0</v>
      </c>
      <c r="L43" s="72">
        <f>IF(YEAR(L$4)=PPLastYear,'Input|Reported opex'!L65,0)</f>
        <v>0</v>
      </c>
      <c r="M43" s="72">
        <f>IF(YEAR(M$4)=PPLastYear,'Input|Reported opex'!M65,0)</f>
        <v>0</v>
      </c>
      <c r="N43" s="72">
        <f>IF(YEAR(N$4)=PPLastYear,'Input|Reported opex'!N65,0)</f>
        <v>0</v>
      </c>
      <c r="O43" s="72">
        <f>IF(YEAR(O$4)=PPLastYear,'Input|Reported opex'!O65,0)</f>
        <v>0</v>
      </c>
      <c r="P43" s="72">
        <f>IF(YEAR(P$4)=PPLastYear,'Input|Reported opex'!P65,0)</f>
        <v>0</v>
      </c>
      <c r="Q43" s="72">
        <f>IF(YEAR(Q$4)=PPLastYear,'Input|Reported opex'!Q65,0)</f>
        <v>0</v>
      </c>
      <c r="R43" s="72">
        <f>IF(YEAR(R$4)=PPLastYear,'Input|Reported opex'!R65,0)</f>
        <v>0</v>
      </c>
      <c r="S43" s="72">
        <f>IF(YEAR(S$4)=PPLastYear,'Input|Reported opex'!S65,0)</f>
        <v>0</v>
      </c>
      <c r="T43" s="72"/>
    </row>
    <row r="44" spans="3:20" outlineLevel="1">
      <c r="C44" s="83" t="str">
        <f>C43</f>
        <v>Adjustment 3</v>
      </c>
      <c r="D44" s="16" t="s">
        <v>52</v>
      </c>
      <c r="E44" s="16" t="str">
        <f>$E$8</f>
        <v>$millions</v>
      </c>
      <c r="F44" s="113">
        <f>$F$8</f>
        <v>45809</v>
      </c>
      <c r="J44" s="76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6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6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6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6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6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6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6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6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6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6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outlineLevel="1">
      <c r="C45" s="83"/>
      <c r="F45" s="113"/>
      <c r="J45" s="76"/>
      <c r="K45" s="76"/>
      <c r="L45" s="76"/>
      <c r="M45" s="76"/>
      <c r="N45" s="76"/>
      <c r="O45" s="76"/>
      <c r="P45" s="76"/>
      <c r="Q45" s="76"/>
      <c r="R45" s="72"/>
      <c r="S45" s="72"/>
      <c r="T45" s="72"/>
    </row>
    <row r="46" spans="3:20" outlineLevel="1">
      <c r="C46" s="83" t="str">
        <f>'Input|Reported opex'!$C$66</f>
        <v>Adjustment 4</v>
      </c>
      <c r="D46" s="71" t="s">
        <v>124</v>
      </c>
      <c r="E46" s="16" t="str">
        <f>'Input|Reported opex'!$E$66</f>
        <v>$millions</v>
      </c>
      <c r="F46" s="113">
        <f>'Input|Reported opex'!$F$66</f>
        <v>45809</v>
      </c>
      <c r="J46" s="72">
        <f>IF(YEAR(J$4)=PPLastYear,'Input|Reported opex'!J66,0)</f>
        <v>0</v>
      </c>
      <c r="K46" s="72">
        <f>IF(YEAR(K$4)=PPLastYear,'Input|Reported opex'!K66,0)</f>
        <v>0</v>
      </c>
      <c r="L46" s="72">
        <f>IF(YEAR(L$4)=PPLastYear,'Input|Reported opex'!L66,0)</f>
        <v>0</v>
      </c>
      <c r="M46" s="72">
        <f>IF(YEAR(M$4)=PPLastYear,'Input|Reported opex'!M66,0)</f>
        <v>0</v>
      </c>
      <c r="N46" s="72">
        <f>IF(YEAR(N$4)=PPLastYear,'Input|Reported opex'!N66,0)</f>
        <v>0</v>
      </c>
      <c r="O46" s="72">
        <f>IF(YEAR(O$4)=PPLastYear,'Input|Reported opex'!O66,0)</f>
        <v>0</v>
      </c>
      <c r="P46" s="72">
        <f>IF(YEAR(P$4)=PPLastYear,'Input|Reported opex'!P66,0)</f>
        <v>0</v>
      </c>
      <c r="Q46" s="72">
        <f>IF(YEAR(Q$4)=PPLastYear,'Input|Reported opex'!Q66,0)</f>
        <v>0</v>
      </c>
      <c r="R46" s="72">
        <f>IF(YEAR(R$4)=PPLastYear,'Input|Reported opex'!R66,0)</f>
        <v>0</v>
      </c>
      <c r="S46" s="72">
        <f>IF(YEAR(S$4)=PPLastYear,'Input|Reported opex'!S66,0)</f>
        <v>0</v>
      </c>
      <c r="T46" s="72"/>
    </row>
    <row r="47" spans="3:20" outlineLevel="1">
      <c r="C47" s="83" t="str">
        <f>C46</f>
        <v>Adjustment 4</v>
      </c>
      <c r="D47" s="16" t="s">
        <v>52</v>
      </c>
      <c r="E47" s="16" t="str">
        <f>$E$8</f>
        <v>$millions</v>
      </c>
      <c r="F47" s="113">
        <f>$F$8</f>
        <v>45809</v>
      </c>
      <c r="J47" s="76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6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6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6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6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6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6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6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6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6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6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outlineLevel="1">
      <c r="C48" s="83"/>
      <c r="F48" s="113"/>
      <c r="J48" s="76"/>
      <c r="K48" s="76"/>
      <c r="L48" s="76"/>
      <c r="M48" s="76"/>
      <c r="N48" s="76"/>
      <c r="O48" s="76"/>
      <c r="P48" s="76"/>
      <c r="Q48" s="76"/>
      <c r="R48" s="72"/>
      <c r="S48" s="72"/>
      <c r="T48" s="72"/>
    </row>
    <row r="49" spans="1:31" outlineLevel="1">
      <c r="C49" s="83" t="str">
        <f>'Input|Reported opex'!$C$67</f>
        <v>Adjustment 5</v>
      </c>
      <c r="D49" s="71" t="s">
        <v>124</v>
      </c>
      <c r="E49" s="16" t="str">
        <f>'Input|Reported opex'!$E$67</f>
        <v>$millions</v>
      </c>
      <c r="F49" s="113">
        <f>'Input|Reported opex'!$F$67</f>
        <v>45809</v>
      </c>
      <c r="J49" s="72">
        <f>IF(YEAR(J$4)=PPLastYear,'Input|Reported opex'!J67,0)</f>
        <v>0</v>
      </c>
      <c r="K49" s="72">
        <f>IF(YEAR(K$4)=PPLastYear,'Input|Reported opex'!K67,0)</f>
        <v>0</v>
      </c>
      <c r="L49" s="72">
        <f>IF(YEAR(L$4)=PPLastYear,'Input|Reported opex'!L67,0)</f>
        <v>0</v>
      </c>
      <c r="M49" s="72">
        <f>IF(YEAR(M$4)=PPLastYear,'Input|Reported opex'!M67,0)</f>
        <v>0</v>
      </c>
      <c r="N49" s="72">
        <f>IF(YEAR(N$4)=PPLastYear,'Input|Reported opex'!N67,0)</f>
        <v>0</v>
      </c>
      <c r="O49" s="72">
        <f>IF(YEAR(O$4)=PPLastYear,'Input|Reported opex'!O67,0)</f>
        <v>0</v>
      </c>
      <c r="P49" s="72">
        <f>IF(YEAR(P$4)=PPLastYear,'Input|Reported opex'!P67,0)</f>
        <v>0</v>
      </c>
      <c r="Q49" s="72">
        <f>IF(YEAR(Q$4)=PPLastYear,'Input|Reported opex'!Q67,0)</f>
        <v>0</v>
      </c>
      <c r="R49" s="72">
        <f>IF(YEAR(R$4)=PPLastYear,'Input|Reported opex'!R67,0)</f>
        <v>0</v>
      </c>
      <c r="S49" s="72">
        <f>IF(YEAR(S$4)=PPLastYear,'Input|Reported opex'!S67,0)</f>
        <v>0</v>
      </c>
      <c r="T49" s="72"/>
    </row>
    <row r="50" spans="1:31" outlineLevel="1">
      <c r="C50" s="83" t="str">
        <f>C49</f>
        <v>Adjustment 5</v>
      </c>
      <c r="D50" s="16" t="s">
        <v>52</v>
      </c>
      <c r="E50" s="16" t="str">
        <f>$E$8</f>
        <v>$millions</v>
      </c>
      <c r="F50" s="113">
        <f>$F$8</f>
        <v>45809</v>
      </c>
      <c r="J50" s="76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6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6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6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6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6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6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6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6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6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6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outlineLevel="1">
      <c r="C51" s="83"/>
      <c r="F51" s="113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</row>
    <row r="52" spans="1:31" outlineLevel="1">
      <c r="C52" s="83" t="s">
        <v>86</v>
      </c>
      <c r="D52" s="16" t="s">
        <v>89</v>
      </c>
      <c r="E52" s="16" t="str">
        <f>$E$8</f>
        <v>$millions</v>
      </c>
      <c r="F52" s="113">
        <f>$F$8</f>
        <v>45809</v>
      </c>
      <c r="J52" s="76">
        <f>SUM(J33,J38,J41,J44,J47,J50)*'Input|Reported opex'!J71</f>
        <v>0</v>
      </c>
      <c r="K52" s="76">
        <f>SUM(K33,K38,K41,K44,K47,K50)*'Input|Reported opex'!K71</f>
        <v>0</v>
      </c>
      <c r="L52" s="76">
        <f>SUM(L33,L38,L41,L44,L47,L50)*'Input|Reported opex'!L71</f>
        <v>0</v>
      </c>
      <c r="M52" s="76">
        <f>SUM(M33,M38,M41,M44,M47,M50)*'Input|Reported opex'!M71</f>
        <v>0</v>
      </c>
      <c r="N52" s="76">
        <f ca="1">SUM(N33,N38,N41,N44,N47,N50)*'Input|Reported opex'!N71</f>
        <v>0</v>
      </c>
      <c r="O52" s="76">
        <f>SUM(O33,O38,O41,O44,O47,O50)*'Input|Reported opex'!O71</f>
        <v>0</v>
      </c>
      <c r="P52" s="76">
        <f>SUM(P33,P38,P41,P44,P47,P50)*'Input|Reported opex'!P71</f>
        <v>0</v>
      </c>
      <c r="Q52" s="76">
        <f>SUM(Q33,Q38,Q41,Q44,Q47,Q50)*'Input|Reported opex'!Q71</f>
        <v>0</v>
      </c>
      <c r="R52" s="76">
        <f>SUM(R33,R38,R41,R44,R47,R50)*'Input|Reported opex'!R71</f>
        <v>0</v>
      </c>
      <c r="S52" s="76">
        <f>SUM(S33,S38,S41,S44,S47,S50)*'Input|Reported opex'!S71</f>
        <v>0</v>
      </c>
      <c r="T52" s="76"/>
    </row>
    <row r="53" spans="1:31" outlineLevel="1">
      <c r="C53" s="83"/>
      <c r="F53" s="113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</row>
    <row r="54" spans="1:31" outlineLevel="1">
      <c r="C54" s="121" t="s">
        <v>135</v>
      </c>
      <c r="D54" s="73" t="s">
        <v>89</v>
      </c>
      <c r="E54" s="73" t="str">
        <f>$E$8</f>
        <v>$millions</v>
      </c>
      <c r="F54" s="122">
        <f>$F$8</f>
        <v>45809</v>
      </c>
      <c r="J54" s="76">
        <f>SUM(J33,J35,J38,J41,J44,J47,J50,J52)</f>
        <v>0</v>
      </c>
      <c r="K54" s="76">
        <f t="shared" ref="K54:S54" si="5">SUM(K33,K35,K38,K41,K44,K47,K50,K52)</f>
        <v>0</v>
      </c>
      <c r="L54" s="76">
        <f t="shared" si="5"/>
        <v>0</v>
      </c>
      <c r="M54" s="76">
        <f t="shared" si="5"/>
        <v>0</v>
      </c>
      <c r="N54" s="76">
        <f t="shared" ca="1" si="5"/>
        <v>9.9594555794938131</v>
      </c>
      <c r="O54" s="76">
        <f t="shared" si="5"/>
        <v>0</v>
      </c>
      <c r="P54" s="76">
        <f t="shared" si="5"/>
        <v>0</v>
      </c>
      <c r="Q54" s="76">
        <f t="shared" si="5"/>
        <v>0</v>
      </c>
      <c r="R54" s="76">
        <f t="shared" si="5"/>
        <v>0</v>
      </c>
      <c r="S54" s="76">
        <f t="shared" si="5"/>
        <v>0</v>
      </c>
      <c r="T54" s="76"/>
    </row>
    <row r="55" spans="1:31">
      <c r="J55" s="70"/>
      <c r="K55" s="70"/>
      <c r="L55" s="70"/>
    </row>
    <row r="56" spans="1:31" customFormat="1" ht="12.75">
      <c r="A56" s="36"/>
      <c r="B56" s="42" t="s">
        <v>136</v>
      </c>
      <c r="C56" s="36"/>
      <c r="D56" s="36"/>
      <c r="E56" s="36"/>
      <c r="F56" s="37"/>
      <c r="G56" s="37"/>
      <c r="H56" s="37"/>
      <c r="I56" s="37"/>
      <c r="J56" s="38"/>
      <c r="K56" s="39"/>
      <c r="L56" s="38"/>
      <c r="M56" s="39"/>
      <c r="N56" s="38"/>
      <c r="O56" s="38"/>
      <c r="P56" s="38"/>
      <c r="Q56" s="38"/>
      <c r="R56" s="38"/>
      <c r="S56" s="38"/>
      <c r="T56" s="38"/>
      <c r="U56" s="38"/>
      <c r="V56" s="38"/>
      <c r="W56" s="39"/>
      <c r="X56" s="39"/>
      <c r="Y56" s="40"/>
      <c r="Z56" s="40"/>
      <c r="AA56" s="40"/>
      <c r="AB56" s="40"/>
      <c r="AC56" s="40"/>
      <c r="AD56" s="41"/>
      <c r="AE56" s="41"/>
    </row>
    <row r="57" spans="1:31" outlineLevel="1"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</row>
    <row r="58" spans="1:31" outlineLevel="1">
      <c r="C58" s="9" t="s">
        <v>137</v>
      </c>
      <c r="D58" s="21" t="s">
        <v>33</v>
      </c>
      <c r="E58" s="21" t="s">
        <v>53</v>
      </c>
      <c r="F58" s="21" t="s">
        <v>56</v>
      </c>
      <c r="J58" s="114" t="str">
        <f>IF(YEAR(J$4)&gt;='Input|General'!$G$13,IF(YEAR(J$4)&lt;='Input|General'!$G$14,J$4,""),"")</f>
        <v/>
      </c>
      <c r="K58" s="114" t="str">
        <f>IF(YEAR(K$4)&gt;='Input|General'!$G$13,IF(YEAR(K$4)&lt;='Input|General'!$G$14,K$4,""),"")</f>
        <v/>
      </c>
      <c r="L58" s="114" t="str">
        <f>IF(YEAR(L$4)&gt;='Input|General'!$G$13,IF(YEAR(L$4)&lt;='Input|General'!$G$14,L$4,""),"")</f>
        <v/>
      </c>
      <c r="M58" s="114" t="str">
        <f>IF(YEAR(M$4)&gt;='Input|General'!$G$13,IF(YEAR(M$4)&lt;='Input|General'!$G$14,M$4,""),"")</f>
        <v/>
      </c>
      <c r="N58" s="114" t="str">
        <f>IF(YEAR(N$4)&gt;='Input|General'!$G$13,IF(YEAR(N$4)&lt;='Input|General'!$G$14,N$4,""),"")</f>
        <v/>
      </c>
      <c r="O58" s="114">
        <f>IF(YEAR(O$4)&gt;='Input|General'!$G$13,IF(YEAR(O$4)&lt;='Input|General'!$G$14,O$4,""),"")</f>
        <v>46174</v>
      </c>
      <c r="P58" s="114">
        <f>IF(YEAR(P$4)&gt;='Input|General'!$G$13,IF(YEAR(P$4)&lt;='Input|General'!$G$14,P$4,""),"")</f>
        <v>46539</v>
      </c>
      <c r="Q58" s="114">
        <f>IF(YEAR(Q$4)&gt;='Input|General'!$G$13,IF(YEAR(Q$4)&lt;='Input|General'!$G$14,Q$4,""),"")</f>
        <v>46905</v>
      </c>
      <c r="R58" s="114">
        <f>IF(YEAR(R$4)&gt;='Input|General'!$G$13,IF(YEAR(R$4)&lt;='Input|General'!$G$14,R$4,""),"")</f>
        <v>47270</v>
      </c>
      <c r="S58" s="114">
        <f>IF(YEAR(S$4)&gt;='Input|General'!$G$13,IF(YEAR(S$4)&lt;='Input|General'!$G$14,S$4,""),"")</f>
        <v>47635</v>
      </c>
      <c r="T58" s="114" t="str">
        <f>IF(YEAR(T$4)&gt;='Input|General'!$G$13,IF(YEAR(T$4)&lt;='Input|General'!$G$14,T$4,""),"")</f>
        <v/>
      </c>
    </row>
    <row r="59" spans="1:31" outlineLevel="1">
      <c r="C59" s="9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</row>
    <row r="60" spans="1:31" outlineLevel="1">
      <c r="B60" s="9"/>
      <c r="C60" s="77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</row>
    <row r="61" spans="1:31" outlineLevel="1">
      <c r="C61" s="15" t="s">
        <v>138</v>
      </c>
      <c r="D61" s="16" t="s">
        <v>52</v>
      </c>
      <c r="E61" s="16" t="s">
        <v>87</v>
      </c>
      <c r="F61" s="16" t="s">
        <v>99</v>
      </c>
      <c r="J61" s="78">
        <f ca="1">IF(J58=J4,AVERAGE(OFFSET('Input|Rate of change'!K97,0,0,COUNTA('Input|Rate of change'!$J$84:$M$84),1)),0)</f>
        <v>0</v>
      </c>
      <c r="K61" s="78">
        <f ca="1">IF(K58=K4,AVERAGE(OFFSET('Input|Rate of change'!L97,0,0,COUNTA('Input|Rate of change'!$J$84:$M$84),1)),0)</f>
        <v>0</v>
      </c>
      <c r="L61" s="78">
        <f ca="1">IF(L58=L4,AVERAGE(OFFSET('Input|Rate of change'!M97,0,0,COUNTA('Input|Rate of change'!$J$84:$M$84),1)),0)</f>
        <v>0</v>
      </c>
      <c r="M61" s="78">
        <f ca="1">IF(M58=M4,AVERAGE(OFFSET('Input|Rate of change'!N97,0,0,COUNTA('Input|Rate of change'!$J$84:$M$84),1)),0)</f>
        <v>0</v>
      </c>
      <c r="N61" s="78">
        <f ca="1">IF(N58=N4,AVERAGE(OFFSET('Input|Rate of change'!O97,0,0,COUNTA('Input|Rate of change'!$J$84:$M$84),1)),0)</f>
        <v>0</v>
      </c>
      <c r="O61" s="78">
        <f ca="1">IF(O58=O4,AVERAGE(OFFSET('Input|Rate of change'!P97,0,0,COUNTA('Input|Rate of change'!$J$84:$M$84),1)),0)</f>
        <v>4.9875415110389107E-3</v>
      </c>
      <c r="P61" s="78">
        <f ca="1">IF(P58=P4,AVERAGE(OFFSET('Input|Rate of change'!Q97,0,0,COUNTA('Input|Rate of change'!$J$84:$M$84),1)),0)</f>
        <v>4.9875415110389818E-3</v>
      </c>
      <c r="Q61" s="78">
        <f ca="1">IF(Q58=Q4,AVERAGE(OFFSET('Input|Rate of change'!R97,0,0,COUNTA('Input|Rate of change'!$J$84:$M$84),1)),0)</f>
        <v>4.9875415110390113E-3</v>
      </c>
      <c r="R61" s="78">
        <f ca="1">IF(R58=R4,AVERAGE(OFFSET('Input|Rate of change'!S97,0,0,COUNTA('Input|Rate of change'!$J$84:$M$84),1)),0)</f>
        <v>4.9875415110388864E-3</v>
      </c>
      <c r="S61" s="78">
        <f ca="1">IF(S58=S4,AVERAGE(OFFSET('Input|Rate of change'!T97,0,0,COUNTA('Input|Rate of change'!$J$84:$M$84),1)),0)</f>
        <v>4.9875415110389038E-3</v>
      </c>
      <c r="T61" s="78">
        <f ca="1">IF(T58=T4,AVERAGE(OFFSET('Input|Rate of change'!U97,0,0,COUNTA('Input|Rate of change'!$J$84:$M$84),1)),0)</f>
        <v>0</v>
      </c>
    </row>
    <row r="62" spans="1:31" outlineLevel="1">
      <c r="C62" s="15" t="s">
        <v>139</v>
      </c>
      <c r="D62" s="16" t="s">
        <v>52</v>
      </c>
      <c r="E62" s="16" t="s">
        <v>87</v>
      </c>
      <c r="F62" s="16" t="s">
        <v>99</v>
      </c>
      <c r="J62" s="78">
        <f t="array" ref="J62">IF(J$58=J$4,PRODUCT(1+$J61:J61)-1,0)</f>
        <v>0</v>
      </c>
      <c r="K62" s="78">
        <f t="array" ref="K62">IF(K$58=K$4,PRODUCT(1+$J61:K61)-1,0)</f>
        <v>0</v>
      </c>
      <c r="L62" s="78">
        <f t="array" ref="L62">IF(L$58=L$4,PRODUCT(1+$J61:L61)-1,0)</f>
        <v>0</v>
      </c>
      <c r="M62" s="78">
        <f t="array" ref="M62">IF(M$58=M$4,PRODUCT(1+$J61:M61)-1,0)</f>
        <v>0</v>
      </c>
      <c r="N62" s="78">
        <f t="array" ref="N62">IF(N$58=N$4,PRODUCT(1+$J61:N61)-1,0)</f>
        <v>0</v>
      </c>
      <c r="O62" s="78">
        <f t="array" aca="1" ref="O62" ca="1">IF(O$58=O$4,PRODUCT(1+$J61:O61)-1,0)</f>
        <v>4.9875415110389731E-3</v>
      </c>
      <c r="P62" s="78">
        <f t="array" aca="1" ref="P62" ca="1">IF(P$58=P$4,PRODUCT(1+$J61:P61)-1,0)</f>
        <v>9.9999585924022139E-3</v>
      </c>
      <c r="Q62" s="78">
        <f t="array" aca="1" ref="Q62" ca="1">IF(Q$58=Q$4,PRODUCT(1+$J61:Q61)-1,0)</f>
        <v>1.5037375312029422E-2</v>
      </c>
      <c r="R62" s="78">
        <f t="array" aca="1" ref="R62" ca="1">IF(R$58=R$4,PRODUCT(1+$J61:R61)-1,0)</f>
        <v>2.0099916356654202E-2</v>
      </c>
      <c r="S62" s="78">
        <f t="array" aca="1" ref="S62" ca="1">IF(S$58=S$4,PRODUCT(1+$J61:S61)-1,0)</f>
        <v>2.5187707034890483E-2</v>
      </c>
      <c r="T62" s="78">
        <f t="array" ref="T62">IF(T$58=T$4,PRODUCT(1+$J61:T61)-1,0)</f>
        <v>0</v>
      </c>
    </row>
    <row r="63" spans="1:31" outlineLevel="1"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</row>
    <row r="64" spans="1:31" outlineLevel="1">
      <c r="C64" s="15" t="s">
        <v>140</v>
      </c>
      <c r="D64" s="16" t="s">
        <v>52</v>
      </c>
      <c r="E64" s="16" t="s">
        <v>87</v>
      </c>
      <c r="F64" s="16" t="s">
        <v>99</v>
      </c>
      <c r="J64" s="78">
        <f>SUMPRODUCT('Input|Rate of change'!K38:K45,'Input|Rate of change'!K51:K58)</f>
        <v>0</v>
      </c>
      <c r="K64" s="78">
        <f>SUMPRODUCT('Input|Rate of change'!L38:L45,'Input|Rate of change'!L51:L58)</f>
        <v>0</v>
      </c>
      <c r="L64" s="78">
        <f>SUMPRODUCT('Input|Rate of change'!M38:M45,'Input|Rate of change'!M51:M58)</f>
        <v>0</v>
      </c>
      <c r="M64" s="78">
        <f>SUMPRODUCT('Input|Rate of change'!N38:N45,'Input|Rate of change'!N51:N58)</f>
        <v>0</v>
      </c>
      <c r="N64" s="78">
        <f>SUMPRODUCT('Input|Rate of change'!O38:O45,'Input|Rate of change'!O51:O58)</f>
        <v>0</v>
      </c>
      <c r="O64" s="78">
        <f>SUMPRODUCT('Input|Rate of change'!P38:P45,'Input|Rate of change'!P51:P58)</f>
        <v>8.7456021612573199E-3</v>
      </c>
      <c r="P64" s="78">
        <f>SUMPRODUCT('Input|Rate of change'!Q38:Q45,'Input|Rate of change'!Q51:Q58)</f>
        <v>7.6085998022781326E-3</v>
      </c>
      <c r="Q64" s="78">
        <f>SUMPRODUCT('Input|Rate of change'!R38:R45,'Input|Rate of change'!R51:R58)</f>
        <v>6.409732637062824E-3</v>
      </c>
      <c r="R64" s="78">
        <f>SUMPRODUCT('Input|Rate of change'!S38:S45,'Input|Rate of change'!S51:S58)</f>
        <v>8.1428159612005179E-3</v>
      </c>
      <c r="S64" s="78">
        <f>SUMPRODUCT('Input|Rate of change'!T38:T45,'Input|Rate of change'!T51:T58)</f>
        <v>9.1907336242957553E-3</v>
      </c>
      <c r="T64" s="78">
        <f>SUMPRODUCT('Input|Rate of change'!U38:U45,'Input|Rate of change'!U51:U58)</f>
        <v>0</v>
      </c>
    </row>
    <row r="65" spans="1:31" outlineLevel="1">
      <c r="C65" s="15" t="s">
        <v>141</v>
      </c>
      <c r="D65" s="16" t="s">
        <v>52</v>
      </c>
      <c r="E65" s="16" t="s">
        <v>87</v>
      </c>
      <c r="F65" s="16" t="s">
        <v>99</v>
      </c>
      <c r="J65" s="78">
        <f t="array" ref="J65">IF(J$58=J$4,PRODUCT(1+$J64:J64)-1,0)</f>
        <v>0</v>
      </c>
      <c r="K65" s="78">
        <f t="array" ref="K65">IF(K$58=K$4,PRODUCT(1+$J64:K64)-1,0)</f>
        <v>0</v>
      </c>
      <c r="L65" s="78">
        <f t="array" ref="L65">IF(L$58=L$4,PRODUCT(1+$J64:L64)-1,0)</f>
        <v>0</v>
      </c>
      <c r="M65" s="78">
        <f t="array" ref="M65">IF(M$58=M$4,PRODUCT(1+$J64:M64)-1,0)</f>
        <v>0</v>
      </c>
      <c r="N65" s="78">
        <f t="array" ref="N65">IF(N$58=N$4,PRODUCT(1+$J64:N64)-1,0)</f>
        <v>0</v>
      </c>
      <c r="O65" s="78">
        <f t="array" ref="O65">IF(O$58=O$4,PRODUCT(1+$J64:O64)-1,0)</f>
        <v>8.7456021612573043E-3</v>
      </c>
      <c r="P65" s="78">
        <f t="array" ref="P65">IF(P$58=P$4,PRODUCT(1+$J64:P64)-1,0)</f>
        <v>1.6420743750410471E-2</v>
      </c>
      <c r="Q65" s="78">
        <f t="array" ref="Q65">IF(Q$58=Q$4,PRODUCT(1+$J64:Q64)-1,0)</f>
        <v>2.2935728964615265E-2</v>
      </c>
      <c r="R65" s="78">
        <f t="array" ref="R65">IF(R$58=R$4,PRODUCT(1+$J64:R64)-1,0)</f>
        <v>3.1265306345710675E-2</v>
      </c>
      <c r="S65" s="78">
        <f t="array" ref="S65">IF(S$58=S$4,PRODUCT(1+$J64:S64)-1,0)</f>
        <v>4.0743391072311841E-2</v>
      </c>
      <c r="T65" s="78">
        <f t="array" ref="T65">IF(T$58=T$4,PRODUCT(1+$J64:T64)-1,0)</f>
        <v>0</v>
      </c>
    </row>
    <row r="66" spans="1:31" outlineLevel="1">
      <c r="C66" s="15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</row>
    <row r="67" spans="1:31" outlineLevel="1">
      <c r="C67" s="15" t="s">
        <v>142</v>
      </c>
      <c r="D67" s="16" t="s">
        <v>52</v>
      </c>
      <c r="E67" s="16" t="s">
        <v>87</v>
      </c>
      <c r="F67" s="16" t="s">
        <v>99</v>
      </c>
      <c r="J67" s="78">
        <f>'Input|Rate of change'!K106</f>
        <v>0</v>
      </c>
      <c r="K67" s="78">
        <f>'Input|Rate of change'!L106</f>
        <v>0</v>
      </c>
      <c r="L67" s="78">
        <f>'Input|Rate of change'!M106</f>
        <v>0</v>
      </c>
      <c r="M67" s="78">
        <f>'Input|Rate of change'!N106</f>
        <v>0</v>
      </c>
      <c r="N67" s="78">
        <f>'Input|Rate of change'!O106</f>
        <v>0</v>
      </c>
      <c r="O67" s="78">
        <f>'Input|Rate of change'!P106</f>
        <v>5.0000000000000001E-3</v>
      </c>
      <c r="P67" s="78">
        <f>'Input|Rate of change'!Q106</f>
        <v>5.0000000000000001E-3</v>
      </c>
      <c r="Q67" s="78">
        <f>'Input|Rate of change'!R106</f>
        <v>5.0000000000000001E-3</v>
      </c>
      <c r="R67" s="78">
        <f>'Input|Rate of change'!S106</f>
        <v>5.0000000000000001E-3</v>
      </c>
      <c r="S67" s="78">
        <f>'Input|Rate of change'!T106</f>
        <v>5.0000000000000001E-3</v>
      </c>
      <c r="T67" s="78">
        <f>'Input|Rate of change'!U106</f>
        <v>0</v>
      </c>
    </row>
    <row r="68" spans="1:31" outlineLevel="1">
      <c r="C68" s="15" t="s">
        <v>143</v>
      </c>
      <c r="D68" s="16" t="s">
        <v>52</v>
      </c>
      <c r="E68" s="16" t="s">
        <v>87</v>
      </c>
      <c r="F68" s="16" t="s">
        <v>99</v>
      </c>
      <c r="J68" s="78">
        <f t="array" ref="J68">IF(J$58=J$4,PRODUCT(1+$J67:J67)-1,0)</f>
        <v>0</v>
      </c>
      <c r="K68" s="78">
        <f t="array" ref="K68">IF(K$58=K$4,PRODUCT(1+$J67:K67)-1,0)</f>
        <v>0</v>
      </c>
      <c r="L68" s="78">
        <f t="array" ref="L68">IF(L$58=L$4,PRODUCT(1+$J67:L67)-1,0)</f>
        <v>0</v>
      </c>
      <c r="M68" s="78">
        <f t="array" ref="M68">IF(M$58=M$4,PRODUCT(1+$J67:M67)-1,0)</f>
        <v>0</v>
      </c>
      <c r="N68" s="78">
        <f t="array" ref="N68">IF(N$58=N$4,PRODUCT(1+$J67:N67)-1,0)</f>
        <v>0</v>
      </c>
      <c r="O68" s="78">
        <f t="array" ref="O68">IF(O$58=O$4,PRODUCT(1+$J67:O67)-1,0)</f>
        <v>4.9999999999998934E-3</v>
      </c>
      <c r="P68" s="78">
        <f t="array" ref="P68">IF(P$58=P$4,PRODUCT(1+$J67:P67)-1,0)</f>
        <v>1.0024999999999729E-2</v>
      </c>
      <c r="Q68" s="78">
        <f t="array" ref="Q68">IF(Q$58=Q$4,PRODUCT(1+$J67:Q67)-1,0)</f>
        <v>1.5075124999999634E-2</v>
      </c>
      <c r="R68" s="78">
        <f t="array" ref="R68">IF(R$58=R$4,PRODUCT(1+$J67:R67)-1,0)</f>
        <v>2.0150500624999568E-2</v>
      </c>
      <c r="S68" s="78">
        <f t="array" ref="S68">IF(S$58=S$4,PRODUCT(1+$J67:S67)-1,0)</f>
        <v>2.5251253128124374E-2</v>
      </c>
      <c r="T68" s="78">
        <f t="array" ref="T68">IF(T$58=T$4,PRODUCT(1+$J67:T67)-1,0)</f>
        <v>0</v>
      </c>
    </row>
    <row r="69" spans="1:31" outlineLevel="1">
      <c r="C69" s="15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</row>
    <row r="70" spans="1:31" outlineLevel="1">
      <c r="C70" s="79" t="s">
        <v>144</v>
      </c>
      <c r="D70" s="75" t="s">
        <v>52</v>
      </c>
      <c r="E70" s="75" t="s">
        <v>87</v>
      </c>
      <c r="F70" s="75" t="s">
        <v>99</v>
      </c>
      <c r="J70" s="98">
        <f ca="1">(1+J61)*(1+J64)*(1-J67)-1</f>
        <v>0</v>
      </c>
      <c r="K70" s="98">
        <f t="shared" ref="K70:S70" ca="1" si="6">(1+K61)*(1+K64)*(1-K67)-1</f>
        <v>0</v>
      </c>
      <c r="L70" s="98">
        <f t="shared" ca="1" si="6"/>
        <v>0</v>
      </c>
      <c r="M70" s="98">
        <f t="shared" ca="1" si="6"/>
        <v>0</v>
      </c>
      <c r="N70" s="98">
        <f t="shared" ca="1" si="6"/>
        <v>0</v>
      </c>
      <c r="O70" s="98">
        <f t="shared" ca="1" si="6"/>
        <v>8.707878912483924E-3</v>
      </c>
      <c r="P70" s="98">
        <f t="shared" ca="1" si="6"/>
        <v>7.570919073068394E-3</v>
      </c>
      <c r="Q70" s="98">
        <f t="shared" ca="1" si="6"/>
        <v>6.3720967409253149E-3</v>
      </c>
      <c r="R70" s="98">
        <f t="shared" ca="1" si="6"/>
        <v>8.1051152543385463E-3</v>
      </c>
      <c r="S70" s="98">
        <f t="shared" ca="1" si="6"/>
        <v>9.1529937292988972E-3</v>
      </c>
      <c r="T70" s="98">
        <f t="shared" ref="T70" ca="1" si="7">(1+T61)*(1+T64)*(1-T67)-1</f>
        <v>0</v>
      </c>
    </row>
    <row r="71" spans="1:31" outlineLevel="1">
      <c r="C71" s="9" t="s">
        <v>145</v>
      </c>
      <c r="D71" s="16" t="s">
        <v>52</v>
      </c>
      <c r="E71" s="16" t="s">
        <v>87</v>
      </c>
      <c r="F71" s="16" t="s">
        <v>99</v>
      </c>
      <c r="J71" s="78" t="str">
        <f t="array" ref="J71">IF(J$58=J$4,PRODUCT(1+$J70:J70)-1,"")</f>
        <v/>
      </c>
      <c r="K71" s="78" t="str">
        <f t="array" ref="K71">IF(K$58=K$4,PRODUCT(1+$J70:K70)-1,"")</f>
        <v/>
      </c>
      <c r="L71" s="78" t="str">
        <f t="array" ref="L71">IF(L$58=L$4,PRODUCT(1+$J70:L70)-1,"")</f>
        <v/>
      </c>
      <c r="M71" s="78" t="str">
        <f t="array" ref="M71">IF(M$58=M$4,PRODUCT(1+$J70:M70)-1,"")</f>
        <v/>
      </c>
      <c r="N71" s="78" t="str">
        <f t="array" ref="N71">IF(N$58=N$4,PRODUCT(1+$J70:N70)-1,"")</f>
        <v/>
      </c>
      <c r="O71" s="78">
        <f t="array" aca="1" ref="O71" ca="1">IF(O$58=O$4,PRODUCT(1+$J70:O70)-1,"")</f>
        <v>8.707878912483924E-3</v>
      </c>
      <c r="P71" s="78">
        <f t="array" aca="1" ref="P71" ca="1">IF(P$58=P$4,PRODUCT(1+$J70:P70)-1,"")</f>
        <v>1.6344724632096908E-2</v>
      </c>
      <c r="Q71" s="78">
        <f t="array" aca="1" ref="Q71" ca="1">IF(Q$58=Q$4,PRODUCT(1+$J70:Q70)-1,"")</f>
        <v>2.2820971539581736E-2</v>
      </c>
      <c r="R71" s="78">
        <f t="array" aca="1" ref="R71" ca="1">IF(R$58=R$4,PRODUCT(1+$J70:R70)-1,"")</f>
        <v>3.111105339846465E-2</v>
      </c>
      <c r="S71" s="78">
        <f t="array" aca="1" ref="S71" ca="1">IF(S$58=S$4,PRODUCT(1+$J70:S70)-1,"")</f>
        <v>4.0548806404431481E-2</v>
      </c>
      <c r="T71" s="78" t="str">
        <f t="array" ref="T71">IF(T$58=T$4,PRODUCT(1+$J70:T70)-1,"")</f>
        <v/>
      </c>
    </row>
    <row r="72" spans="1:31">
      <c r="J72" s="70"/>
      <c r="K72" s="70"/>
      <c r="L72" s="70"/>
      <c r="M72" s="70"/>
      <c r="N72" s="70"/>
      <c r="O72" s="80"/>
      <c r="P72" s="80"/>
      <c r="Q72" s="80"/>
      <c r="R72" s="80"/>
      <c r="S72" s="80"/>
      <c r="T72" s="80"/>
    </row>
    <row r="73" spans="1:31" customFormat="1" ht="12.75">
      <c r="A73" s="36"/>
      <c r="B73" s="42" t="s">
        <v>146</v>
      </c>
      <c r="C73" s="36"/>
      <c r="D73" s="36"/>
      <c r="E73" s="36"/>
      <c r="F73" s="37"/>
      <c r="G73" s="37"/>
      <c r="H73" s="37"/>
      <c r="I73" s="37"/>
      <c r="J73" s="38"/>
      <c r="K73" s="39"/>
      <c r="L73" s="38"/>
      <c r="M73" s="39"/>
      <c r="N73" s="38"/>
      <c r="O73" s="38"/>
      <c r="P73" s="38"/>
      <c r="Q73" s="38"/>
      <c r="R73" s="38"/>
      <c r="S73" s="38"/>
      <c r="T73" s="38"/>
      <c r="U73" s="38"/>
      <c r="V73" s="38"/>
      <c r="W73" s="39"/>
      <c r="X73" s="39"/>
      <c r="Y73" s="40"/>
      <c r="Z73" s="40"/>
      <c r="AA73" s="40"/>
      <c r="AB73" s="40"/>
      <c r="AC73" s="40"/>
      <c r="AD73" s="41"/>
      <c r="AE73" s="41"/>
    </row>
    <row r="74" spans="1:31" outlineLevel="1">
      <c r="C74" s="15"/>
      <c r="J74" s="70"/>
      <c r="K74" s="70"/>
      <c r="L74" s="70"/>
    </row>
    <row r="75" spans="1:31" outlineLevel="1">
      <c r="C75" s="9" t="s">
        <v>147</v>
      </c>
      <c r="D75" s="21" t="s">
        <v>33</v>
      </c>
      <c r="E75" s="21" t="s">
        <v>53</v>
      </c>
      <c r="F75" s="21" t="s">
        <v>56</v>
      </c>
      <c r="J75" s="114" t="str">
        <f>IF(YEAR(J$4)&gt;='Input|General'!$G$13,IF(YEAR(J$4)&lt;='Input|General'!$G$14,J$4,""),"")</f>
        <v/>
      </c>
      <c r="K75" s="114" t="str">
        <f>IF(YEAR(K$4)&gt;='Input|General'!$G$13,IF(YEAR(K$4)&lt;='Input|General'!$G$14,K$4,""),"")</f>
        <v/>
      </c>
      <c r="L75" s="114" t="str">
        <f>IF(YEAR(L$4)&gt;='Input|General'!$G$13,IF(YEAR(L$4)&lt;='Input|General'!$G$14,L$4,""),"")</f>
        <v/>
      </c>
      <c r="M75" s="114" t="str">
        <f>IF(YEAR(M$4)&gt;='Input|General'!$G$13,IF(YEAR(M$4)&lt;='Input|General'!$G$14,M$4,""),"")</f>
        <v/>
      </c>
      <c r="N75" s="114" t="str">
        <f>IF(YEAR(N$4)&gt;='Input|General'!$G$13,IF(YEAR(N$4)&lt;='Input|General'!$G$14,N$4,""),"")</f>
        <v/>
      </c>
      <c r="O75" s="114">
        <f>IF(YEAR(O$4)&gt;='Input|General'!$G$13,IF(YEAR(O$4)&lt;='Input|General'!$G$14,O$4,""),"")</f>
        <v>46174</v>
      </c>
      <c r="P75" s="114">
        <f>IF(YEAR(P$4)&gt;='Input|General'!$G$13,IF(YEAR(P$4)&lt;='Input|General'!$G$14,P$4,""),"")</f>
        <v>46539</v>
      </c>
      <c r="Q75" s="114">
        <f>IF(YEAR(Q$4)&gt;='Input|General'!$G$13,IF(YEAR(Q$4)&lt;='Input|General'!$G$14,Q$4,""),"")</f>
        <v>46905</v>
      </c>
      <c r="R75" s="114">
        <f>IF(YEAR(R$4)&gt;='Input|General'!$G$13,IF(YEAR(R$4)&lt;='Input|General'!$G$14,R$4,""),"")</f>
        <v>47270</v>
      </c>
      <c r="S75" s="114">
        <f>IF(YEAR(S$4)&gt;='Input|General'!$G$13,IF(YEAR(S$4)&lt;='Input|General'!$G$14,S$4,""),"")</f>
        <v>47635</v>
      </c>
      <c r="T75" s="114" t="str">
        <f>IF(YEAR(T$4)&gt;='Input|General'!$G$13,IF(YEAR(T$4)&lt;='Input|General'!$G$14,T$4,""),"")</f>
        <v/>
      </c>
    </row>
    <row r="76" spans="1:31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81" t="str">
        <f>'Input|Step changes'!C12</f>
        <v>Sub Sea Cable Repair Strategy</v>
      </c>
      <c r="D77" s="16" t="s">
        <v>52</v>
      </c>
      <c r="E77" s="16" t="str">
        <f t="shared" ref="E77:E97" si="8">$E$8</f>
        <v>$millions</v>
      </c>
      <c r="F77" s="113">
        <f t="shared" ref="F77:F87" si="9">$F$8</f>
        <v>45809</v>
      </c>
      <c r="J77" s="85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85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85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85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85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85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1.7710830074196209</v>
      </c>
      <c r="P77" s="85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1.7710830074196209</v>
      </c>
      <c r="Q77" s="85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1.7710830074196209</v>
      </c>
      <c r="R77" s="85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S77" s="85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T77" s="85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81">
        <f>'Input|Step changes'!C13</f>
        <v>0</v>
      </c>
      <c r="D78" s="16" t="s">
        <v>52</v>
      </c>
      <c r="E78" s="16" t="str">
        <f t="shared" si="8"/>
        <v>$millions</v>
      </c>
      <c r="F78" s="113">
        <f t="shared" si="9"/>
        <v>45809</v>
      </c>
      <c r="J78" s="85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85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85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85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85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85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P78" s="85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Q78" s="85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R78" s="85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S78" s="85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T78" s="85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31" outlineLevel="1">
      <c r="C79" s="81">
        <f>'Input|Step changes'!C14</f>
        <v>0</v>
      </c>
      <c r="D79" s="16" t="s">
        <v>52</v>
      </c>
      <c r="E79" s="16" t="str">
        <f t="shared" si="8"/>
        <v>$millions</v>
      </c>
      <c r="F79" s="113">
        <f t="shared" si="9"/>
        <v>45809</v>
      </c>
      <c r="J79" s="85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85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85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85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85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85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P79" s="85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Q79" s="85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R79" s="85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S79" s="85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T79" s="85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31" outlineLevel="1">
      <c r="C80" s="81">
        <f>'Input|Step changes'!C15</f>
        <v>0</v>
      </c>
      <c r="D80" s="16" t="s">
        <v>52</v>
      </c>
      <c r="E80" s="16" t="str">
        <f t="shared" si="8"/>
        <v>$millions</v>
      </c>
      <c r="F80" s="113">
        <f t="shared" si="9"/>
        <v>45809</v>
      </c>
      <c r="J80" s="85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85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85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85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85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85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P80" s="85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Q80" s="85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R80" s="85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S80" s="85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T80" s="85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31" outlineLevel="1">
      <c r="C81" s="81">
        <f>'Input|Step changes'!C16</f>
        <v>0</v>
      </c>
      <c r="D81" s="16" t="s">
        <v>52</v>
      </c>
      <c r="E81" s="16" t="str">
        <f t="shared" si="8"/>
        <v>$millions</v>
      </c>
      <c r="F81" s="113">
        <f t="shared" si="9"/>
        <v>45809</v>
      </c>
      <c r="J81" s="85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85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85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85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85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85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P81" s="85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Q81" s="85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R81" s="85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S81" s="85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T81" s="85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31" outlineLevel="1">
      <c r="C82" s="81">
        <f>'Input|Step changes'!C17</f>
        <v>0</v>
      </c>
      <c r="D82" s="16" t="s">
        <v>52</v>
      </c>
      <c r="E82" s="16" t="str">
        <f t="shared" si="8"/>
        <v>$millions</v>
      </c>
      <c r="F82" s="113">
        <f t="shared" si="9"/>
        <v>45809</v>
      </c>
      <c r="J82" s="85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85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85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85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85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85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85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85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85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85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85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C83" s="81">
        <f>'Input|Step changes'!C18</f>
        <v>0</v>
      </c>
      <c r="D83" s="16" t="s">
        <v>52</v>
      </c>
      <c r="E83" s="16" t="str">
        <f t="shared" si="8"/>
        <v>$millions</v>
      </c>
      <c r="F83" s="113">
        <f t="shared" si="9"/>
        <v>45809</v>
      </c>
      <c r="J83" s="85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85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85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85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85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85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85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85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85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85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85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31" outlineLevel="1">
      <c r="C84" s="81">
        <f>'Input|Step changes'!C19</f>
        <v>0</v>
      </c>
      <c r="D84" s="16" t="s">
        <v>52</v>
      </c>
      <c r="E84" s="16" t="str">
        <f t="shared" si="8"/>
        <v>$millions</v>
      </c>
      <c r="F84" s="113">
        <f t="shared" si="9"/>
        <v>45809</v>
      </c>
      <c r="J84" s="85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85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85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85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85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85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85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85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85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85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85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31" outlineLevel="1">
      <c r="C85" s="81">
        <f>'Input|Step changes'!C20</f>
        <v>0</v>
      </c>
      <c r="D85" s="16" t="s">
        <v>52</v>
      </c>
      <c r="E85" s="16" t="str">
        <f t="shared" si="8"/>
        <v>$millions</v>
      </c>
      <c r="F85" s="113">
        <f t="shared" si="9"/>
        <v>45809</v>
      </c>
      <c r="J85" s="85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85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85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85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85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85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85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85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85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85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85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31" outlineLevel="1">
      <c r="C86" s="81"/>
      <c r="F86" s="73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</row>
    <row r="87" spans="1:31" outlineLevel="1">
      <c r="C87" s="74" t="s">
        <v>148</v>
      </c>
      <c r="D87" s="82" t="s">
        <v>52</v>
      </c>
      <c r="E87" s="82" t="str">
        <f>$E$8</f>
        <v>$millions</v>
      </c>
      <c r="F87" s="120">
        <f t="shared" si="9"/>
        <v>45809</v>
      </c>
      <c r="G87" s="21"/>
      <c r="H87" s="21"/>
      <c r="I87" s="21"/>
      <c r="J87" s="86">
        <f>SUM(J76:J86)</f>
        <v>0</v>
      </c>
      <c r="K87" s="86">
        <f t="shared" ref="K87:S87" si="10">SUM(K76:K86)</f>
        <v>0</v>
      </c>
      <c r="L87" s="86">
        <f t="shared" si="10"/>
        <v>0</v>
      </c>
      <c r="M87" s="86">
        <f t="shared" si="10"/>
        <v>0</v>
      </c>
      <c r="N87" s="86">
        <f t="shared" si="10"/>
        <v>0</v>
      </c>
      <c r="O87" s="86">
        <f t="shared" si="10"/>
        <v>1.7710830074196209</v>
      </c>
      <c r="P87" s="86">
        <f t="shared" si="10"/>
        <v>1.7710830074196209</v>
      </c>
      <c r="Q87" s="86">
        <f t="shared" si="10"/>
        <v>1.7710830074196209</v>
      </c>
      <c r="R87" s="86">
        <f t="shared" si="10"/>
        <v>0</v>
      </c>
      <c r="S87" s="86">
        <f t="shared" si="10"/>
        <v>0</v>
      </c>
      <c r="T87" s="86">
        <f t="shared" ref="T87" si="11">SUM(T76:T86)</f>
        <v>0</v>
      </c>
    </row>
    <row r="88" spans="1:31">
      <c r="C88" s="83"/>
      <c r="J88" s="70"/>
      <c r="K88" s="70"/>
      <c r="L88" s="70"/>
      <c r="M88" s="70"/>
      <c r="N88" s="24"/>
      <c r="O88" s="24"/>
      <c r="P88" s="24"/>
      <c r="Q88" s="24"/>
      <c r="R88" s="24"/>
      <c r="S88" s="24"/>
      <c r="T88" s="24"/>
    </row>
    <row r="89" spans="1:31" customFormat="1" ht="12.75">
      <c r="A89" s="36"/>
      <c r="B89" s="42" t="s">
        <v>149</v>
      </c>
      <c r="C89" s="36"/>
      <c r="D89" s="36"/>
      <c r="E89" s="36"/>
      <c r="F89" s="37"/>
      <c r="G89" s="37"/>
      <c r="H89" s="37"/>
      <c r="I89" s="37"/>
      <c r="J89" s="38"/>
      <c r="K89" s="39"/>
      <c r="L89" s="38"/>
      <c r="M89" s="39"/>
      <c r="N89" s="38"/>
      <c r="O89" s="38"/>
      <c r="P89" s="38"/>
      <c r="Q89" s="38"/>
      <c r="R89" s="38"/>
      <c r="S89" s="38"/>
      <c r="T89" s="38"/>
      <c r="U89" s="38"/>
      <c r="V89" s="38"/>
      <c r="W89" s="39"/>
      <c r="X89" s="39"/>
      <c r="Y89" s="40"/>
      <c r="Z89" s="40"/>
      <c r="AA89" s="40"/>
      <c r="AB89" s="40"/>
      <c r="AC89" s="40"/>
      <c r="AD89" s="41"/>
      <c r="AE89" s="41"/>
    </row>
    <row r="90" spans="1:31" outlineLevel="1">
      <c r="C90" s="15"/>
      <c r="J90" s="70"/>
      <c r="K90" s="70"/>
      <c r="L90" s="70"/>
    </row>
    <row r="91" spans="1:31" outlineLevel="1">
      <c r="C91" s="9" t="s">
        <v>115</v>
      </c>
      <c r="D91" s="21" t="s">
        <v>33</v>
      </c>
      <c r="E91" s="21" t="s">
        <v>53</v>
      </c>
      <c r="F91" s="21" t="s">
        <v>56</v>
      </c>
      <c r="J91" s="114" t="str">
        <f>IF(YEAR(J$4)&gt;='Input|General'!$G$13,IF(YEAR(J$4)&lt;='Input|General'!$G$14,J$4,""),"")</f>
        <v/>
      </c>
      <c r="K91" s="114" t="str">
        <f>IF(YEAR(K$4)&gt;='Input|General'!$G$13,IF(YEAR(K$4)&lt;='Input|General'!$G$14,K$4,""),"")</f>
        <v/>
      </c>
      <c r="L91" s="114" t="str">
        <f>IF(YEAR(L$4)&gt;='Input|General'!$G$13,IF(YEAR(L$4)&lt;='Input|General'!$G$14,L$4,""),"")</f>
        <v/>
      </c>
      <c r="M91" s="114" t="str">
        <f>IF(YEAR(M$4)&gt;='Input|General'!$G$13,IF(YEAR(M$4)&lt;='Input|General'!$G$14,M$4,""),"")</f>
        <v/>
      </c>
      <c r="N91" s="114" t="str">
        <f>IF(YEAR(N$4)&gt;='Input|General'!$G$13,IF(YEAR(N$4)&lt;='Input|General'!$G$14,N$4,""),"")</f>
        <v/>
      </c>
      <c r="O91" s="114">
        <f>IF(YEAR(O$4)&gt;='Input|General'!$G$13,IF(YEAR(O$4)&lt;='Input|General'!$G$14,O$4,""),"")</f>
        <v>46174</v>
      </c>
      <c r="P91" s="114">
        <f>IF(YEAR(P$4)&gt;='Input|General'!$G$13,IF(YEAR(P$4)&lt;='Input|General'!$G$14,P$4,""),"")</f>
        <v>46539</v>
      </c>
      <c r="Q91" s="114">
        <f>IF(YEAR(Q$4)&gt;='Input|General'!$G$13,IF(YEAR(Q$4)&lt;='Input|General'!$G$14,Q$4,""),"")</f>
        <v>46905</v>
      </c>
      <c r="R91" s="114">
        <f>IF(YEAR(R$4)&gt;='Input|General'!$G$13,IF(YEAR(R$4)&lt;='Input|General'!$G$14,R$4,""),"")</f>
        <v>47270</v>
      </c>
      <c r="S91" s="114">
        <f>IF(YEAR(S$4)&gt;='Input|General'!$G$13,IF(YEAR(S$4)&lt;='Input|General'!$G$14,S$4,""),"")</f>
        <v>47635</v>
      </c>
      <c r="T91" s="114" t="str">
        <f>IF(YEAR(T$4)&gt;='Input|General'!$G$13,IF(YEAR(T$4)&lt;='Input|General'!$G$14,T$4,""),"")</f>
        <v/>
      </c>
    </row>
    <row r="92" spans="1:31" outlineLevel="1">
      <c r="C92" s="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31" outlineLevel="1">
      <c r="C93" s="81" t="str">
        <f>'Input|Step changes'!C28</f>
        <v>Insurance</v>
      </c>
      <c r="D93" s="16" t="s">
        <v>52</v>
      </c>
      <c r="E93" s="16" t="str">
        <f t="shared" si="8"/>
        <v>$millions</v>
      </c>
      <c r="F93" s="113">
        <f t="shared" ref="F93:F97" si="12">$F$8</f>
        <v>45809</v>
      </c>
      <c r="J93" s="85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85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85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85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85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85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11.068040511977244</v>
      </c>
      <c r="P93" s="85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11.660838498616441</v>
      </c>
      <c r="Q93" s="85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12.001658683305999</v>
      </c>
      <c r="R93" s="85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12.326305560653612</v>
      </c>
      <c r="S93" s="85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12.592775141583546</v>
      </c>
      <c r="T93" s="85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31" outlineLevel="1">
      <c r="C94" s="81" t="str">
        <f>'Input|Step changes'!C29</f>
        <v>Corporate Opex</v>
      </c>
      <c r="D94" s="16" t="s">
        <v>52</v>
      </c>
      <c r="E94" s="16" t="str">
        <f t="shared" si="8"/>
        <v>$millions</v>
      </c>
      <c r="F94" s="113">
        <f t="shared" si="12"/>
        <v>45809</v>
      </c>
      <c r="J94" s="85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85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85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85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85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85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2.9542052839759831</v>
      </c>
      <c r="P94" s="85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2.9762465249701728</v>
      </c>
      <c r="Q94" s="85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2.9946838411600467</v>
      </c>
      <c r="R94" s="85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3.0190204915497949</v>
      </c>
      <c r="S94" s="85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3.046785242989893</v>
      </c>
      <c r="T94" s="85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31" outlineLevel="1">
      <c r="C95" s="81" t="str">
        <f>'Input|Step changes'!C30</f>
        <v>SOCI Cyber</v>
      </c>
      <c r="D95" s="16" t="s">
        <v>52</v>
      </c>
      <c r="E95" s="16" t="str">
        <f t="shared" si="8"/>
        <v>$millions</v>
      </c>
      <c r="F95" s="113">
        <f t="shared" si="12"/>
        <v>45809</v>
      </c>
      <c r="J95" s="85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85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85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85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85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85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0.92292139080715041</v>
      </c>
      <c r="P95" s="85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1.1042980620507834</v>
      </c>
      <c r="Q95" s="85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0.78293326205078329</v>
      </c>
      <c r="R95" s="85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0.78293326205078329</v>
      </c>
      <c r="S95" s="85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0.78293326205078329</v>
      </c>
      <c r="T95" s="85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81" t="str">
        <f>'Input|Step changes'!C31</f>
        <v>IT and OT</v>
      </c>
      <c r="D96" s="16" t="s">
        <v>52</v>
      </c>
      <c r="E96" s="16" t="str">
        <f t="shared" si="8"/>
        <v>$millions</v>
      </c>
      <c r="F96" s="113">
        <f t="shared" si="12"/>
        <v>45809</v>
      </c>
      <c r="J96" s="85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85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85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85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85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85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2.4354118734448349</v>
      </c>
      <c r="P96" s="85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2.3137357668136458</v>
      </c>
      <c r="Q96" s="85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2.1912626548159606</v>
      </c>
      <c r="R96" s="85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2.121483365685938</v>
      </c>
      <c r="S96" s="85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2.1516609936696778</v>
      </c>
      <c r="T96" s="85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81">
        <f>'Input|Step changes'!C32</f>
        <v>0</v>
      </c>
      <c r="D97" s="16" t="s">
        <v>52</v>
      </c>
      <c r="E97" s="16" t="str">
        <f t="shared" si="8"/>
        <v>$millions</v>
      </c>
      <c r="F97" s="113">
        <f t="shared" si="12"/>
        <v>45809</v>
      </c>
      <c r="J97" s="85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85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85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85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85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85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85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85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85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85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85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</row>
    <row r="98" spans="1:39" outlineLevel="1">
      <c r="C98" s="81"/>
      <c r="F98" s="73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</row>
    <row r="99" spans="1:39" outlineLevel="1">
      <c r="C99" s="74" t="s">
        <v>150</v>
      </c>
      <c r="D99" s="82" t="s">
        <v>52</v>
      </c>
      <c r="E99" s="82" t="str">
        <f>$E$8</f>
        <v>$millions</v>
      </c>
      <c r="F99" s="120">
        <f t="shared" ref="F99" si="13">$F$8</f>
        <v>45809</v>
      </c>
      <c r="G99" s="21"/>
      <c r="H99" s="21"/>
      <c r="I99" s="21"/>
      <c r="J99" s="86">
        <f t="shared" ref="J99:T99" si="14">SUM(J92:J97)</f>
        <v>0</v>
      </c>
      <c r="K99" s="86">
        <f t="shared" si="14"/>
        <v>0</v>
      </c>
      <c r="L99" s="86">
        <f t="shared" si="14"/>
        <v>0</v>
      </c>
      <c r="M99" s="86">
        <f t="shared" si="14"/>
        <v>0</v>
      </c>
      <c r="N99" s="86">
        <f t="shared" si="14"/>
        <v>0</v>
      </c>
      <c r="O99" s="86">
        <f t="shared" si="14"/>
        <v>17.380579060205214</v>
      </c>
      <c r="P99" s="86">
        <f t="shared" si="14"/>
        <v>18.055118852451045</v>
      </c>
      <c r="Q99" s="86">
        <f t="shared" si="14"/>
        <v>17.970538441332788</v>
      </c>
      <c r="R99" s="86">
        <f t="shared" si="14"/>
        <v>18.249742679940127</v>
      </c>
      <c r="S99" s="86">
        <f t="shared" si="14"/>
        <v>18.574154640293898</v>
      </c>
      <c r="T99" s="86">
        <f t="shared" si="14"/>
        <v>0</v>
      </c>
    </row>
    <row r="100" spans="1:39">
      <c r="C100" s="83"/>
      <c r="J100" s="70"/>
      <c r="K100" s="70"/>
      <c r="L100" s="70"/>
      <c r="M100" s="70"/>
      <c r="N100" s="24"/>
      <c r="O100" s="24"/>
      <c r="P100" s="24"/>
      <c r="Q100" s="24"/>
      <c r="R100" s="24"/>
      <c r="S100" s="24"/>
      <c r="T100" s="24"/>
    </row>
    <row r="101" spans="1:39" customFormat="1" ht="12.75">
      <c r="A101" s="36"/>
      <c r="B101" s="42" t="s">
        <v>151</v>
      </c>
      <c r="C101" s="36"/>
      <c r="D101" s="36"/>
      <c r="E101" s="36"/>
      <c r="F101" s="37"/>
      <c r="G101" s="37"/>
      <c r="H101" s="37"/>
      <c r="I101" s="37"/>
      <c r="J101" s="38"/>
      <c r="K101" s="39"/>
      <c r="L101" s="38"/>
      <c r="M101" s="39"/>
      <c r="N101" s="38"/>
      <c r="O101" s="38"/>
      <c r="P101" s="38"/>
      <c r="Q101" s="38"/>
      <c r="R101" s="38"/>
      <c r="S101" s="38"/>
      <c r="T101" s="38"/>
      <c r="U101" s="38"/>
      <c r="V101" s="38"/>
      <c r="W101" s="39"/>
      <c r="X101" s="39"/>
      <c r="Y101" s="40"/>
      <c r="Z101" s="40"/>
      <c r="AA101" s="40"/>
      <c r="AB101" s="40"/>
      <c r="AC101" s="40"/>
      <c r="AD101" s="41"/>
      <c r="AE101" s="41"/>
    </row>
    <row r="102" spans="1:39" outlineLevel="1">
      <c r="C102" s="15"/>
      <c r="J102" s="70"/>
      <c r="K102" s="70"/>
      <c r="L102" s="70"/>
    </row>
    <row r="103" spans="1:39" outlineLevel="1">
      <c r="C103" s="9"/>
      <c r="J103" s="114" t="str">
        <f>IF(YEAR(J$4)&gt;='Input|General'!$G$13,IF(YEAR(J$4)&lt;='Input|General'!$G$14,J$4,""),"")</f>
        <v/>
      </c>
      <c r="K103" s="114" t="str">
        <f>IF(YEAR(K$4)&gt;='Input|General'!$G$13,IF(YEAR(K$4)&lt;='Input|General'!$G$14,K$4,""),"")</f>
        <v/>
      </c>
      <c r="L103" s="114" t="str">
        <f>IF(YEAR(L$4)&gt;='Input|General'!$G$13,IF(YEAR(L$4)&lt;='Input|General'!$G$14,L$4,""),"")</f>
        <v/>
      </c>
      <c r="M103" s="114" t="str">
        <f>IF(YEAR(M$4)&gt;='Input|General'!$G$13,IF(YEAR(M$4)&lt;='Input|General'!$G$14,M$4,""),"")</f>
        <v/>
      </c>
      <c r="N103" s="114" t="str">
        <f>IF(YEAR(N$4)&gt;='Input|General'!$G$13,IF(YEAR(N$4)&lt;='Input|General'!$G$14,N$4,""),"")</f>
        <v/>
      </c>
      <c r="O103" s="114">
        <f>IF(YEAR(O$4)&gt;='Input|General'!$G$13,IF(YEAR(O$4)&lt;='Input|General'!$G$14,O$4,""),"")</f>
        <v>46174</v>
      </c>
      <c r="P103" s="114">
        <f>IF(YEAR(P$4)&gt;='Input|General'!$G$13,IF(YEAR(P$4)&lt;='Input|General'!$G$14,P$4,""),"")</f>
        <v>46539</v>
      </c>
      <c r="Q103" s="114">
        <f>IF(YEAR(Q$4)&gt;='Input|General'!$G$13,IF(YEAR(Q$4)&lt;='Input|General'!$G$14,Q$4,""),"")</f>
        <v>46905</v>
      </c>
      <c r="R103" s="114">
        <f>IF(YEAR(R$4)&gt;='Input|General'!$G$13,IF(YEAR(R$4)&lt;='Input|General'!$G$14,R$4,""),"")</f>
        <v>47270</v>
      </c>
      <c r="S103" s="114">
        <f>IF(YEAR(S$4)&gt;='Input|General'!$G$13,IF(YEAR(S$4)&lt;='Input|General'!$G$14,S$4,""),"")</f>
        <v>47635</v>
      </c>
      <c r="T103" s="114" t="str">
        <f>IF(YEAR(T$4)&gt;='Input|General'!$G$13,IF(YEAR(T$4)&lt;='Input|General'!$G$14,T$4,""),"")</f>
        <v/>
      </c>
    </row>
    <row r="104" spans="1:39" outlineLevel="1">
      <c r="C104" s="9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</row>
    <row r="105" spans="1:39" outlineLevel="1">
      <c r="C105" s="83" t="s">
        <v>152</v>
      </c>
      <c r="D105" s="21" t="s">
        <v>52</v>
      </c>
      <c r="E105" s="21" t="str">
        <f>$E$8</f>
        <v>$millions</v>
      </c>
      <c r="F105" s="120">
        <f t="shared" ref="F105:F107" si="15">$F$8</f>
        <v>45809</v>
      </c>
      <c r="J105" s="104" t="str">
        <f t="shared" ref="J105:T105" si="16">IF(YEAR(J$4)&gt;=FPFirstYear,IF(YEAR(J$4)&lt;=FPLastYear,IF(ISBLANK(J103),"",(1+J71)*SUM($J54:$S54)+J87),""),"")</f>
        <v/>
      </c>
      <c r="K105" s="104" t="str">
        <f t="shared" si="16"/>
        <v/>
      </c>
      <c r="L105" s="104" t="str">
        <f t="shared" si="16"/>
        <v/>
      </c>
      <c r="M105" s="104" t="str">
        <f t="shared" si="16"/>
        <v/>
      </c>
      <c r="N105" s="104" t="str">
        <f t="shared" si="16"/>
        <v/>
      </c>
      <c r="O105" s="104">
        <f ca="1">IF(YEAR(O$4)&gt;=FPFirstYear,IF(YEAR(O$4)&lt;=FPLastYear,IF(ISBLANK(O103),"",(1+O71)*SUM($J54:$S54)+O87),""),"")</f>
        <v>11.81726432013393</v>
      </c>
      <c r="P105" s="104">
        <f t="shared" ca="1" si="16"/>
        <v>11.893323145845862</v>
      </c>
      <c r="Q105" s="104">
        <f t="shared" ca="1" si="16"/>
        <v>11.957823039242792</v>
      </c>
      <c r="R105" s="104">
        <f t="shared" ca="1" si="16"/>
        <v>10.269304733847083</v>
      </c>
      <c r="S105" s="104">
        <f t="shared" ca="1" si="16"/>
        <v>10.363299615680242</v>
      </c>
      <c r="T105" s="104" t="str">
        <f t="shared" si="16"/>
        <v/>
      </c>
    </row>
    <row r="106" spans="1:39" outlineLevel="1">
      <c r="C106" s="83" t="s">
        <v>153</v>
      </c>
      <c r="D106" s="21" t="s">
        <v>52</v>
      </c>
      <c r="E106" s="21" t="str">
        <f>$E$8</f>
        <v>$millions</v>
      </c>
      <c r="F106" s="120">
        <f t="shared" si="15"/>
        <v>45809</v>
      </c>
      <c r="J106" s="104" t="str">
        <f t="shared" ref="J106:T106" si="17">IF(YEAR(J$4)&gt;=FPFirstYear,IF(YEAR(J$4)&lt;=FPLastYear,IF(ISBLANK(J103),"",(1+J71)*SUM($J54:$S54)+J87+J99),""),"")</f>
        <v/>
      </c>
      <c r="K106" s="104" t="str">
        <f t="shared" si="17"/>
        <v/>
      </c>
      <c r="L106" s="104" t="str">
        <f t="shared" si="17"/>
        <v/>
      </c>
      <c r="M106" s="104" t="str">
        <f t="shared" si="17"/>
        <v/>
      </c>
      <c r="N106" s="104" t="str">
        <f t="shared" si="17"/>
        <v/>
      </c>
      <c r="O106" s="104">
        <f t="shared" ca="1" si="17"/>
        <v>29.197843380339144</v>
      </c>
      <c r="P106" s="104">
        <f t="shared" ca="1" si="17"/>
        <v>29.948441998296907</v>
      </c>
      <c r="Q106" s="104">
        <f t="shared" ca="1" si="17"/>
        <v>29.928361480575582</v>
      </c>
      <c r="R106" s="104">
        <f t="shared" ca="1" si="17"/>
        <v>28.519047413787209</v>
      </c>
      <c r="S106" s="104">
        <f t="shared" ca="1" si="17"/>
        <v>28.937454255974139</v>
      </c>
      <c r="T106" s="104" t="str">
        <f t="shared" si="17"/>
        <v/>
      </c>
    </row>
    <row r="107" spans="1:39" outlineLevel="1">
      <c r="C107" s="83" t="s">
        <v>154</v>
      </c>
      <c r="D107" s="21" t="s">
        <v>52</v>
      </c>
      <c r="E107" s="21" t="str">
        <f>$E$8</f>
        <v>$millions</v>
      </c>
      <c r="F107" s="120">
        <f t="shared" si="15"/>
        <v>45809</v>
      </c>
      <c r="J107" s="104" t="str">
        <f>IF(YEAR(J$4)&gt;=FPFirstYear,IF(YEAR(J$4)&lt;=FPLastYear,J106+'Input|Step changes'!J40,""),"")</f>
        <v/>
      </c>
      <c r="K107" s="104" t="str">
        <f>IF(YEAR(K$4)&gt;=FPFirstYear,IF(YEAR(K$4)&lt;=FPLastYear,K106+'Input|Step changes'!K40,""),"")</f>
        <v/>
      </c>
      <c r="L107" s="104" t="str">
        <f>IF(YEAR(L$4)&gt;=FPFirstYear,IF(YEAR(L$4)&lt;=FPLastYear,L106+'Input|Step changes'!L40,""),"")</f>
        <v/>
      </c>
      <c r="M107" s="104" t="str">
        <f>IF(YEAR(M$4)&gt;=FPFirstYear,IF(YEAR(M$4)&lt;=FPLastYear,M106+'Input|Step changes'!M40,""),"")</f>
        <v/>
      </c>
      <c r="N107" s="104" t="str">
        <f>IF(YEAR(N$4)&gt;=FPFirstYear,IF(YEAR(N$4)&lt;=FPLastYear,N106+'Input|Step changes'!N40,""),"")</f>
        <v/>
      </c>
      <c r="O107" s="104">
        <f ca="1">IF(YEAR(O$4)&gt;=FPFirstYear,IF(YEAR(O$4)&lt;=FPLastYear,O106+'Input|Step changes'!O40,""),"")</f>
        <v>29.679060745320555</v>
      </c>
      <c r="P107" s="104">
        <f ca="1">IF(YEAR(P$4)&gt;=FPFirstYear,IF(YEAR(P$4)&lt;=FPLastYear,P106+'Input|Step changes'!P40,""),"")</f>
        <v>30.415028114292792</v>
      </c>
      <c r="Q107" s="104">
        <f ca="1">IF(YEAR(Q$4)&gt;=FPFirstYear,IF(YEAR(Q$4)&lt;=FPLastYear,Q106+'Input|Step changes'!Q40,""),"")</f>
        <v>30.372300365739566</v>
      </c>
      <c r="R107" s="104">
        <f ca="1">IF(YEAR(R$4)&gt;=FPFirstYear,IF(YEAR(R$4)&lt;=FPLastYear,R106+'Input|Step changes'!R40,""),"")</f>
        <v>28.944370864433306</v>
      </c>
      <c r="S107" s="104">
        <f ca="1">IF(YEAR(S$4)&gt;=FPFirstYear,IF(YEAR(S$4)&lt;=FPLastYear,S106+'Input|Step changes'!S40,""),"")</f>
        <v>29.350701396297151</v>
      </c>
      <c r="T107" s="104" t="str">
        <f>IF(YEAR(T$4)&gt;=FPFirstYear,IF(YEAR(T$4)&lt;=FPLastYear,T106+'Input|Step changes'!T40,""),"")</f>
        <v/>
      </c>
    </row>
    <row r="108" spans="1:39">
      <c r="C108" s="83"/>
      <c r="J108" s="70"/>
      <c r="K108" s="70"/>
      <c r="L108" s="70"/>
      <c r="M108" s="70"/>
      <c r="N108" s="24"/>
      <c r="O108" s="24"/>
      <c r="P108" s="24"/>
      <c r="Q108" s="24"/>
      <c r="R108" s="24"/>
      <c r="S108" s="24"/>
      <c r="T108" s="24"/>
    </row>
    <row r="109" spans="1:39" customFormat="1" ht="12.75">
      <c r="A109" s="36"/>
      <c r="B109" s="42" t="s">
        <v>23</v>
      </c>
      <c r="C109" s="36"/>
      <c r="D109" s="36"/>
      <c r="E109" s="36"/>
      <c r="F109" s="37"/>
      <c r="G109" s="37"/>
      <c r="H109" s="37"/>
      <c r="I109" s="37"/>
      <c r="J109" s="38"/>
      <c r="K109" s="39"/>
      <c r="L109" s="38"/>
      <c r="M109" s="39"/>
      <c r="N109" s="38"/>
      <c r="O109" s="38"/>
      <c r="P109" s="38"/>
      <c r="Q109" s="38"/>
      <c r="R109" s="38"/>
      <c r="S109" s="38"/>
      <c r="T109" s="38"/>
      <c r="U109" s="38"/>
      <c r="V109" s="38"/>
      <c r="W109" s="39"/>
      <c r="X109" s="39"/>
      <c r="Y109" s="40"/>
      <c r="Z109" s="40"/>
      <c r="AA109" s="40"/>
      <c r="AB109" s="40"/>
      <c r="AC109" s="40"/>
      <c r="AD109" s="41"/>
      <c r="AE109" s="41"/>
    </row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</sheetData>
  <mergeCells count="1">
    <mergeCell ref="N3:S3"/>
  </mergeCells>
  <conditionalFormatting sqref="J10:T10">
    <cfRule type="expression" dxfId="40" priority="28">
      <formula>J$10=J$4</formula>
    </cfRule>
  </conditionalFormatting>
  <conditionalFormatting sqref="J12:T24">
    <cfRule type="cellIs" dxfId="39" priority="9" operator="equal">
      <formula>0</formula>
    </cfRule>
  </conditionalFormatting>
  <conditionalFormatting sqref="J25:T25">
    <cfRule type="expression" dxfId="38" priority="27">
      <formula>J$10=J$4</formula>
    </cfRule>
  </conditionalFormatting>
  <conditionalFormatting sqref="J26:T54">
    <cfRule type="cellIs" dxfId="37" priority="1" operator="equal">
      <formula>0</formula>
    </cfRule>
  </conditionalFormatting>
  <conditionalFormatting sqref="J54:T54">
    <cfRule type="expression" dxfId="36" priority="26">
      <formula>J$10=J$4</formula>
    </cfRule>
  </conditionalFormatting>
  <conditionalFormatting sqref="J58:T58 J75:T75 J91:T91">
    <cfRule type="expression" dxfId="35" priority="118">
      <formula>J$58=J$4</formula>
    </cfRule>
  </conditionalFormatting>
  <conditionalFormatting sqref="J61:T68">
    <cfRule type="cellIs" dxfId="34" priority="100" operator="equal">
      <formula>0</formula>
    </cfRule>
  </conditionalFormatting>
  <conditionalFormatting sqref="J70:T70">
    <cfRule type="expression" dxfId="33" priority="112">
      <formula>J$58=J$4</formula>
    </cfRule>
  </conditionalFormatting>
  <conditionalFormatting sqref="J70:T71">
    <cfRule type="cellIs" dxfId="32" priority="19" operator="equal">
      <formula>0</formula>
    </cfRule>
  </conditionalFormatting>
  <conditionalFormatting sqref="J77:T85 J93:T99">
    <cfRule type="cellIs" dxfId="31" priority="98" operator="equal">
      <formula>0</formula>
    </cfRule>
  </conditionalFormatting>
  <conditionalFormatting sqref="J87:T87">
    <cfRule type="expression" dxfId="30" priority="116">
      <formula>J$75=J$4</formula>
    </cfRule>
    <cfRule type="cellIs" dxfId="29" priority="117" operator="equal">
      <formula>0</formula>
    </cfRule>
  </conditionalFormatting>
  <conditionalFormatting sqref="J99:T99">
    <cfRule type="expression" dxfId="28" priority="114">
      <formula>J$91=J$4</formula>
    </cfRule>
  </conditionalFormatting>
  <conditionalFormatting sqref="J103:T103">
    <cfRule type="expression" dxfId="27" priority="121">
      <formula>J$103=J$4</formula>
    </cfRule>
  </conditionalFormatting>
  <conditionalFormatting sqref="J105:T107">
    <cfRule type="cellIs" dxfId="26" priority="29" operator="equal">
      <formula>0</formula>
    </cfRule>
  </conditionalFormatting>
  <conditionalFormatting sqref="S1:T1">
    <cfRule type="cellIs" dxfId="25" priority="107" operator="equal">
      <formula>"Check"</formula>
    </cfRule>
    <cfRule type="cellIs" dxfId="24" priority="108" operator="equal">
      <formula>"Ok"</formula>
    </cfRule>
  </conditionalFormatting>
  <conditionalFormatting sqref="W1">
    <cfRule type="cellIs" dxfId="23" priority="109" operator="equal">
      <formula>"Check"</formula>
    </cfRule>
    <cfRule type="cellIs" dxfId="22" priority="110" operator="equal">
      <formula>"Ok"</formula>
    </cfRule>
  </conditionalFormatting>
  <dataValidations disablePrompts="1" count="2">
    <dataValidation type="list" allowBlank="1" showInputMessage="1" showErrorMessage="1" sqref="F100 F88 F108" xr:uid="{00000000-0002-0000-0600-000000000000}">
      <formula1>"Real 2010,Real 2011,Real 2012,Real 2013,Real 2014,Real 2015,Nominal"</formula1>
    </dataValidation>
    <dataValidation type="list" allowBlank="1" showInputMessage="1" showErrorMessage="1" sqref="F86" xr:uid="{00000000-0002-0000-0600-000001000000}">
      <formula1>$G$60:$G$69</formula1>
    </dataValidation>
  </dataValidations>
  <hyperlinks>
    <hyperlink ref="J1" location="Index!A1" display="Back to Index" xr:uid="{00000000-0004-0000-0600-000000000000}"/>
    <hyperlink ref="V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6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3" tint="0.59999389629810485"/>
  </sheetPr>
  <dimension ref="A1:AV26"/>
  <sheetViews>
    <sheetView showGridLines="0" tabSelected="1" workbookViewId="0">
      <selection activeCell="Q14" sqref="Q14"/>
    </sheetView>
  </sheetViews>
  <sheetFormatPr defaultColWidth="0" defaultRowHeight="11.25" zeroHeight="1"/>
  <cols>
    <col min="1" max="2" width="1.5" style="8" customWidth="1"/>
    <col min="3" max="3" width="59.664062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4" width="10.83203125" style="8" customWidth="1"/>
    <col min="25" max="48" width="0" style="8" hidden="1" customWidth="1"/>
    <col min="49" max="16384" width="10.5" style="8" hidden="1"/>
  </cols>
  <sheetData>
    <row r="1" spans="1:27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">
        <v>99</v>
      </c>
      <c r="T1" s="34"/>
      <c r="V1" s="129" t="s">
        <v>30</v>
      </c>
      <c r="W1" s="34" t="str">
        <f>'Check|List'!$S$1</f>
        <v>Ok</v>
      </c>
    </row>
    <row r="2" spans="1:27" s="35" customFormat="1" ht="13.5" thickBot="1">
      <c r="A2" s="165"/>
      <c r="B2" s="166" t="str">
        <f>Index!$C$13</f>
        <v>Output | Models</v>
      </c>
      <c r="C2" s="166"/>
      <c r="D2" s="166"/>
      <c r="E2" s="166"/>
      <c r="F2" s="168"/>
      <c r="G2" s="168"/>
      <c r="H2" s="168"/>
      <c r="I2" s="168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</row>
    <row r="3" spans="1:27" s="59" customFormat="1">
      <c r="D3" s="125"/>
      <c r="E3" s="125"/>
      <c r="F3" s="125"/>
      <c r="G3" s="125"/>
      <c r="H3" s="125"/>
      <c r="I3" s="125"/>
      <c r="J3" s="119" t="s">
        <v>41</v>
      </c>
      <c r="K3" s="119"/>
      <c r="L3" s="119"/>
      <c r="M3" s="125"/>
      <c r="N3" s="171"/>
      <c r="O3" s="171"/>
      <c r="P3" s="171"/>
      <c r="Q3" s="171"/>
      <c r="R3" s="171"/>
      <c r="S3" s="171"/>
      <c r="T3" s="125"/>
      <c r="U3" s="60"/>
      <c r="V3" s="60"/>
      <c r="W3" s="60"/>
      <c r="X3" s="60"/>
      <c r="Y3" s="60"/>
      <c r="Z3" s="60"/>
      <c r="AA3" s="60"/>
    </row>
    <row r="4" spans="1:27" customFormat="1">
      <c r="A4" s="61"/>
      <c r="B4" s="61"/>
      <c r="C4" s="61"/>
      <c r="D4" s="62" t="s">
        <v>33</v>
      </c>
      <c r="E4" s="62" t="s">
        <v>53</v>
      </c>
      <c r="F4" s="63" t="s">
        <v>56</v>
      </c>
      <c r="G4" s="64"/>
      <c r="H4" s="64"/>
      <c r="I4" s="64"/>
      <c r="J4" s="108">
        <f>DATE(PPFirstYear,MONTH('Input|General'!$G$9),1)</f>
        <v>44348</v>
      </c>
      <c r="K4" s="108">
        <f>DATE(PPFirstYear+1,MONTH('Input|General'!$G$9),1)</f>
        <v>44713</v>
      </c>
      <c r="L4" s="108">
        <f>DATE(PPFirstYear+2,MONTH('Input|General'!$G$9),1)</f>
        <v>45078</v>
      </c>
      <c r="M4" s="108">
        <f>DATE(PPFirstYear+3,MONTH('Input|General'!$G$9),1)</f>
        <v>45444</v>
      </c>
      <c r="N4" s="108">
        <f>DATE(PPFirstYear+4,MONTH('Input|General'!$G$9),1)</f>
        <v>45809</v>
      </c>
      <c r="O4" s="108">
        <f>DATE(PPFirstYear+5,MONTH('Input|General'!$G$9),1)</f>
        <v>46174</v>
      </c>
      <c r="P4" s="108">
        <f>DATE(PPFirstYear+6,MONTH('Input|General'!$G$9),1)</f>
        <v>46539</v>
      </c>
      <c r="Q4" s="108">
        <f>DATE(PPFirstYear+7,MONTH('Input|General'!$G$9),1)</f>
        <v>46905</v>
      </c>
      <c r="R4" s="108">
        <f>DATE(PPFirstYear+8,MONTH('Input|General'!$G$9),1)</f>
        <v>47270</v>
      </c>
      <c r="S4" s="108">
        <f>DATE(PPFirstYear+9,MONTH('Input|General'!$G$9),1)</f>
        <v>47635</v>
      </c>
      <c r="T4" s="108">
        <f>DATE(PPFirstYear+10,MONTH('Input|General'!$G$9),1)</f>
        <v>48000</v>
      </c>
      <c r="U4" s="65"/>
      <c r="V4" s="65"/>
      <c r="W4" s="66"/>
      <c r="X4" s="66"/>
    </row>
    <row r="5" spans="1:27" s="6" customFormat="1" ht="3" customHeight="1">
      <c r="D5" s="22"/>
      <c r="E5" s="22"/>
      <c r="F5" s="22"/>
      <c r="G5" s="22"/>
      <c r="H5" s="22"/>
      <c r="I5" s="22"/>
    </row>
    <row r="6" spans="1:27" s="6" customFormat="1" ht="9" customHeight="1">
      <c r="D6" s="22"/>
      <c r="E6" s="22"/>
      <c r="F6" s="22"/>
      <c r="G6" s="22"/>
      <c r="H6" s="22"/>
      <c r="I6" s="22"/>
    </row>
    <row r="7" spans="1:27" s="6" customFormat="1" ht="3" customHeight="1">
      <c r="D7" s="22"/>
      <c r="E7" s="22"/>
      <c r="F7" s="22"/>
      <c r="G7" s="22"/>
      <c r="H7" s="22"/>
      <c r="I7" s="22"/>
    </row>
    <row r="8" spans="1:27" customFormat="1" ht="12.75">
      <c r="A8" s="36"/>
      <c r="B8" s="42" t="s">
        <v>155</v>
      </c>
      <c r="C8" s="36"/>
      <c r="D8" s="36"/>
      <c r="E8" s="58" t="s">
        <v>48</v>
      </c>
      <c r="F8" s="140">
        <f>DATE(PPLastYear,MONTH('Input|General'!$G$9),1)</f>
        <v>45809</v>
      </c>
      <c r="G8" s="37"/>
      <c r="H8" s="37"/>
      <c r="I8" s="37"/>
      <c r="J8" s="44" t="s">
        <v>156</v>
      </c>
      <c r="K8" s="39"/>
      <c r="L8" s="38"/>
      <c r="M8" s="39"/>
      <c r="N8" s="38"/>
      <c r="O8" s="38"/>
      <c r="P8" s="38"/>
      <c r="Q8" s="38"/>
      <c r="R8" s="38"/>
      <c r="S8" s="38"/>
      <c r="T8" s="38"/>
      <c r="U8" s="38"/>
      <c r="V8" s="38"/>
      <c r="W8" s="39"/>
      <c r="X8" s="39"/>
    </row>
    <row r="9" spans="1:27" ht="4.5" customHeight="1"/>
    <row r="10" spans="1:27">
      <c r="M10" s="70"/>
      <c r="N10" s="70"/>
      <c r="O10" s="70"/>
      <c r="P10" s="70"/>
      <c r="Q10" s="70"/>
      <c r="R10" s="70"/>
      <c r="S10" s="70"/>
      <c r="T10" s="70"/>
    </row>
    <row r="11" spans="1:27">
      <c r="C11" s="9" t="s">
        <v>157</v>
      </c>
      <c r="D11" s="21" t="s">
        <v>33</v>
      </c>
      <c r="E11" s="21" t="s">
        <v>53</v>
      </c>
      <c r="F11" s="21" t="s">
        <v>56</v>
      </c>
      <c r="H11" s="21"/>
      <c r="I11" s="21"/>
      <c r="J11" s="114" t="str">
        <f>IF(YEAR(J$4)&gt;='Input|General'!$G$13,IF(YEAR(J$4)&lt;='Input|General'!$G$14,J$4,""),"")</f>
        <v/>
      </c>
      <c r="K11" s="114" t="str">
        <f>IF(YEAR(K$4)&gt;='Input|General'!$G$13,IF(YEAR(K$4)&lt;='Input|General'!$G$14,K$4,""),"")</f>
        <v/>
      </c>
      <c r="L11" s="114" t="str">
        <f>IF(YEAR(L$4)&gt;='Input|General'!$G$13,IF(YEAR(L$4)&lt;='Input|General'!$G$14,L$4,""),"")</f>
        <v/>
      </c>
      <c r="M11" s="114" t="str">
        <f>IF(YEAR(M$4)&gt;='Input|General'!$G$13,IF(YEAR(M$4)&lt;='Input|General'!$G$14,M$4,""),"")</f>
        <v/>
      </c>
      <c r="N11" s="114" t="str">
        <f>IF(YEAR(N$4)&gt;='Input|General'!$G$13,IF(YEAR(N$4)&lt;='Input|General'!$G$14,N$4,""),"")</f>
        <v/>
      </c>
      <c r="O11" s="114">
        <f>IF(YEAR(O$4)&gt;='Input|General'!$G$13,IF(YEAR(O$4)&lt;='Input|General'!$G$14,O$4,""),"")</f>
        <v>46174</v>
      </c>
      <c r="P11" s="114">
        <f>IF(YEAR(P$4)&gt;='Input|General'!$G$13,IF(YEAR(P$4)&lt;='Input|General'!$G$14,P$4,""),"")</f>
        <v>46539</v>
      </c>
      <c r="Q11" s="114">
        <f>IF(YEAR(Q$4)&gt;='Input|General'!$G$13,IF(YEAR(Q$4)&lt;='Input|General'!$G$14,Q$4,""),"")</f>
        <v>46905</v>
      </c>
      <c r="R11" s="114">
        <f>IF(YEAR(R$4)&gt;='Input|General'!$G$13,IF(YEAR(R$4)&lt;='Input|General'!$G$14,R$4,""),"")</f>
        <v>47270</v>
      </c>
      <c r="S11" s="114">
        <f>IF(YEAR(S$4)&gt;='Input|General'!$G$13,IF(YEAR(S$4)&lt;='Input|General'!$G$14,S$4,""),"")</f>
        <v>47635</v>
      </c>
      <c r="T11" s="114" t="str">
        <f>IF(YEAR(T$4)&gt;='Input|General'!$G$13,IF(YEAR(T$4)&lt;='Input|General'!$G$14,T$4,""),"")</f>
        <v/>
      </c>
      <c r="V11" s="93" t="s">
        <v>59</v>
      </c>
      <c r="W11" s="94"/>
      <c r="X11" s="94"/>
    </row>
    <row r="12" spans="1:27">
      <c r="C12" s="9"/>
      <c r="D12" s="21"/>
      <c r="E12" s="21"/>
      <c r="F12" s="21"/>
      <c r="H12" s="21"/>
      <c r="I12" s="21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V12" s="9"/>
    </row>
    <row r="13" spans="1:27">
      <c r="C13" s="15" t="str">
        <f>'Calc|Opex forecast'!C105</f>
        <v>Total forecast opex, excluding category specific forecasts</v>
      </c>
      <c r="D13" s="28" t="s">
        <v>158</v>
      </c>
      <c r="E13" s="16" t="str">
        <f>$E$8</f>
        <v>$millions</v>
      </c>
      <c r="F13" s="113">
        <f>$F$8</f>
        <v>45809</v>
      </c>
      <c r="H13" s="21"/>
      <c r="I13" s="21"/>
      <c r="J13" s="123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23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23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23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23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123">
        <f ca="1"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11.81726432013393</v>
      </c>
      <c r="P13" s="123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11.893323145845862</v>
      </c>
      <c r="Q13" s="123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11.957823039242792</v>
      </c>
      <c r="R13" s="123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10.269304733847083</v>
      </c>
      <c r="S13" s="123">
        <f ca="1"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10.363299615680242</v>
      </c>
      <c r="T13" s="123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5"/>
      <c r="V13" s="105"/>
    </row>
    <row r="14" spans="1:27">
      <c r="C14" s="15" t="str">
        <f>'Input|Step changes'!C28</f>
        <v>Insurance</v>
      </c>
      <c r="D14" s="28" t="s">
        <v>158</v>
      </c>
      <c r="E14" s="16" t="str">
        <f t="shared" ref="E14:E18" si="0">$E$8</f>
        <v>$millions</v>
      </c>
      <c r="F14" s="113">
        <f t="shared" ref="F14:F18" si="1">$F$8</f>
        <v>45809</v>
      </c>
      <c r="H14" s="21"/>
      <c r="I14" s="21"/>
      <c r="J14" s="123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23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23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23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23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23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11.068040511977244</v>
      </c>
      <c r="P14" s="123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11.660838498616441</v>
      </c>
      <c r="Q14" s="123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12.001658683305999</v>
      </c>
      <c r="R14" s="123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12.326305560653612</v>
      </c>
      <c r="S14" s="123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12.592775141583546</v>
      </c>
      <c r="T14" s="123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5"/>
      <c r="V14" s="105"/>
    </row>
    <row r="15" spans="1:27">
      <c r="C15" s="15" t="str">
        <f>'Input|Step changes'!C29</f>
        <v>Corporate Opex</v>
      </c>
      <c r="D15" s="28" t="s">
        <v>158</v>
      </c>
      <c r="E15" s="16" t="str">
        <f t="shared" si="0"/>
        <v>$millions</v>
      </c>
      <c r="F15" s="113">
        <f t="shared" si="1"/>
        <v>45809</v>
      </c>
      <c r="H15" s="21"/>
      <c r="I15" s="21"/>
      <c r="J15" s="123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23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23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23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23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23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2.9542052839759831</v>
      </c>
      <c r="P15" s="123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2.9762465249701728</v>
      </c>
      <c r="Q15" s="123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2.9946838411600467</v>
      </c>
      <c r="R15" s="123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3.0190204915497949</v>
      </c>
      <c r="S15" s="123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3.046785242989893</v>
      </c>
      <c r="T15" s="123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5"/>
      <c r="V15" s="105"/>
    </row>
    <row r="16" spans="1:27">
      <c r="C16" s="15" t="str">
        <f>'Input|Step changes'!C30</f>
        <v>SOCI Cyber</v>
      </c>
      <c r="D16" s="28" t="s">
        <v>158</v>
      </c>
      <c r="E16" s="16" t="str">
        <f t="shared" si="0"/>
        <v>$millions</v>
      </c>
      <c r="F16" s="113">
        <f t="shared" si="1"/>
        <v>45809</v>
      </c>
      <c r="H16" s="21"/>
      <c r="I16" s="21"/>
      <c r="J16" s="123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23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23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23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23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23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0.92292139080715041</v>
      </c>
      <c r="P16" s="123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1.1042980620507834</v>
      </c>
      <c r="Q16" s="123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0.78293326205078329</v>
      </c>
      <c r="R16" s="123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0.78293326205078329</v>
      </c>
      <c r="S16" s="123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0.78293326205078329</v>
      </c>
      <c r="T16" s="123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5"/>
      <c r="V16" s="105"/>
    </row>
    <row r="17" spans="1:24">
      <c r="C17" s="15" t="str">
        <f>'Input|Step changes'!C31</f>
        <v>IT and OT</v>
      </c>
      <c r="D17" s="28" t="s">
        <v>158</v>
      </c>
      <c r="E17" s="16" t="str">
        <f t="shared" si="0"/>
        <v>$millions</v>
      </c>
      <c r="F17" s="113">
        <f t="shared" si="1"/>
        <v>45809</v>
      </c>
      <c r="H17" s="21"/>
      <c r="I17" s="21"/>
      <c r="J17" s="123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23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23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23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23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23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2.4354118734448349</v>
      </c>
      <c r="P17" s="123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2.3137357668136458</v>
      </c>
      <c r="Q17" s="123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2.1912626548159606</v>
      </c>
      <c r="R17" s="123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2.121483365685938</v>
      </c>
      <c r="S17" s="123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2.1516609936696778</v>
      </c>
      <c r="T17" s="123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5"/>
      <c r="V17" s="141"/>
    </row>
    <row r="18" spans="1:24">
      <c r="C18" s="15">
        <f>'Input|Step changes'!C32</f>
        <v>0</v>
      </c>
      <c r="D18" s="28" t="s">
        <v>158</v>
      </c>
      <c r="E18" s="16" t="str">
        <f t="shared" si="0"/>
        <v>$millions</v>
      </c>
      <c r="F18" s="113">
        <f t="shared" si="1"/>
        <v>45809</v>
      </c>
      <c r="H18" s="21"/>
      <c r="I18" s="21"/>
      <c r="J18" s="123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23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23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23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23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23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23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23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23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23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23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5"/>
      <c r="V18" s="141"/>
    </row>
    <row r="19" spans="1:24">
      <c r="D19" s="28"/>
      <c r="H19" s="21"/>
      <c r="I19" s="21"/>
      <c r="S19" s="24"/>
      <c r="T19" s="24"/>
    </row>
    <row r="20" spans="1:24" customFormat="1" ht="12.75">
      <c r="A20" s="36"/>
      <c r="B20" s="42" t="s">
        <v>23</v>
      </c>
      <c r="C20" s="36"/>
      <c r="D20" s="36"/>
      <c r="E20" s="36"/>
      <c r="F20" s="37"/>
      <c r="G20" s="37"/>
      <c r="H20" s="37"/>
      <c r="I20" s="37"/>
      <c r="J20" s="38"/>
      <c r="K20" s="39"/>
      <c r="L20" s="38"/>
      <c r="M20" s="39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39"/>
    </row>
    <row r="26" spans="1:24" hidden="1">
      <c r="M26" s="101"/>
      <c r="N26" s="101"/>
      <c r="O26" s="101"/>
      <c r="P26" s="101"/>
      <c r="Q26" s="101"/>
      <c r="R26" s="101"/>
      <c r="S26" s="101"/>
      <c r="T26" s="101"/>
    </row>
  </sheetData>
  <mergeCells count="1">
    <mergeCell ref="N3:S3"/>
  </mergeCells>
  <conditionalFormatting sqref="J11:T11">
    <cfRule type="expression" dxfId="21" priority="7">
      <formula>J$11=J$4</formula>
    </cfRule>
  </conditionalFormatting>
  <conditionalFormatting sqref="J13:T18">
    <cfRule type="expression" dxfId="20" priority="3">
      <formula>AND($C13=0,J$11=J$4)</formula>
    </cfRule>
    <cfRule type="expression" dxfId="19" priority="4">
      <formula>NOT(J$11=J$4)</formula>
    </cfRule>
    <cfRule type="expression" dxfId="18" priority="5">
      <formula>J$11=J$4</formula>
    </cfRule>
  </conditionalFormatting>
  <conditionalFormatting sqref="S1:T1">
    <cfRule type="cellIs" dxfId="17" priority="1" operator="equal">
      <formula>"Check"</formula>
    </cfRule>
    <cfRule type="cellIs" dxfId="16" priority="2" operator="equal">
      <formula>"Ok"</formula>
    </cfRule>
  </conditionalFormatting>
  <conditionalFormatting sqref="W1">
    <cfRule type="cellIs" dxfId="15" priority="13" operator="equal">
      <formula>"Check"</formula>
    </cfRule>
    <cfRule type="cellIs" dxfId="14" priority="14" operator="equal">
      <formula>"Ok"</formula>
    </cfRule>
  </conditionalFormatting>
  <dataValidations count="2">
    <dataValidation type="list" allowBlank="1" showInputMessage="1" showErrorMessage="1" sqref="F13:F18" xr:uid="{00000000-0002-0000-0700-000000000000}">
      <formula1>$G$22:$G$28</formula1>
    </dataValidation>
    <dataValidation type="list" allowBlank="1" showInputMessage="1" showErrorMessage="1" sqref="F19" xr:uid="{00000000-0002-0000-0700-000001000000}">
      <formula1>#REF!</formula1>
    </dataValidation>
  </dataValidations>
  <hyperlinks>
    <hyperlink ref="J1" location="Index!A1" display="Back to Index" xr:uid="{00000000-0004-0000-0700-000000000000}"/>
    <hyperlink ref="D13" location="'Calc|Opex forecast'!A1" display="Calc | Opex forecast" xr:uid="{00000000-0004-0000-0700-000001000000}"/>
    <hyperlink ref="D14" location="'Calc|Opex forecast'!A1" display="Calc | Opex forecast" xr:uid="{00000000-0004-0000-0700-000002000000}"/>
    <hyperlink ref="D15" location="'Calc|Opex forecast'!A1" display="Calc | Opex forecast" xr:uid="{00000000-0004-0000-0700-000003000000}"/>
    <hyperlink ref="D17" location="'Calc|Opex forecast'!A1" display="Calc | Opex forecast" xr:uid="{00000000-0004-0000-0700-000004000000}"/>
    <hyperlink ref="V1" location="'Check|List'!A1" display="Overall Check:" xr:uid="{00000000-0004-0000-0700-000005000000}"/>
    <hyperlink ref="D16" location="'Calc|Opex forecast'!A1" display="Calc | Opex forecast" xr:uid="{00000000-0004-0000-0700-000006000000}"/>
    <hyperlink ref="D18" location="'Calc|Opex forecast'!A1" display="Calc | Opex forecast" xr:uid="{00000000-0004-0000-0700-000007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1"/>
  </sheetPr>
  <dimension ref="A1:XER85"/>
  <sheetViews>
    <sheetView showGridLines="0" topLeftCell="A4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30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/>
      <c r="S1" s="34"/>
      <c r="U1" s="124" t="s">
        <v>30</v>
      </c>
      <c r="V1" s="34" t="str">
        <f>'Check|List'!$S$1</f>
        <v>Ok</v>
      </c>
    </row>
    <row r="2" spans="1:30" s="32" customFormat="1" ht="12.75">
      <c r="B2" s="45" t="str">
        <f>Index!$C$14</f>
        <v>Lookup | Tables</v>
      </c>
      <c r="C2" s="45"/>
      <c r="D2" s="45"/>
      <c r="E2" s="45"/>
      <c r="F2" s="46"/>
      <c r="G2" s="46"/>
      <c r="H2" s="46"/>
      <c r="I2" s="46"/>
    </row>
    <row r="3" spans="1:30" s="49" customFormat="1" ht="12.75">
      <c r="A3" s="36"/>
      <c r="B3" s="42"/>
      <c r="C3" s="36"/>
      <c r="D3" s="36"/>
      <c r="E3" s="36"/>
      <c r="F3" s="37"/>
      <c r="G3" s="37"/>
      <c r="H3" s="37"/>
      <c r="I3" s="37"/>
      <c r="J3" s="38"/>
      <c r="K3" s="39"/>
      <c r="L3" s="38"/>
      <c r="M3" s="39"/>
      <c r="N3" s="38"/>
      <c r="O3" s="38"/>
      <c r="P3" s="38"/>
      <c r="Q3" s="38"/>
      <c r="R3" s="38"/>
      <c r="S3" s="38"/>
      <c r="T3" s="38"/>
      <c r="U3" s="38"/>
      <c r="V3" s="39"/>
      <c r="W3" s="39"/>
      <c r="X3" s="47"/>
      <c r="Y3" s="47"/>
      <c r="Z3" s="47"/>
      <c r="AA3" s="47"/>
      <c r="AB3" s="47"/>
      <c r="AC3" s="48"/>
      <c r="AD3" s="48"/>
    </row>
    <row r="4" spans="1:30" s="6" customFormat="1" ht="3" customHeight="1">
      <c r="D4" s="20"/>
      <c r="E4" s="20"/>
    </row>
    <row r="5" spans="1:30" customFormat="1" ht="12.75">
      <c r="A5" s="36"/>
      <c r="B5" s="42" t="s">
        <v>159</v>
      </c>
      <c r="C5" s="36"/>
      <c r="D5" s="36"/>
      <c r="E5" s="36"/>
      <c r="F5" s="37"/>
      <c r="G5" s="37"/>
      <c r="H5" s="37"/>
      <c r="I5" s="37"/>
      <c r="J5" s="38"/>
      <c r="K5" s="39"/>
      <c r="L5" s="38"/>
      <c r="M5" s="39"/>
      <c r="N5" s="38"/>
      <c r="O5" s="38"/>
      <c r="P5" s="38"/>
      <c r="Q5" s="38"/>
      <c r="R5" s="38"/>
      <c r="S5" s="38"/>
      <c r="T5" s="38"/>
      <c r="U5" s="38"/>
      <c r="V5" s="39"/>
      <c r="W5" s="39"/>
      <c r="X5" s="40"/>
      <c r="Y5" s="40"/>
      <c r="Z5" s="40"/>
      <c r="AA5" s="40"/>
      <c r="AB5" s="40"/>
      <c r="AC5" s="41"/>
      <c r="AD5" s="41"/>
    </row>
    <row r="6" spans="1:30"/>
    <row r="7" spans="1:30">
      <c r="C7" s="13" t="str">
        <f>B5</f>
        <v>Stage</v>
      </c>
      <c r="D7" s="21" t="s">
        <v>33</v>
      </c>
      <c r="E7" s="21"/>
      <c r="F7" s="14"/>
      <c r="G7" s="14" t="s">
        <v>160</v>
      </c>
      <c r="H7" s="14"/>
    </row>
    <row r="8" spans="1:30">
      <c r="C8" s="15" t="s">
        <v>40</v>
      </c>
      <c r="D8" s="16" t="s">
        <v>161</v>
      </c>
      <c r="E8" s="16"/>
      <c r="F8" s="16"/>
      <c r="G8" s="43" t="s">
        <v>40</v>
      </c>
    </row>
    <row r="9" spans="1:30">
      <c r="C9" s="15" t="s">
        <v>162</v>
      </c>
      <c r="D9" s="16" t="s">
        <v>161</v>
      </c>
      <c r="E9" s="16"/>
      <c r="F9" s="16"/>
      <c r="G9" s="43" t="s">
        <v>162</v>
      </c>
    </row>
    <row r="10" spans="1:30">
      <c r="C10" s="15" t="s">
        <v>163</v>
      </c>
      <c r="D10" s="16" t="s">
        <v>39</v>
      </c>
      <c r="E10" s="16"/>
      <c r="F10" s="16"/>
      <c r="G10" s="43" t="s">
        <v>163</v>
      </c>
      <c r="T10" s="17"/>
    </row>
    <row r="11" spans="1:30">
      <c r="C11" s="15" t="s">
        <v>164</v>
      </c>
      <c r="D11" s="16" t="s">
        <v>161</v>
      </c>
      <c r="E11" s="16"/>
      <c r="F11" s="16"/>
      <c r="G11" s="43" t="s">
        <v>164</v>
      </c>
    </row>
    <row r="12" spans="1:30">
      <c r="C12" s="15" t="s">
        <v>165</v>
      </c>
      <c r="D12" s="16" t="s">
        <v>39</v>
      </c>
      <c r="E12" s="16"/>
      <c r="F12" s="16"/>
      <c r="G12" s="43" t="s">
        <v>165</v>
      </c>
      <c r="T12" s="17"/>
    </row>
    <row r="13" spans="1:30">
      <c r="F13" s="8"/>
      <c r="G13" s="8"/>
    </row>
    <row r="14" spans="1:30" customFormat="1" ht="12.75">
      <c r="A14" s="36"/>
      <c r="B14" s="42" t="s">
        <v>166</v>
      </c>
      <c r="C14" s="36"/>
      <c r="D14" s="36"/>
      <c r="E14" s="36"/>
      <c r="F14" s="37"/>
      <c r="G14" s="37"/>
      <c r="H14" s="37"/>
      <c r="I14" s="37"/>
      <c r="J14" s="38"/>
      <c r="K14" s="39"/>
      <c r="L14" s="38"/>
      <c r="M14" s="39"/>
      <c r="N14" s="38"/>
      <c r="O14" s="38"/>
      <c r="P14" s="38"/>
      <c r="Q14" s="38"/>
      <c r="R14" s="38"/>
      <c r="S14" s="38"/>
      <c r="T14" s="38"/>
      <c r="U14" s="38"/>
      <c r="V14" s="39"/>
      <c r="W14" s="39"/>
      <c r="X14" s="40"/>
      <c r="Y14" s="40"/>
      <c r="Z14" s="40"/>
      <c r="AA14" s="40"/>
      <c r="AB14" s="40"/>
      <c r="AC14" s="41"/>
      <c r="AD14" s="41"/>
    </row>
    <row r="15" spans="1:30"/>
    <row r="16" spans="1:30">
      <c r="C16" s="13" t="str">
        <f>B14</f>
        <v>Unit Denominations</v>
      </c>
      <c r="D16" s="21" t="s">
        <v>33</v>
      </c>
      <c r="E16" s="21"/>
      <c r="F16" s="14"/>
      <c r="G16" s="14" t="s">
        <v>160</v>
      </c>
      <c r="H16" s="14"/>
    </row>
    <row r="17" spans="1:30">
      <c r="C17" s="15" t="s">
        <v>167</v>
      </c>
      <c r="D17" s="16" t="s">
        <v>39</v>
      </c>
      <c r="E17" s="16"/>
      <c r="F17" s="16"/>
      <c r="G17" s="43" t="s">
        <v>168</v>
      </c>
    </row>
    <row r="18" spans="1:30">
      <c r="C18" s="15" t="s">
        <v>169</v>
      </c>
      <c r="D18" s="16" t="s">
        <v>39</v>
      </c>
      <c r="E18" s="16"/>
      <c r="F18" s="16"/>
      <c r="G18" s="43" t="s">
        <v>170</v>
      </c>
    </row>
    <row r="19" spans="1:30">
      <c r="C19" s="15" t="s">
        <v>171</v>
      </c>
      <c r="D19" s="16" t="s">
        <v>39</v>
      </c>
      <c r="E19" s="16"/>
      <c r="F19" s="16"/>
      <c r="G19" s="43" t="s">
        <v>48</v>
      </c>
      <c r="T19" s="17"/>
    </row>
    <row r="20" spans="1:30">
      <c r="F20" s="8"/>
      <c r="G20" s="8"/>
    </row>
    <row r="21" spans="1:30">
      <c r="C21" s="15" t="s">
        <v>55</v>
      </c>
      <c r="D21" s="16" t="s">
        <v>39</v>
      </c>
      <c r="E21" s="16"/>
      <c r="F21" s="16"/>
      <c r="G21" s="43" t="s">
        <v>87</v>
      </c>
    </row>
    <row r="22" spans="1:30">
      <c r="C22" s="15" t="s">
        <v>53</v>
      </c>
      <c r="D22" s="16" t="s">
        <v>39</v>
      </c>
      <c r="E22" s="16"/>
      <c r="F22" s="16"/>
      <c r="G22" s="43" t="s">
        <v>172</v>
      </c>
    </row>
    <row r="23" spans="1:30">
      <c r="C23" s="15" t="s">
        <v>173</v>
      </c>
      <c r="D23" s="16" t="s">
        <v>39</v>
      </c>
      <c r="E23" s="16"/>
      <c r="F23" s="16"/>
      <c r="G23" s="43" t="s">
        <v>104</v>
      </c>
    </row>
    <row r="24" spans="1:30">
      <c r="C24" s="15" t="s">
        <v>174</v>
      </c>
      <c r="D24" s="16" t="s">
        <v>39</v>
      </c>
      <c r="E24" s="16"/>
      <c r="F24" s="16"/>
      <c r="G24" s="43" t="s">
        <v>175</v>
      </c>
    </row>
    <row r="25" spans="1:30">
      <c r="C25" s="15"/>
      <c r="D25" s="16"/>
      <c r="E25" s="16"/>
      <c r="F25" s="16"/>
      <c r="G25" s="8"/>
    </row>
    <row r="26" spans="1:30">
      <c r="C26" s="15" t="s">
        <v>66</v>
      </c>
      <c r="D26" s="16" t="s">
        <v>39</v>
      </c>
      <c r="E26" s="16"/>
      <c r="F26" s="16"/>
      <c r="G26" s="43" t="s">
        <v>66</v>
      </c>
    </row>
    <row r="27" spans="1:30">
      <c r="C27" s="15" t="s">
        <v>67</v>
      </c>
      <c r="D27" s="16" t="s">
        <v>39</v>
      </c>
      <c r="E27" s="16"/>
      <c r="F27" s="16"/>
      <c r="G27" s="43" t="s">
        <v>67</v>
      </c>
    </row>
    <row r="28" spans="1:30">
      <c r="C28" s="15"/>
      <c r="D28" s="16"/>
      <c r="E28" s="16"/>
      <c r="F28" s="16"/>
      <c r="G28" s="8"/>
    </row>
    <row r="29" spans="1:30" customFormat="1" ht="12.75">
      <c r="A29" s="36"/>
      <c r="B29" s="42" t="s">
        <v>176</v>
      </c>
      <c r="C29" s="36"/>
      <c r="D29" s="36"/>
      <c r="E29" s="36"/>
      <c r="F29" s="37"/>
      <c r="G29" s="37"/>
      <c r="H29" s="37"/>
      <c r="I29" s="37"/>
      <c r="J29" s="38"/>
      <c r="K29" s="39"/>
      <c r="L29" s="38"/>
      <c r="M29" s="39"/>
      <c r="N29" s="38"/>
      <c r="O29" s="38"/>
      <c r="P29" s="38"/>
      <c r="Q29" s="38"/>
      <c r="R29" s="38"/>
      <c r="S29" s="38"/>
      <c r="T29" s="38"/>
      <c r="U29" s="38"/>
      <c r="V29" s="39"/>
      <c r="W29" s="39"/>
      <c r="X29" s="40"/>
      <c r="Y29" s="40"/>
      <c r="Z29" s="40"/>
      <c r="AA29" s="40"/>
      <c r="AB29" s="40"/>
      <c r="AC29" s="41"/>
      <c r="AD29" s="41"/>
    </row>
    <row r="30" spans="1:30"/>
    <row r="31" spans="1:30">
      <c r="C31" s="13" t="str">
        <f>B29</f>
        <v>Months</v>
      </c>
      <c r="D31" s="21" t="s">
        <v>33</v>
      </c>
      <c r="E31" s="21"/>
      <c r="F31" s="14"/>
      <c r="G31" s="14" t="s">
        <v>160</v>
      </c>
      <c r="H31" s="14"/>
    </row>
    <row r="32" spans="1:30">
      <c r="C32" s="15" t="s">
        <v>177</v>
      </c>
      <c r="D32" s="16" t="s">
        <v>39</v>
      </c>
      <c r="E32" s="16"/>
      <c r="F32" s="16"/>
      <c r="G32" s="106">
        <v>36526</v>
      </c>
      <c r="H32" s="14"/>
    </row>
    <row r="33" spans="1:30">
      <c r="C33" s="15" t="s">
        <v>178</v>
      </c>
      <c r="D33" s="16" t="s">
        <v>39</v>
      </c>
      <c r="E33" s="16"/>
      <c r="F33" s="16"/>
      <c r="G33" s="106">
        <v>36557</v>
      </c>
      <c r="H33" s="14"/>
    </row>
    <row r="34" spans="1:30">
      <c r="C34" s="15" t="s">
        <v>179</v>
      </c>
      <c r="D34" s="16" t="s">
        <v>39</v>
      </c>
      <c r="E34" s="16"/>
      <c r="F34" s="16"/>
      <c r="G34" s="106">
        <v>36586</v>
      </c>
      <c r="H34" s="14"/>
    </row>
    <row r="35" spans="1:30">
      <c r="C35" s="15" t="s">
        <v>180</v>
      </c>
      <c r="D35" s="16" t="s">
        <v>39</v>
      </c>
      <c r="E35" s="16"/>
      <c r="F35" s="16"/>
      <c r="G35" s="106">
        <v>36617</v>
      </c>
    </row>
    <row r="36" spans="1:30">
      <c r="C36" s="15" t="s">
        <v>181</v>
      </c>
      <c r="D36" s="16" t="s">
        <v>39</v>
      </c>
      <c r="E36" s="16"/>
      <c r="F36" s="16"/>
      <c r="G36" s="106">
        <v>36647</v>
      </c>
    </row>
    <row r="37" spans="1:30">
      <c r="C37" s="15" t="s">
        <v>182</v>
      </c>
      <c r="D37" s="16" t="s">
        <v>39</v>
      </c>
      <c r="E37" s="16"/>
      <c r="F37" s="16"/>
      <c r="G37" s="106">
        <v>36678</v>
      </c>
      <c r="T37" s="17"/>
    </row>
    <row r="38" spans="1:30">
      <c r="C38" s="15" t="s">
        <v>183</v>
      </c>
      <c r="D38" s="16" t="s">
        <v>39</v>
      </c>
      <c r="E38" s="16"/>
      <c r="F38" s="16"/>
      <c r="G38" s="106">
        <v>36708</v>
      </c>
      <c r="T38" s="17"/>
    </row>
    <row r="39" spans="1:30">
      <c r="C39" s="15" t="s">
        <v>184</v>
      </c>
      <c r="D39" s="16" t="s">
        <v>39</v>
      </c>
      <c r="E39" s="16"/>
      <c r="F39" s="16"/>
      <c r="G39" s="106">
        <v>36739</v>
      </c>
      <c r="T39" s="17"/>
    </row>
    <row r="40" spans="1:30">
      <c r="C40" s="15" t="s">
        <v>185</v>
      </c>
      <c r="D40" s="16" t="s">
        <v>39</v>
      </c>
      <c r="E40" s="16"/>
      <c r="F40" s="16"/>
      <c r="G40" s="106">
        <v>36770</v>
      </c>
      <c r="T40" s="17"/>
    </row>
    <row r="41" spans="1:30">
      <c r="C41" s="15" t="s">
        <v>186</v>
      </c>
      <c r="D41" s="16" t="s">
        <v>39</v>
      </c>
      <c r="E41" s="16"/>
      <c r="F41" s="16"/>
      <c r="G41" s="106">
        <v>36800</v>
      </c>
      <c r="T41" s="17"/>
    </row>
    <row r="42" spans="1:30">
      <c r="C42" s="15" t="s">
        <v>187</v>
      </c>
      <c r="D42" s="16" t="s">
        <v>39</v>
      </c>
      <c r="E42" s="16"/>
      <c r="F42" s="16"/>
      <c r="G42" s="106">
        <v>36831</v>
      </c>
      <c r="T42" s="17"/>
    </row>
    <row r="43" spans="1:30">
      <c r="C43" s="15" t="s">
        <v>188</v>
      </c>
      <c r="D43" s="16" t="s">
        <v>39</v>
      </c>
      <c r="E43" s="16"/>
      <c r="F43" s="16"/>
      <c r="G43" s="106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2.75">
      <c r="A45" s="36"/>
      <c r="B45" s="42" t="s">
        <v>189</v>
      </c>
      <c r="C45" s="36"/>
      <c r="D45" s="36"/>
      <c r="E45" s="36"/>
      <c r="F45" s="37"/>
      <c r="G45" s="37"/>
      <c r="H45" s="37"/>
      <c r="I45" s="37"/>
      <c r="J45" s="38"/>
      <c r="K45" s="39"/>
      <c r="L45" s="38"/>
      <c r="M45" s="39"/>
      <c r="N45" s="38"/>
      <c r="O45" s="38"/>
      <c r="P45" s="38"/>
      <c r="Q45" s="38"/>
      <c r="R45" s="38"/>
      <c r="S45" s="38"/>
      <c r="T45" s="38"/>
      <c r="U45" s="38"/>
      <c r="V45" s="39"/>
      <c r="W45" s="39"/>
      <c r="X45" s="40"/>
      <c r="Y45" s="40"/>
      <c r="Z45" s="40"/>
      <c r="AA45" s="40"/>
      <c r="AB45" s="40"/>
      <c r="AC45" s="41"/>
      <c r="AD45" s="41"/>
    </row>
    <row r="46" spans="1:30"/>
    <row r="47" spans="1:30">
      <c r="C47" s="13" t="str">
        <f>B45</f>
        <v>Years</v>
      </c>
      <c r="D47" s="21" t="s">
        <v>33</v>
      </c>
      <c r="E47" s="21"/>
      <c r="F47" s="14"/>
      <c r="G47" s="14" t="s">
        <v>190</v>
      </c>
      <c r="H47" s="14" t="s">
        <v>191</v>
      </c>
      <c r="I47" s="14" t="s">
        <v>192</v>
      </c>
    </row>
    <row r="48" spans="1:30">
      <c r="C48" s="112">
        <v>40695</v>
      </c>
      <c r="D48" s="16" t="s">
        <v>39</v>
      </c>
      <c r="E48" s="16"/>
      <c r="F48" s="16"/>
      <c r="G48" s="107">
        <v>2011</v>
      </c>
      <c r="H48" s="127">
        <f>DATE(G48,MONTH('Input|General'!$G$9),1)</f>
        <v>40695</v>
      </c>
      <c r="I48" s="126" t="str">
        <f>G48-1&amp;"–"&amp;RIGHT(G48,2)</f>
        <v>2010–11</v>
      </c>
    </row>
    <row r="49" spans="3:20">
      <c r="C49" s="112">
        <v>41061</v>
      </c>
      <c r="D49" s="16" t="s">
        <v>39</v>
      </c>
      <c r="E49" s="16"/>
      <c r="F49" s="16"/>
      <c r="G49" s="107">
        <v>2012</v>
      </c>
      <c r="H49" s="127">
        <f>DATE(G49,MONTH('Input|General'!$G$9),1)</f>
        <v>41061</v>
      </c>
      <c r="I49" s="126" t="str">
        <f t="shared" ref="I49:I67" si="0">G49-1&amp;"–"&amp;RIGHT(G49,2)</f>
        <v>2011–12</v>
      </c>
    </row>
    <row r="50" spans="3:20">
      <c r="C50" s="112">
        <v>41426</v>
      </c>
      <c r="D50" s="16" t="s">
        <v>39</v>
      </c>
      <c r="E50" s="16"/>
      <c r="F50" s="16"/>
      <c r="G50" s="107">
        <v>2013</v>
      </c>
      <c r="H50" s="127">
        <f>DATE(G50,MONTH('Input|General'!$G$9),1)</f>
        <v>41426</v>
      </c>
      <c r="I50" s="126" t="str">
        <f t="shared" si="0"/>
        <v>2012–13</v>
      </c>
    </row>
    <row r="51" spans="3:20">
      <c r="C51" s="112">
        <v>41791</v>
      </c>
      <c r="D51" s="16" t="s">
        <v>39</v>
      </c>
      <c r="E51" s="16"/>
      <c r="F51" s="16"/>
      <c r="G51" s="107">
        <v>2014</v>
      </c>
      <c r="H51" s="127">
        <f>DATE(G51,MONTH('Input|General'!$G$9),1)</f>
        <v>41791</v>
      </c>
      <c r="I51" s="126" t="str">
        <f t="shared" si="0"/>
        <v>2013–14</v>
      </c>
    </row>
    <row r="52" spans="3:20">
      <c r="C52" s="112">
        <v>42156</v>
      </c>
      <c r="D52" s="16" t="s">
        <v>39</v>
      </c>
      <c r="E52" s="16"/>
      <c r="F52" s="16"/>
      <c r="G52" s="107">
        <v>2015</v>
      </c>
      <c r="H52" s="127">
        <f>DATE(G52,MONTH('Input|General'!$G$9),1)</f>
        <v>42156</v>
      </c>
      <c r="I52" s="126" t="str">
        <f t="shared" si="0"/>
        <v>2014–15</v>
      </c>
      <c r="T52" s="17"/>
    </row>
    <row r="53" spans="3:20">
      <c r="C53" s="112">
        <v>42522</v>
      </c>
      <c r="D53" s="16" t="s">
        <v>39</v>
      </c>
      <c r="E53" s="16"/>
      <c r="F53" s="16"/>
      <c r="G53" s="107">
        <v>2016</v>
      </c>
      <c r="H53" s="127">
        <f>DATE(G53,MONTH('Input|General'!$G$9),1)</f>
        <v>42522</v>
      </c>
      <c r="I53" s="126" t="str">
        <f t="shared" si="0"/>
        <v>2015–16</v>
      </c>
      <c r="T53" s="17"/>
    </row>
    <row r="54" spans="3:20">
      <c r="C54" s="112">
        <v>42887</v>
      </c>
      <c r="D54" s="16" t="s">
        <v>39</v>
      </c>
      <c r="E54" s="16"/>
      <c r="F54" s="16"/>
      <c r="G54" s="107">
        <v>2017</v>
      </c>
      <c r="H54" s="127">
        <f>DATE(G54,MONTH('Input|General'!$G$9),1)</f>
        <v>42887</v>
      </c>
      <c r="I54" s="126" t="str">
        <f t="shared" si="0"/>
        <v>2016–17</v>
      </c>
      <c r="T54" s="17"/>
    </row>
    <row r="55" spans="3:20">
      <c r="C55" s="112">
        <v>43252</v>
      </c>
      <c r="D55" s="16" t="s">
        <v>39</v>
      </c>
      <c r="E55" s="16"/>
      <c r="F55" s="16"/>
      <c r="G55" s="107">
        <v>2018</v>
      </c>
      <c r="H55" s="127">
        <f>DATE(G55,MONTH('Input|General'!$G$9),1)</f>
        <v>43252</v>
      </c>
      <c r="I55" s="126" t="str">
        <f t="shared" si="0"/>
        <v>2017–18</v>
      </c>
      <c r="T55" s="17"/>
    </row>
    <row r="56" spans="3:20">
      <c r="C56" s="112">
        <v>43617</v>
      </c>
      <c r="D56" s="16" t="s">
        <v>39</v>
      </c>
      <c r="E56" s="16"/>
      <c r="F56" s="16"/>
      <c r="G56" s="107">
        <v>2019</v>
      </c>
      <c r="H56" s="127">
        <f>DATE(G56,MONTH('Input|General'!$G$9),1)</f>
        <v>43617</v>
      </c>
      <c r="I56" s="126" t="str">
        <f t="shared" si="0"/>
        <v>2018–19</v>
      </c>
      <c r="T56" s="17"/>
    </row>
    <row r="57" spans="3:20">
      <c r="C57" s="112">
        <v>43983</v>
      </c>
      <c r="D57" s="16" t="s">
        <v>39</v>
      </c>
      <c r="E57" s="16"/>
      <c r="F57" s="16"/>
      <c r="G57" s="107">
        <v>2020</v>
      </c>
      <c r="H57" s="127">
        <f>DATE(G57,MONTH('Input|General'!$G$9),1)</f>
        <v>43983</v>
      </c>
      <c r="I57" s="126" t="str">
        <f t="shared" si="0"/>
        <v>2019–20</v>
      </c>
      <c r="T57" s="17"/>
    </row>
    <row r="58" spans="3:20">
      <c r="C58" s="112">
        <v>44348</v>
      </c>
      <c r="D58" s="16" t="s">
        <v>39</v>
      </c>
      <c r="E58" s="16"/>
      <c r="F58" s="16"/>
      <c r="G58" s="107">
        <v>2021</v>
      </c>
      <c r="H58" s="127">
        <f>DATE(G58,MONTH('Input|General'!$G$9),1)</f>
        <v>44348</v>
      </c>
      <c r="I58" s="126" t="str">
        <f t="shared" si="0"/>
        <v>2020–21</v>
      </c>
      <c r="T58" s="17"/>
    </row>
    <row r="59" spans="3:20">
      <c r="C59" s="112">
        <v>44713</v>
      </c>
      <c r="D59" s="16" t="s">
        <v>39</v>
      </c>
      <c r="E59" s="16"/>
      <c r="F59" s="16"/>
      <c r="G59" s="107">
        <v>2022</v>
      </c>
      <c r="H59" s="127">
        <f>DATE(G59,MONTH('Input|General'!$G$9),1)</f>
        <v>44713</v>
      </c>
      <c r="I59" s="126" t="str">
        <f t="shared" si="0"/>
        <v>2021–22</v>
      </c>
      <c r="T59" s="17"/>
    </row>
    <row r="60" spans="3:20">
      <c r="C60" s="112">
        <v>45078</v>
      </c>
      <c r="D60" s="16" t="s">
        <v>39</v>
      </c>
      <c r="E60" s="16"/>
      <c r="F60" s="16"/>
      <c r="G60" s="107">
        <v>2023</v>
      </c>
      <c r="H60" s="127">
        <f>DATE(G60,MONTH('Input|General'!$G$9),1)</f>
        <v>45078</v>
      </c>
      <c r="I60" s="126" t="str">
        <f t="shared" si="0"/>
        <v>2022–23</v>
      </c>
      <c r="T60" s="17"/>
    </row>
    <row r="61" spans="3:20">
      <c r="C61" s="112">
        <v>45444</v>
      </c>
      <c r="D61" s="16" t="s">
        <v>39</v>
      </c>
      <c r="E61" s="16"/>
      <c r="F61" s="16"/>
      <c r="G61" s="107">
        <v>2024</v>
      </c>
      <c r="H61" s="127">
        <f>DATE(G61,MONTH('Input|General'!$G$9),1)</f>
        <v>45444</v>
      </c>
      <c r="I61" s="126" t="str">
        <f t="shared" si="0"/>
        <v>2023–24</v>
      </c>
      <c r="T61" s="17"/>
    </row>
    <row r="62" spans="3:20">
      <c r="C62" s="112">
        <v>45809</v>
      </c>
      <c r="D62" s="16" t="s">
        <v>39</v>
      </c>
      <c r="E62" s="16"/>
      <c r="F62" s="16"/>
      <c r="G62" s="107">
        <v>2025</v>
      </c>
      <c r="H62" s="127">
        <f>DATE(G62,MONTH('Input|General'!$G$9),1)</f>
        <v>45809</v>
      </c>
      <c r="I62" s="126" t="str">
        <f t="shared" si="0"/>
        <v>2024–25</v>
      </c>
      <c r="T62" s="17"/>
    </row>
    <row r="63" spans="3:20">
      <c r="C63" s="112">
        <v>46174</v>
      </c>
      <c r="D63" s="16" t="s">
        <v>39</v>
      </c>
      <c r="E63" s="16"/>
      <c r="F63" s="16"/>
      <c r="G63" s="107">
        <v>2026</v>
      </c>
      <c r="H63" s="127">
        <f>DATE(G63,MONTH('Input|General'!$G$9),1)</f>
        <v>46174</v>
      </c>
      <c r="I63" s="126" t="str">
        <f t="shared" si="0"/>
        <v>2025–26</v>
      </c>
      <c r="T63" s="17"/>
    </row>
    <row r="64" spans="3:20">
      <c r="C64" s="112">
        <v>46539</v>
      </c>
      <c r="D64" s="16" t="s">
        <v>39</v>
      </c>
      <c r="E64" s="16"/>
      <c r="F64" s="16"/>
      <c r="G64" s="107">
        <v>2027</v>
      </c>
      <c r="H64" s="127">
        <f>DATE(G64,MONTH('Input|General'!$G$9),1)</f>
        <v>46539</v>
      </c>
      <c r="I64" s="126" t="str">
        <f t="shared" si="0"/>
        <v>2026–27</v>
      </c>
      <c r="T64" s="17"/>
    </row>
    <row r="65" spans="1:30">
      <c r="C65" s="112">
        <v>46905</v>
      </c>
      <c r="D65" s="16" t="s">
        <v>39</v>
      </c>
      <c r="E65" s="16"/>
      <c r="F65" s="16"/>
      <c r="G65" s="107">
        <v>2028</v>
      </c>
      <c r="H65" s="127">
        <f>DATE(G65,MONTH('Input|General'!$G$9),1)</f>
        <v>46905</v>
      </c>
      <c r="I65" s="126" t="str">
        <f t="shared" si="0"/>
        <v>2027–28</v>
      </c>
      <c r="T65" s="17"/>
    </row>
    <row r="66" spans="1:30">
      <c r="C66" s="112">
        <v>47270</v>
      </c>
      <c r="D66" s="16" t="s">
        <v>39</v>
      </c>
      <c r="E66" s="16"/>
      <c r="F66" s="16"/>
      <c r="G66" s="107">
        <v>2029</v>
      </c>
      <c r="H66" s="127">
        <f>DATE(G66,MONTH('Input|General'!$G$9),1)</f>
        <v>47270</v>
      </c>
      <c r="I66" s="126" t="str">
        <f t="shared" si="0"/>
        <v>2028–29</v>
      </c>
      <c r="T66" s="17"/>
    </row>
    <row r="67" spans="1:30">
      <c r="C67" s="112">
        <v>47635</v>
      </c>
      <c r="D67" s="16" t="s">
        <v>39</v>
      </c>
      <c r="E67" s="16"/>
      <c r="F67" s="16"/>
      <c r="G67" s="107">
        <v>2030</v>
      </c>
      <c r="H67" s="127">
        <f>DATE(G67,MONTH('Input|General'!$G$9),1)</f>
        <v>47635</v>
      </c>
      <c r="I67" s="126" t="str">
        <f t="shared" si="0"/>
        <v>2029–30</v>
      </c>
      <c r="T67" s="17"/>
    </row>
    <row r="68" spans="1:30"/>
    <row r="69" spans="1:30" customFormat="1" ht="12.75">
      <c r="A69" s="36"/>
      <c r="B69" s="42" t="s">
        <v>193</v>
      </c>
      <c r="C69" s="36"/>
      <c r="D69" s="36"/>
      <c r="E69" s="36"/>
      <c r="F69" s="37"/>
      <c r="G69" s="37"/>
      <c r="H69" s="37"/>
      <c r="I69" s="37"/>
      <c r="J69" s="38"/>
      <c r="K69" s="39"/>
      <c r="L69" s="38"/>
      <c r="M69" s="39"/>
      <c r="N69" s="38"/>
      <c r="O69" s="38"/>
      <c r="P69" s="38"/>
      <c r="Q69" s="38"/>
      <c r="R69" s="38"/>
      <c r="S69" s="38"/>
      <c r="T69" s="38"/>
      <c r="U69" s="38"/>
      <c r="V69" s="39"/>
      <c r="W69" s="39"/>
      <c r="X69" s="40"/>
      <c r="Y69" s="40"/>
      <c r="Z69" s="40"/>
      <c r="AA69" s="40"/>
      <c r="AB69" s="40"/>
      <c r="AC69" s="41"/>
      <c r="AD69" s="41"/>
    </row>
    <row r="70" spans="1:30"/>
    <row r="71" spans="1:30">
      <c r="C71" s="13" t="str">
        <f>B69</f>
        <v>Regulatory years</v>
      </c>
      <c r="D71" s="21" t="s">
        <v>33</v>
      </c>
      <c r="E71" s="21"/>
      <c r="F71" s="14"/>
      <c r="G71" s="14" t="s">
        <v>194</v>
      </c>
      <c r="H71" s="14" t="s">
        <v>41</v>
      </c>
    </row>
    <row r="72" spans="1:30">
      <c r="C72" s="15" t="s">
        <v>195</v>
      </c>
      <c r="D72" s="16" t="s">
        <v>89</v>
      </c>
      <c r="E72" s="21"/>
      <c r="F72" s="14"/>
      <c r="G72" s="126" t="str">
        <f>IF(H72="","",IF(MONTH(H72)=12,YEAR(H72),YEAR(H72)-1&amp;"–"&amp;RIGHT(YEAR(H72),2)))</f>
        <v>2019–20</v>
      </c>
      <c r="H72" s="127">
        <f>DATE(PPFirstYear-1,MONTH('Input|General'!$G$9),1)</f>
        <v>43983</v>
      </c>
    </row>
    <row r="73" spans="1:30">
      <c r="C73" s="15" t="s">
        <v>196</v>
      </c>
      <c r="D73" s="16" t="s">
        <v>89</v>
      </c>
      <c r="E73" s="16"/>
      <c r="F73" s="16"/>
      <c r="G73" s="126" t="str">
        <f t="shared" ref="G73:G82" si="1">IF(H73="","",IF(MONTH(H73)=12,YEAR(H73),YEAR(H73)-1&amp;"–"&amp;RIGHT(YEAR(H73),2)))</f>
        <v>2020–21</v>
      </c>
      <c r="H73" s="127">
        <f>DATE(PPFirstYear,MONTH('Input|General'!$G$9),1)</f>
        <v>44348</v>
      </c>
    </row>
    <row r="74" spans="1:30">
      <c r="C74" s="15" t="s">
        <v>197</v>
      </c>
      <c r="D74" s="16" t="s">
        <v>89</v>
      </c>
      <c r="E74" s="16"/>
      <c r="F74" s="16"/>
      <c r="G74" s="126" t="str">
        <f t="shared" si="1"/>
        <v>2021–22</v>
      </c>
      <c r="H74" s="127">
        <f>IF(PPLastYear-PPFirstYear&lt;1,"",DATE(PPFirstYear+1,MONTH('Input|General'!$G$9),1))</f>
        <v>44713</v>
      </c>
    </row>
    <row r="75" spans="1:30">
      <c r="C75" s="15" t="s">
        <v>198</v>
      </c>
      <c r="D75" s="16" t="s">
        <v>89</v>
      </c>
      <c r="E75" s="16"/>
      <c r="F75" s="16"/>
      <c r="G75" s="126" t="str">
        <f t="shared" si="1"/>
        <v>2022–23</v>
      </c>
      <c r="H75" s="127">
        <f>IF(PPLastYear-PPFirstYear&lt;2,"",DATE(PPFirstYear+2,MONTH('Input|General'!$G$9),1))</f>
        <v>45078</v>
      </c>
    </row>
    <row r="76" spans="1:30">
      <c r="C76" s="15" t="s">
        <v>199</v>
      </c>
      <c r="D76" s="16" t="s">
        <v>89</v>
      </c>
      <c r="E76" s="16"/>
      <c r="F76" s="16"/>
      <c r="G76" s="126" t="str">
        <f t="shared" si="1"/>
        <v>2023–24</v>
      </c>
      <c r="H76" s="127">
        <f>IF(PPLastYear-PPFirstYear&lt;3,"",DATE(PPFirstYear+3,MONTH('Input|General'!$G$9),1))</f>
        <v>45444</v>
      </c>
    </row>
    <row r="77" spans="1:30">
      <c r="C77" s="15" t="s">
        <v>200</v>
      </c>
      <c r="D77" s="16" t="s">
        <v>89</v>
      </c>
      <c r="E77" s="16"/>
      <c r="F77" s="16"/>
      <c r="G77" s="126" t="str">
        <f t="shared" si="1"/>
        <v>2024–25</v>
      </c>
      <c r="H77" s="127">
        <f>IF(PPLastYear-PPFirstYear&lt;4,"",DATE(PPFirstYear+4,MONTH('Input|General'!$G$9),1))</f>
        <v>45809</v>
      </c>
    </row>
    <row r="78" spans="1:30">
      <c r="C78" s="15" t="s">
        <v>201</v>
      </c>
      <c r="D78" s="16" t="s">
        <v>89</v>
      </c>
      <c r="E78" s="16"/>
      <c r="F78" s="16"/>
      <c r="G78" s="126" t="str">
        <f t="shared" si="1"/>
        <v/>
      </c>
      <c r="H78" s="127" t="str">
        <f>IF(PPLastYear-PPFirstYear&lt;5,"",DATE(PPFirstYear+5,MONTH('Input|General'!$G$9),1))</f>
        <v/>
      </c>
    </row>
    <row r="79" spans="1:30">
      <c r="C79" s="15" t="s">
        <v>202</v>
      </c>
      <c r="D79" s="16" t="s">
        <v>89</v>
      </c>
      <c r="E79" s="16"/>
      <c r="F79" s="16"/>
      <c r="G79" s="126" t="str">
        <f t="shared" si="1"/>
        <v>2025–26</v>
      </c>
      <c r="H79" s="127">
        <f>DATE(FPFirstYear,MONTH('Input|General'!$G$9),1)</f>
        <v>46174</v>
      </c>
      <c r="T79" s="17"/>
    </row>
    <row r="80" spans="1:30">
      <c r="C80" s="15" t="s">
        <v>203</v>
      </c>
      <c r="D80" s="16" t="s">
        <v>89</v>
      </c>
      <c r="E80" s="16"/>
      <c r="F80" s="16"/>
      <c r="G80" s="126" t="str">
        <f t="shared" si="1"/>
        <v>2026–27</v>
      </c>
      <c r="H80" s="127">
        <f>IF(FPLastYear-FPFirstYear&lt;1,"",DATE(FPFirstYear+1,MONTH('Input|General'!$G$9),1))</f>
        <v>46539</v>
      </c>
      <c r="T80" s="17"/>
    </row>
    <row r="81" spans="1:30">
      <c r="C81" s="15" t="s">
        <v>204</v>
      </c>
      <c r="D81" s="16" t="s">
        <v>89</v>
      </c>
      <c r="E81" s="16"/>
      <c r="F81" s="16"/>
      <c r="G81" s="126" t="str">
        <f t="shared" si="1"/>
        <v>2027–28</v>
      </c>
      <c r="H81" s="127">
        <f>IF(FPLastYear-FPFirstYear&lt;2,"",DATE(FPFirstYear+2,MONTH('Input|General'!$G$9),1))</f>
        <v>46905</v>
      </c>
      <c r="T81" s="17"/>
    </row>
    <row r="82" spans="1:30">
      <c r="C82" s="15" t="s">
        <v>205</v>
      </c>
      <c r="D82" s="16" t="s">
        <v>89</v>
      </c>
      <c r="E82" s="16"/>
      <c r="F82" s="16"/>
      <c r="G82" s="126" t="str">
        <f t="shared" si="1"/>
        <v>2028–29</v>
      </c>
      <c r="H82" s="127">
        <f>IF(FPLastYear-FPFirstYear&lt;3,"",DATE(FPFirstYear+3,MONTH('Input|General'!$G$9),1))</f>
        <v>47270</v>
      </c>
      <c r="T82" s="17"/>
    </row>
    <row r="83" spans="1:30">
      <c r="C83" s="15" t="s">
        <v>206</v>
      </c>
      <c r="D83" s="16" t="s">
        <v>89</v>
      </c>
      <c r="E83" s="16"/>
      <c r="F83" s="16"/>
      <c r="G83" s="126" t="str">
        <f>IF(H83="","",IF(MONTH(H83)=12,YEAR(H83),YEAR(H83)-1&amp;"–"&amp;RIGHT(YEAR(H83),2)))</f>
        <v>2029–30</v>
      </c>
      <c r="H83" s="127">
        <f>IF(FPLastYear-FPFirstYear&lt;4,"",DATE(FPFirstYear+4,MONTH('Input|General'!$G$9),1))</f>
        <v>47635</v>
      </c>
      <c r="T83" s="17"/>
    </row>
    <row r="84" spans="1:30">
      <c r="C84" s="15"/>
      <c r="D84" s="16"/>
      <c r="E84" s="16"/>
      <c r="F84" s="16"/>
      <c r="G84" s="143"/>
      <c r="H84" s="144"/>
      <c r="T84" s="17"/>
    </row>
    <row r="85" spans="1:30" customFormat="1" ht="12.75">
      <c r="A85" s="36"/>
      <c r="B85" s="42" t="s">
        <v>23</v>
      </c>
      <c r="C85" s="36"/>
      <c r="D85" s="36"/>
      <c r="E85" s="36"/>
      <c r="F85" s="37"/>
      <c r="G85" s="37"/>
      <c r="H85" s="37"/>
      <c r="I85" s="37"/>
      <c r="J85" s="38"/>
      <c r="K85" s="39"/>
      <c r="L85" s="38"/>
      <c r="M85" s="39"/>
      <c r="N85" s="38"/>
      <c r="O85" s="38"/>
      <c r="P85" s="38"/>
      <c r="Q85" s="38"/>
      <c r="R85" s="38"/>
      <c r="S85" s="38"/>
      <c r="T85" s="38"/>
      <c r="U85" s="38"/>
      <c r="V85" s="39"/>
      <c r="W85" s="39"/>
      <c r="X85" s="40"/>
      <c r="Y85" s="40"/>
      <c r="Z85" s="40"/>
      <c r="AA85" s="40"/>
      <c r="AB85" s="40"/>
      <c r="AC85" s="41"/>
      <c r="AD85" s="41"/>
    </row>
  </sheetData>
  <conditionalFormatting sqref="P21:P28">
    <cfRule type="expression" dxfId="13" priority="55" stopIfTrue="1">
      <formula>#REF!="Actual"</formula>
    </cfRule>
  </conditionalFormatting>
  <conditionalFormatting sqref="P68">
    <cfRule type="expression" dxfId="12" priority="2" stopIfTrue="1">
      <formula>#REF!="Actual"</formula>
    </cfRule>
  </conditionalFormatting>
  <conditionalFormatting sqref="P21:Q28">
    <cfRule type="expression" dxfId="11" priority="56" stopIfTrue="1">
      <formula>#REF!="Actual"</formula>
    </cfRule>
  </conditionalFormatting>
  <conditionalFormatting sqref="Q68">
    <cfRule type="expression" dxfId="10" priority="1" stopIfTrue="1">
      <formula>#REF!="Actual"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V1">
    <cfRule type="cellIs" dxfId="7" priority="5" operator="equal">
      <formula>"Check"</formula>
    </cfRule>
    <cfRule type="cellIs" dxfId="6" priority="6" operator="equal">
      <formula>"Ok"</formula>
    </cfRule>
  </conditionalFormatting>
  <hyperlinks>
    <hyperlink ref="J1" location="Index!A1" display="Back to Index" xr:uid="{00000000-0004-0000-0800-000000000000}"/>
    <hyperlink ref="U1" location="'Check|List'!A1" display="Overall Check:" xr:uid="{00000000-0004-0000-0800-000001000000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1"/>
  </sheetPr>
  <dimension ref="A1:AD22"/>
  <sheetViews>
    <sheetView showGridLines="0" workbookViewId="0">
      <selection activeCell="G14" sqref="G14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30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124" t="s">
        <v>30</v>
      </c>
      <c r="S1" s="34" t="str">
        <f>IF(COUNTIF(G10:G16,"Check")=0,"Ok","Check")</f>
        <v>Ok</v>
      </c>
      <c r="U1" s="33"/>
      <c r="V1" s="34"/>
    </row>
    <row r="2" spans="1:30" s="32" customFormat="1" ht="12.75">
      <c r="B2" s="45" t="str">
        <f>Index!$C$15</f>
        <v>Check | List</v>
      </c>
      <c r="C2" s="45"/>
      <c r="D2" s="45"/>
      <c r="E2" s="45"/>
      <c r="F2" s="46"/>
      <c r="G2" s="46"/>
      <c r="H2" s="46"/>
      <c r="I2" s="46"/>
    </row>
    <row r="3" spans="1:30" s="49" customFormat="1" ht="12.75">
      <c r="A3" s="36"/>
      <c r="B3" s="42"/>
      <c r="C3" s="36"/>
      <c r="D3" s="36"/>
      <c r="E3" s="36"/>
      <c r="F3" s="37"/>
      <c r="G3" s="37"/>
      <c r="H3" s="37"/>
      <c r="I3" s="37"/>
      <c r="J3" s="38"/>
      <c r="K3" s="39"/>
      <c r="L3" s="38"/>
      <c r="M3" s="39"/>
      <c r="N3" s="38"/>
      <c r="O3" s="38"/>
      <c r="P3" s="38"/>
      <c r="Q3" s="38"/>
      <c r="R3" s="38"/>
      <c r="S3" s="38"/>
      <c r="T3" s="38"/>
      <c r="U3" s="38"/>
      <c r="V3" s="39"/>
      <c r="W3" s="39"/>
      <c r="X3" s="47"/>
      <c r="Y3" s="47"/>
      <c r="Z3" s="47"/>
      <c r="AA3" s="47"/>
      <c r="AB3" s="47"/>
      <c r="AC3" s="48"/>
      <c r="AD3" s="48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2.75">
      <c r="A7" s="36"/>
      <c r="B7" s="42" t="s">
        <v>207</v>
      </c>
      <c r="C7" s="36"/>
      <c r="D7" s="36"/>
      <c r="E7" s="36"/>
      <c r="F7" s="37"/>
      <c r="G7" s="37"/>
      <c r="H7" s="37"/>
      <c r="I7" s="37"/>
      <c r="J7" s="38"/>
      <c r="K7" s="39"/>
      <c r="L7" s="38"/>
      <c r="M7" s="39"/>
      <c r="N7" s="38"/>
      <c r="O7" s="38"/>
      <c r="P7" s="38"/>
      <c r="Q7" s="38"/>
      <c r="R7" s="38"/>
      <c r="S7" s="38"/>
      <c r="T7" s="38"/>
      <c r="U7" s="38"/>
      <c r="V7" s="39"/>
      <c r="W7" s="39"/>
      <c r="X7" s="40"/>
      <c r="Y7" s="40"/>
      <c r="Z7" s="40"/>
      <c r="AA7" s="40"/>
      <c r="AB7" s="40"/>
      <c r="AC7" s="41"/>
      <c r="AD7" s="41"/>
    </row>
    <row r="8" spans="1:30"/>
    <row r="9" spans="1:30">
      <c r="C9" s="13" t="s">
        <v>208</v>
      </c>
      <c r="D9" s="14" t="s">
        <v>33</v>
      </c>
      <c r="E9" s="14" t="s">
        <v>53</v>
      </c>
      <c r="F9" s="14"/>
      <c r="G9" s="14" t="s">
        <v>209</v>
      </c>
    </row>
    <row r="10" spans="1:30">
      <c r="C10" s="15" t="str">
        <f>Index!C7</f>
        <v>Input | General</v>
      </c>
      <c r="D10" s="28" t="str">
        <f>C10</f>
        <v>Input | General</v>
      </c>
      <c r="E10" s="16" t="s">
        <v>98</v>
      </c>
      <c r="F10" s="16"/>
      <c r="G10" s="18" t="str">
        <f>'Input|General'!S1</f>
        <v>OK</v>
      </c>
      <c r="T10" s="17"/>
    </row>
    <row r="11" spans="1:30">
      <c r="C11" s="15" t="str">
        <f>Index!C8</f>
        <v>Input | Inflation</v>
      </c>
      <c r="D11" s="116" t="str">
        <f>C11</f>
        <v>Input | Inflation</v>
      </c>
      <c r="E11" s="16" t="s">
        <v>98</v>
      </c>
      <c r="F11" s="16"/>
      <c r="G11" s="18" t="str">
        <f>'Input|Inflation'!T1</f>
        <v>OK</v>
      </c>
      <c r="T11" s="17"/>
    </row>
    <row r="12" spans="1:30">
      <c r="C12" s="15" t="str">
        <f>Index!C9</f>
        <v>Input | Reported opex</v>
      </c>
      <c r="D12" s="28" t="str">
        <f t="shared" ref="D12:D16" si="0">C12</f>
        <v>Input | Reported opex</v>
      </c>
      <c r="E12" s="16" t="s">
        <v>98</v>
      </c>
      <c r="G12" s="18" t="str">
        <f>'Input|Reported opex'!S1</f>
        <v>OK</v>
      </c>
      <c r="H12" s="16"/>
      <c r="T12" s="17"/>
    </row>
    <row r="13" spans="1:30">
      <c r="C13" s="15" t="str">
        <f>Index!C10</f>
        <v>Input | Rate of change</v>
      </c>
      <c r="D13" s="28" t="str">
        <f t="shared" si="0"/>
        <v>Input | Rate of change</v>
      </c>
      <c r="E13" s="16" t="s">
        <v>98</v>
      </c>
      <c r="F13" s="16"/>
      <c r="G13" s="18" t="str">
        <f>'Input|Rate of change'!T1</f>
        <v>Ok</v>
      </c>
      <c r="H13" s="16"/>
      <c r="T13" s="17"/>
    </row>
    <row r="14" spans="1:30">
      <c r="C14" s="15" t="str">
        <f>Index!C11</f>
        <v>Input | Step changes</v>
      </c>
      <c r="D14" s="28" t="str">
        <f t="shared" si="0"/>
        <v>Input | Step changes</v>
      </c>
      <c r="E14" s="16" t="s">
        <v>98</v>
      </c>
      <c r="F14" s="16"/>
      <c r="G14" s="18" t="str">
        <f>'Input|Step changes'!S1</f>
        <v>OK</v>
      </c>
      <c r="H14" s="16"/>
      <c r="T14" s="17"/>
    </row>
    <row r="15" spans="1:30">
      <c r="C15" s="15" t="str">
        <f>Index!C12</f>
        <v>Calc | Opex Forecast</v>
      </c>
      <c r="D15" s="28" t="str">
        <f t="shared" si="0"/>
        <v>Calc | Opex Forecast</v>
      </c>
      <c r="E15" s="16" t="s">
        <v>98</v>
      </c>
      <c r="F15" s="16"/>
      <c r="G15" s="18" t="str">
        <f>'Calc|Opex forecast'!S1</f>
        <v>n/a</v>
      </c>
      <c r="H15" s="16"/>
      <c r="T15" s="17"/>
    </row>
    <row r="16" spans="1:30">
      <c r="C16" s="15" t="str">
        <f>Index!C13</f>
        <v>Output | Models</v>
      </c>
      <c r="D16" s="28" t="str">
        <f t="shared" si="0"/>
        <v>Output | Models</v>
      </c>
      <c r="E16" s="16" t="s">
        <v>98</v>
      </c>
      <c r="F16" s="16"/>
      <c r="G16" s="18" t="str">
        <f>'Output|Models'!S1</f>
        <v>n/a</v>
      </c>
      <c r="H16" s="16"/>
      <c r="T16" s="17"/>
    </row>
    <row r="17" spans="1:30">
      <c r="C17" s="15"/>
    </row>
    <row r="18" spans="1:30" customFormat="1" ht="12.75">
      <c r="A18" s="36"/>
      <c r="B18" s="42" t="s">
        <v>23</v>
      </c>
      <c r="C18" s="36"/>
      <c r="D18" s="36"/>
      <c r="E18" s="36"/>
      <c r="F18" s="37"/>
      <c r="G18" s="37"/>
      <c r="H18" s="37"/>
      <c r="I18" s="37"/>
      <c r="J18" s="38"/>
      <c r="K18" s="39"/>
      <c r="L18" s="38"/>
      <c r="M18" s="39"/>
      <c r="N18" s="38"/>
      <c r="O18" s="38"/>
      <c r="P18" s="38"/>
      <c r="Q18" s="38"/>
      <c r="R18" s="38"/>
      <c r="S18" s="38"/>
      <c r="T18" s="38"/>
      <c r="U18" s="38"/>
      <c r="V18" s="39"/>
      <c r="W18" s="39"/>
      <c r="X18" s="40"/>
      <c r="Y18" s="40"/>
      <c r="Z18" s="40"/>
      <c r="AA18" s="40"/>
      <c r="AB18" s="40"/>
      <c r="AC18" s="41"/>
      <c r="AD18" s="41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S1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V1">
    <cfRule type="cellIs" dxfId="1" priority="3" operator="equal">
      <formula>"Check"</formula>
    </cfRule>
    <cfRule type="cellIs" dxfId="0" priority="4" operator="equal">
      <formula>"Ok"</formula>
    </cfRule>
  </conditionalFormatting>
  <hyperlinks>
    <hyperlink ref="J1" location="Index!A1" display="Back to Index" xr:uid="{00000000-0004-0000-0900-000000000000}"/>
    <hyperlink ref="D10" location="'Input|General'!A1" display="'Input|General'!A1" xr:uid="{00000000-0004-0000-0900-000001000000}"/>
    <hyperlink ref="D12" location="'Input|Reported opex'!A1" display="'Input|Reported opex'!A1" xr:uid="{00000000-0004-0000-0900-000002000000}"/>
    <hyperlink ref="D13" location="'Input|Rate of change'!A1" display="'Input|Rate of change'!A1" xr:uid="{00000000-0004-0000-0900-000003000000}"/>
    <hyperlink ref="D14" location="'Input|Step changes'!A1" display="'Input|Step changes'!A1" xr:uid="{00000000-0004-0000-0900-000004000000}"/>
    <hyperlink ref="D15" location="'Calc|Opex forecast'!A1" display="'Calc|Opex forecast'!A1" xr:uid="{00000000-0004-0000-0900-000005000000}"/>
    <hyperlink ref="D16" location="'Output|Models'!A1" display="'Output|Models'!A1" xr:uid="{00000000-0004-0000-0900-000006000000}"/>
    <hyperlink ref="D11" location="'Input|Inflation'!A1" display="'Input|Inflation'!A1" xr:uid="{00000000-0004-0000-0900-000007000000}"/>
    <hyperlink ref="R1" location="'Check|List'!A1" display="Overall Check:" xr:uid="{00000000-0004-0000-0900-000008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f559db-fd0e-4983-bd46-a36235db0ac7">
      <Terms xmlns="http://schemas.microsoft.com/office/infopath/2007/PartnerControls"/>
    </lcf76f155ced4ddcb4097134ff3c332f>
    <TaxCatchAll xmlns="58ae7821-a946-4260-8774-bcebb4263047" xsi:nil="true"/>
    <SharedWithUsers xmlns="58ae7821-a946-4260-8774-bcebb4263047">
      <UserInfo>
        <DisplayName>Lopez, Harold</DisplayName>
        <AccountId>27</AccountId>
        <AccountType/>
      </UserInfo>
      <UserInfo>
        <DisplayName>Alessandro, Silvana</DisplayName>
        <AccountId>50</AccountId>
        <AccountType/>
      </UserInfo>
      <UserInfo>
        <DisplayName>Allen, Mark</DisplayName>
        <AccountId>9</AccountId>
        <AccountType/>
      </UserInfo>
      <UserInfo>
        <DisplayName>Falkingham, Katy</DisplayName>
        <AccountId>143</AccountId>
        <AccountType/>
      </UserInfo>
      <UserInfo>
        <DisplayName>Griggs, Beth</DisplayName>
        <AccountId>62</AccountId>
        <AccountType/>
      </UserInfo>
      <UserInfo>
        <DisplayName>Chin, Ignatius</DisplayName>
        <AccountId>112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999E2DDF31A04D94AF06A952899FAD" ma:contentTypeVersion="14" ma:contentTypeDescription="Create a new document." ma:contentTypeScope="" ma:versionID="e6816fb7b27dba5bc0db2ea0ead8b6c7">
  <xsd:schema xmlns:xsd="http://www.w3.org/2001/XMLSchema" xmlns:xs="http://www.w3.org/2001/XMLSchema" xmlns:p="http://schemas.microsoft.com/office/2006/metadata/properties" xmlns:ns2="22f559db-fd0e-4983-bd46-a36235db0ac7" xmlns:ns3="58ae7821-a946-4260-8774-bcebb4263047" targetNamespace="http://schemas.microsoft.com/office/2006/metadata/properties" ma:root="true" ma:fieldsID="5b7882092b5917b60deb3509c11eb83e" ns2:_="" ns3:_="">
    <xsd:import namespace="22f559db-fd0e-4983-bd46-a36235db0ac7"/>
    <xsd:import namespace="58ae7821-a946-4260-8774-bcebb42630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559db-fd0e-4983-bd46-a36235db0a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3e7742f-285e-485e-85d6-cdf9f73a7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e7821-a946-4260-8774-bcebb42630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48deec0-9267-4e67-90eb-7f96019f899e}" ma:internalName="TaxCatchAll" ma:showField="CatchAllData" ma:web="58ae7821-a946-4260-8774-bcebb42630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3C1818-57F8-43E2-9077-223859091247}">
  <ds:schemaRefs>
    <ds:schemaRef ds:uri="http://schemas.microsoft.com/office/2006/metadata/properties"/>
    <ds:schemaRef ds:uri="http://schemas.microsoft.com/office/infopath/2007/PartnerControls"/>
    <ds:schemaRef ds:uri="22f559db-fd0e-4983-bd46-a36235db0ac7"/>
    <ds:schemaRef ds:uri="58ae7821-a946-4260-8774-bcebb4263047"/>
  </ds:schemaRefs>
</ds:datastoreItem>
</file>

<file path=customXml/itemProps2.xml><?xml version="1.0" encoding="utf-8"?>
<ds:datastoreItem xmlns:ds="http://schemas.openxmlformats.org/officeDocument/2006/customXml" ds:itemID="{F026AEFB-2F77-4DB4-92D2-82E687AC40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8A5638-28F3-451E-80FF-87B536C325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f559db-fd0e-4983-bd46-a36235db0ac7"/>
    <ds:schemaRef ds:uri="58ae7821-a946-4260-8774-bcebb42630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2022-09-12T04:06:51Z</dcterms:created>
  <dcterms:modified xsi:type="dcterms:W3CDTF">2024-07-23T08:00:10Z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0x01010044999E2DDF31A04D94AF06A952899FAD</vt:lpwstr>
  </property>
  <property fmtid="{D5CDD505-2E9C-101B-9397-08002B2CF9AE}" pid="3" name="MediaServiceImageTags">
    <vt:lpwstr/>
  </property>
  <property fmtid="{D5CDD505-2E9C-101B-9397-08002B2CF9AE}" pid="4" name="MSIP_Label_a9c42b93-5bd2-48fe-a993-78d6016bf3ce_Enabled">
    <vt:lpwstr>true</vt:lpwstr>
  </property>
  <property fmtid="{D5CDD505-2E9C-101B-9397-08002B2CF9AE}" pid="5" name="MSIP_Label_a9c42b93-5bd2-48fe-a993-78d6016bf3ce_SetDate">
    <vt:lpwstr>2023-08-08T00:35:13Z</vt:lpwstr>
  </property>
  <property fmtid="{D5CDD505-2E9C-101B-9397-08002B2CF9AE}" pid="6" name="MSIP_Label_a9c42b93-5bd2-48fe-a993-78d6016bf3ce_Method">
    <vt:lpwstr>Privileged</vt:lpwstr>
  </property>
  <property fmtid="{D5CDD505-2E9C-101B-9397-08002B2CF9AE}" pid="7" name="MSIP_Label_a9c42b93-5bd2-48fe-a993-78d6016bf3ce_Name">
    <vt:lpwstr>APA-Confidential</vt:lpwstr>
  </property>
  <property fmtid="{D5CDD505-2E9C-101B-9397-08002B2CF9AE}" pid="8" name="MSIP_Label_a9c42b93-5bd2-48fe-a993-78d6016bf3ce_SiteId">
    <vt:lpwstr>234ac309-c216-4661-a5ba-18879f6c4c75</vt:lpwstr>
  </property>
  <property fmtid="{D5CDD505-2E9C-101B-9397-08002B2CF9AE}" pid="9" name="MSIP_Label_a9c42b93-5bd2-48fe-a993-78d6016bf3ce_ActionId">
    <vt:lpwstr>468c3be1-3589-40d2-aaa4-34d85cc79475</vt:lpwstr>
  </property>
  <property fmtid="{D5CDD505-2E9C-101B-9397-08002B2CF9AE}" pid="10" name="MSIP_Label_a9c42b93-5bd2-48fe-a993-78d6016bf3ce_ContentBits">
    <vt:lpwstr>0</vt:lpwstr>
  </property>
</Properties>
</file>