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filterPrivacy="1" codeName="ThisWorkbook" defaultThemeVersion="124226"/>
  <xr:revisionPtr revIDLastSave="0" documentId="13_ncr:1_{97474341-B5A6-4D4B-94C5-CAAEAE4B300F}" xr6:coauthVersionLast="47" xr6:coauthVersionMax="47" xr10:uidLastSave="{00000000-0000-0000-0000-000000000000}"/>
  <bookViews>
    <workbookView xWindow="-110" yWindow="-110" windowWidth="38620" windowHeight="21220" xr2:uid="{EAA9833A-038E-4312-8AEE-6D0FDB19A739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ARS" sheetId="64" r:id="rId9"/>
    <sheet name="charts for proposal - delete" sheetId="65" r:id="rId10"/>
    <sheet name="Lookup|Tables" sheetId="4" r:id="rId11"/>
    <sheet name="Check|List" sheetId="16" r:id="rId12"/>
  </sheets>
  <definedNames>
    <definedName name="_xlnm._FilterDatabase" localSheetId="1" hidden="1">'Input|General'!$G$6:$G$16</definedName>
    <definedName name="_xlnm._FilterDatabase" localSheetId="3" hidden="1">'Input|Reported opex'!$C$60:$F$60</definedName>
    <definedName name="abba" hidden="1">{"Ownership",#N/A,FALSE,"Ownership";"Contents",#N/A,FALSE,"Contents"}</definedName>
    <definedName name="anscount" hidden="1">1</definedName>
    <definedName name="BaseYear">'Input|General'!$G$12</definedName>
    <definedName name="dollars">'Lookup|Tables'!$G$10</definedName>
    <definedName name="factor">'Lookup|Tables'!$G$17</definedName>
    <definedName name="FPFirstYear">'Input|General'!$G$15</definedName>
    <definedName name="FPLastYear">'Input|General'!$G$16</definedName>
    <definedName name="InterveningPeriod">'Input|General'!$G$14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" hidden="1">{"Ownership",#N/A,FALSE,"Ownership";"Contents",#N/A,FALSE,"Contents"}</definedName>
    <definedName name="millions">'Lookup|Tables'!$G$12</definedName>
    <definedName name="Nominal_to_Real">'Lookup|Tables'!$H$65:$H$71</definedName>
    <definedName name="NSP">'Input|General'!$G$7</definedName>
    <definedName name="number">'Lookup|Tables'!$G$16</definedName>
    <definedName name="percent">'Lookup|Tables'!$G$14</definedName>
    <definedName name="PPFirstYear">'Input|General'!$G$11</definedName>
    <definedName name="PPLastYear">'Input|General'!$G$13</definedName>
    <definedName name="Real_to_Nominal">'Lookup|Tables'!$H$65:$H$71</definedName>
    <definedName name="teest" hidden="1">{"Ownership",#N/A,FALSE,"Ownership";"Contents",#N/A,FALSE,"Contents"}</definedName>
    <definedName name="test" hidden="1">{"Ownership",#N/A,FALSE,"Ownership";"Contents",#N/A,FALSE,"Contents"}</definedName>
    <definedName name="thousands">'Lookup|Tables'!$G$11</definedName>
    <definedName name="unit">'Lookup|Tables'!$G$15</definedName>
    <definedName name="wrn.App._.Custodians." hidden="1">{"Ownership",#N/A,FALSE,"Ownership";"Contents",#N/A,FALSE,"Contents"}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6" i="2" l="1"/>
  <c r="U66" i="2"/>
  <c r="T66" i="2"/>
  <c r="T16" i="65"/>
  <c r="X16" i="65"/>
  <c r="S16" i="65"/>
  <c r="Q16" i="65"/>
  <c r="R16" i="65"/>
  <c r="P16" i="65"/>
  <c r="U12" i="65"/>
  <c r="U13" i="65"/>
  <c r="U14" i="65"/>
  <c r="U15" i="65"/>
  <c r="U16" i="65" s="1"/>
  <c r="R78" i="42"/>
  <c r="S78" i="42"/>
  <c r="T78" i="42"/>
  <c r="S80" i="2"/>
  <c r="T80" i="2"/>
  <c r="U80" i="2"/>
  <c r="X15" i="65" l="1"/>
  <c r="S68" i="2"/>
  <c r="T68" i="2" s="1"/>
  <c r="U68" i="2" s="1"/>
  <c r="G74" i="55" l="1"/>
  <c r="F74" i="55"/>
  <c r="G72" i="55"/>
  <c r="F72" i="55"/>
  <c r="S38" i="2" l="1"/>
  <c r="R38" i="2"/>
  <c r="Q38" i="2"/>
  <c r="S39" i="2"/>
  <c r="R39" i="2"/>
  <c r="Q39" i="2"/>
  <c r="Q67" i="42" l="1"/>
  <c r="R67" i="42"/>
  <c r="S67" i="42"/>
  <c r="T67" i="42"/>
  <c r="P67" i="42"/>
  <c r="G71" i="55" l="1"/>
  <c r="F73" i="55" l="1"/>
  <c r="G70" i="55" l="1"/>
  <c r="Q77" i="2" l="1"/>
  <c r="Q40" i="2"/>
  <c r="P65" i="42" s="1"/>
  <c r="R77" i="2" l="1"/>
  <c r="L70" i="58" l="1"/>
  <c r="J70" i="58"/>
  <c r="M70" i="58" l="1"/>
  <c r="T28" i="53" l="1"/>
  <c r="S28" i="53"/>
  <c r="R28" i="53"/>
  <c r="Q28" i="53"/>
  <c r="P28" i="53"/>
  <c r="F76" i="55" l="1"/>
  <c r="O86" i="58"/>
  <c r="Q78" i="2" l="1"/>
  <c r="U40" i="2" l="1"/>
  <c r="T65" i="42"/>
  <c r="F42" i="58"/>
  <c r="O52" i="58" l="1"/>
  <c r="U78" i="2" l="1"/>
  <c r="G67" i="55" l="1"/>
  <c r="G68" i="55" l="1"/>
  <c r="C84" i="42" l="1"/>
  <c r="E84" i="42" l="1"/>
  <c r="F84" i="42"/>
  <c r="F16" i="64" l="1"/>
  <c r="E16" i="64"/>
  <c r="C16" i="64"/>
  <c r="F15" i="64"/>
  <c r="E15" i="64"/>
  <c r="C15" i="64"/>
  <c r="F14" i="64"/>
  <c r="E14" i="64"/>
  <c r="C14" i="64"/>
  <c r="F13" i="64"/>
  <c r="E13" i="64"/>
  <c r="T4" i="64"/>
  <c r="T11" i="64" s="1"/>
  <c r="S4" i="64"/>
  <c r="S11" i="64" s="1"/>
  <c r="R4" i="64"/>
  <c r="R11" i="64" s="1"/>
  <c r="Q4" i="64"/>
  <c r="Q11" i="64" s="1"/>
  <c r="P4" i="64"/>
  <c r="P11" i="64" s="1"/>
  <c r="O4" i="64"/>
  <c r="O11" i="64" s="1"/>
  <c r="N4" i="64"/>
  <c r="N11" i="64" s="1"/>
  <c r="N13" i="64" s="1"/>
  <c r="M4" i="64"/>
  <c r="M11" i="64" s="1"/>
  <c r="M13" i="64" s="1"/>
  <c r="L4" i="64"/>
  <c r="L11" i="64" s="1"/>
  <c r="K4" i="64"/>
  <c r="K11" i="64" s="1"/>
  <c r="J4" i="64"/>
  <c r="J11" i="64" s="1"/>
  <c r="B2" i="64"/>
  <c r="B1" i="64"/>
  <c r="O14" i="64" l="1"/>
  <c r="J15" i="64"/>
  <c r="J14" i="64"/>
  <c r="J16" i="64"/>
  <c r="J13" i="64"/>
  <c r="K15" i="64"/>
  <c r="K16" i="64"/>
  <c r="K14" i="64"/>
  <c r="K13" i="64"/>
  <c r="L16" i="64"/>
  <c r="L15" i="64"/>
  <c r="L13" i="64"/>
  <c r="L14" i="64"/>
  <c r="O16" i="64"/>
  <c r="N15" i="64"/>
  <c r="N16" i="64"/>
  <c r="M14" i="64"/>
  <c r="O15" i="64"/>
  <c r="N14" i="64"/>
  <c r="M16" i="64"/>
  <c r="M15" i="64"/>
  <c r="T40" i="2" l="1"/>
  <c r="S65" i="42" s="1"/>
  <c r="S40" i="2"/>
  <c r="R65" i="42" s="1"/>
  <c r="R40" i="2"/>
  <c r="Q65" i="42" s="1"/>
  <c r="G65" i="55" l="1"/>
  <c r="G64" i="55"/>
  <c r="G69" i="55" l="1"/>
  <c r="G66" i="55"/>
  <c r="R78" i="2" l="1"/>
  <c r="N29" i="58" l="1"/>
  <c r="J29" i="58"/>
  <c r="M79" i="58" l="1"/>
  <c r="K70" i="58" l="1"/>
  <c r="E26" i="58"/>
  <c r="O93" i="2" l="1" a="1"/>
  <c r="O93" i="2" s="1"/>
  <c r="F49" i="58" l="1"/>
  <c r="O15" i="58"/>
  <c r="J79" i="58" l="1"/>
  <c r="G73" i="4" l="1"/>
  <c r="G74" i="4"/>
  <c r="G75" i="4"/>
  <c r="G76" i="4"/>
  <c r="G72" i="4"/>
  <c r="H52" i="4"/>
  <c r="H51" i="4"/>
  <c r="H50" i="4"/>
  <c r="I52" i="4"/>
  <c r="F30" i="42"/>
  <c r="H65" i="4"/>
  <c r="F80" i="55" l="1"/>
  <c r="F84" i="55" l="1"/>
  <c r="C80" i="42"/>
  <c r="C81" i="42"/>
  <c r="C82" i="42"/>
  <c r="C83" i="42"/>
  <c r="C77" i="42"/>
  <c r="C78" i="42"/>
  <c r="C79" i="42"/>
  <c r="C76" i="42"/>
  <c r="G63" i="55" l="1"/>
  <c r="G62" i="55"/>
  <c r="G61" i="55"/>
  <c r="G60" i="55"/>
  <c r="G59" i="55"/>
  <c r="G58" i="55"/>
  <c r="G57" i="55"/>
  <c r="G56" i="55"/>
  <c r="G55" i="55"/>
  <c r="G54" i="55"/>
  <c r="G53" i="55"/>
  <c r="G52" i="55"/>
  <c r="G51" i="55"/>
  <c r="G50" i="55"/>
  <c r="G49" i="55"/>
  <c r="G48" i="55"/>
  <c r="G47" i="55"/>
  <c r="G46" i="55"/>
  <c r="G45" i="55"/>
  <c r="G44" i="55"/>
  <c r="G43" i="55"/>
  <c r="G42" i="55"/>
  <c r="G41" i="55"/>
  <c r="G40" i="55"/>
  <c r="G39" i="55"/>
  <c r="G38" i="55"/>
  <c r="G37" i="55"/>
  <c r="G36" i="55"/>
  <c r="G35" i="55"/>
  <c r="G34" i="55"/>
  <c r="G33" i="55"/>
  <c r="G32" i="55"/>
  <c r="G31" i="55"/>
  <c r="G30" i="55"/>
  <c r="G29" i="55"/>
  <c r="G28" i="55"/>
  <c r="G27" i="55"/>
  <c r="G26" i="55"/>
  <c r="G25" i="55"/>
  <c r="H53" i="4" l="1"/>
  <c r="H54" i="4"/>
  <c r="H55" i="4"/>
  <c r="H56" i="4"/>
  <c r="H57" i="4"/>
  <c r="H58" i="4"/>
  <c r="H59" i="4"/>
  <c r="H60" i="4"/>
  <c r="T4" i="44" l="1"/>
  <c r="T11" i="44" s="1"/>
  <c r="S4" i="44"/>
  <c r="S11" i="44" s="1"/>
  <c r="R4" i="44"/>
  <c r="R11" i="44" s="1"/>
  <c r="Q4" i="44"/>
  <c r="Q11" i="44" s="1"/>
  <c r="P4" i="44"/>
  <c r="P11" i="44" s="1"/>
  <c r="O4" i="44"/>
  <c r="N4" i="44"/>
  <c r="M4" i="44"/>
  <c r="L4" i="44"/>
  <c r="K4" i="44"/>
  <c r="J4" i="44"/>
  <c r="T4" i="42"/>
  <c r="S4" i="42"/>
  <c r="R4" i="42"/>
  <c r="Q4" i="42"/>
  <c r="P4" i="42"/>
  <c r="O4" i="42"/>
  <c r="O42" i="42" s="1"/>
  <c r="N4" i="42"/>
  <c r="M4" i="42"/>
  <c r="L4" i="42"/>
  <c r="L12" i="42" s="1"/>
  <c r="K4" i="42"/>
  <c r="K22" i="42" s="1"/>
  <c r="J4" i="42"/>
  <c r="T4" i="53"/>
  <c r="S4" i="53"/>
  <c r="R4" i="53"/>
  <c r="Q4" i="53"/>
  <c r="P4" i="53"/>
  <c r="O4" i="53"/>
  <c r="N4" i="53"/>
  <c r="M4" i="53"/>
  <c r="L4" i="53"/>
  <c r="K4" i="53"/>
  <c r="J4" i="53"/>
  <c r="J4" i="2"/>
  <c r="K4" i="2"/>
  <c r="U4" i="2"/>
  <c r="T4" i="2"/>
  <c r="S4" i="2"/>
  <c r="R4" i="2"/>
  <c r="Q4" i="2"/>
  <c r="P4" i="2"/>
  <c r="P10" i="2" s="1"/>
  <c r="O4" i="2"/>
  <c r="N4" i="2"/>
  <c r="M4" i="2"/>
  <c r="L4" i="2"/>
  <c r="T4" i="58"/>
  <c r="S4" i="58"/>
  <c r="R4" i="58"/>
  <c r="Q4" i="58"/>
  <c r="P4" i="58"/>
  <c r="O4" i="58"/>
  <c r="N4" i="58"/>
  <c r="M4" i="58"/>
  <c r="L4" i="58"/>
  <c r="K4" i="58"/>
  <c r="J4" i="58"/>
  <c r="U10" i="2" l="1"/>
  <c r="U24" i="2"/>
  <c r="U14" i="2"/>
  <c r="Q24" i="2"/>
  <c r="Q10" i="2"/>
  <c r="Q12" i="2" s="1"/>
  <c r="Q14" i="2"/>
  <c r="R24" i="2"/>
  <c r="R10" i="2"/>
  <c r="R14" i="2"/>
  <c r="S14" i="2"/>
  <c r="S24" i="2"/>
  <c r="S10" i="2"/>
  <c r="T10" i="2"/>
  <c r="T14" i="2"/>
  <c r="T24" i="2"/>
  <c r="O39" i="42"/>
  <c r="P30" i="42"/>
  <c r="Q30" i="42"/>
  <c r="R30" i="42"/>
  <c r="S30" i="42"/>
  <c r="T30" i="42"/>
  <c r="E43" i="58" l="1"/>
  <c r="E44" i="58"/>
  <c r="E45" i="58"/>
  <c r="E46" i="58"/>
  <c r="E47" i="58"/>
  <c r="E48" i="58"/>
  <c r="E49" i="58"/>
  <c r="E50" i="58"/>
  <c r="E42" i="58"/>
  <c r="F43" i="58"/>
  <c r="F44" i="58"/>
  <c r="F45" i="58"/>
  <c r="F46" i="58"/>
  <c r="F47" i="58"/>
  <c r="F48" i="58"/>
  <c r="F50" i="58"/>
  <c r="F24" i="42"/>
  <c r="E24" i="42"/>
  <c r="E25" i="42"/>
  <c r="K33" i="58"/>
  <c r="L33" i="58"/>
  <c r="M33" i="58"/>
  <c r="N33" i="58"/>
  <c r="O33" i="58"/>
  <c r="P33" i="58"/>
  <c r="Q33" i="58"/>
  <c r="R33" i="58"/>
  <c r="S33" i="58"/>
  <c r="T33" i="58"/>
  <c r="J33" i="58"/>
  <c r="X52" i="58"/>
  <c r="S52" i="58"/>
  <c r="R52" i="58"/>
  <c r="Q52" i="58"/>
  <c r="P52" i="58"/>
  <c r="N52" i="58"/>
  <c r="M52" i="58"/>
  <c r="L52" i="58"/>
  <c r="K52" i="58"/>
  <c r="J52" i="58"/>
  <c r="T38" i="58"/>
  <c r="T16" i="42" s="1"/>
  <c r="S38" i="58"/>
  <c r="S16" i="42" s="1"/>
  <c r="R38" i="58"/>
  <c r="R16" i="42" s="1"/>
  <c r="Q38" i="58"/>
  <c r="Q16" i="42" s="1"/>
  <c r="P38" i="58"/>
  <c r="P16" i="42" s="1"/>
  <c r="N38" i="58"/>
  <c r="N16" i="42" s="1"/>
  <c r="M38" i="58"/>
  <c r="M16" i="42" s="1"/>
  <c r="L38" i="58"/>
  <c r="L16" i="42" s="1"/>
  <c r="K38" i="58"/>
  <c r="K16" i="42" s="1"/>
  <c r="J38" i="58"/>
  <c r="J16" i="42" s="1"/>
  <c r="F38" i="58"/>
  <c r="F16" i="42" s="1"/>
  <c r="E38" i="58"/>
  <c r="E16" i="42" s="1"/>
  <c r="D38" i="58"/>
  <c r="K10" i="58" l="1"/>
  <c r="L10" i="58"/>
  <c r="M10" i="58"/>
  <c r="N10" i="58"/>
  <c r="O10" i="58"/>
  <c r="P10" i="58"/>
  <c r="Q10" i="58"/>
  <c r="R10" i="58"/>
  <c r="S10" i="58"/>
  <c r="T10" i="58"/>
  <c r="J10" i="58"/>
  <c r="E17" i="42"/>
  <c r="E18" i="42"/>
  <c r="C97" i="2" a="1"/>
  <c r="C98" i="2" s="1"/>
  <c r="C16" i="16"/>
  <c r="D16" i="16" s="1"/>
  <c r="G16" i="16"/>
  <c r="S14" i="54"/>
  <c r="S11" i="54"/>
  <c r="S10" i="54"/>
  <c r="S9" i="54"/>
  <c r="C101" i="2" l="1"/>
  <c r="C97" i="2"/>
  <c r="C100" i="2"/>
  <c r="C99" i="2"/>
  <c r="H66" i="4"/>
  <c r="H67" i="4"/>
  <c r="H68" i="4"/>
  <c r="H69" i="4"/>
  <c r="H70" i="4"/>
  <c r="H71" i="4" s="1"/>
  <c r="H72" i="4" s="1"/>
  <c r="H73" i="4" s="1"/>
  <c r="H74" i="4" s="1"/>
  <c r="H75" i="4" s="1"/>
  <c r="H76" i="4" s="1"/>
  <c r="T36" i="53"/>
  <c r="T40" i="53" s="1"/>
  <c r="P36" i="53"/>
  <c r="Q10" i="53"/>
  <c r="R10" i="53"/>
  <c r="S36" i="53"/>
  <c r="U81" i="2"/>
  <c r="U82" i="2"/>
  <c r="L10" i="2"/>
  <c r="M10" i="2"/>
  <c r="N10" i="2"/>
  <c r="O10" i="2"/>
  <c r="R12" i="2"/>
  <c r="S12" i="2"/>
  <c r="T12" i="2"/>
  <c r="U12" i="2"/>
  <c r="K10" i="2"/>
  <c r="O83" i="58"/>
  <c r="O57" i="58"/>
  <c r="N57" i="58"/>
  <c r="M57" i="58"/>
  <c r="L57" i="58"/>
  <c r="K57" i="58"/>
  <c r="J57" i="58"/>
  <c r="T15" i="58"/>
  <c r="U36" i="2" l="1"/>
  <c r="U47" i="2" s="1"/>
  <c r="Q36" i="53"/>
  <c r="R100" i="42"/>
  <c r="R48" i="42"/>
  <c r="R51" i="42"/>
  <c r="R39" i="42"/>
  <c r="R35" i="42"/>
  <c r="R42" i="42"/>
  <c r="R45" i="42"/>
  <c r="R37" i="42"/>
  <c r="R33" i="42"/>
  <c r="R24" i="42"/>
  <c r="N63" i="42"/>
  <c r="N48" i="42"/>
  <c r="N37" i="42"/>
  <c r="N33" i="42"/>
  <c r="N51" i="42"/>
  <c r="N39" i="42"/>
  <c r="N42" i="42"/>
  <c r="N35" i="42"/>
  <c r="N45" i="42"/>
  <c r="N24" i="42"/>
  <c r="T74" i="42"/>
  <c r="T42" i="42"/>
  <c r="T45" i="42"/>
  <c r="T37" i="42"/>
  <c r="T33" i="42"/>
  <c r="T48" i="42"/>
  <c r="T51" i="42"/>
  <c r="T39" i="42"/>
  <c r="T35" i="42"/>
  <c r="T24" i="42"/>
  <c r="R36" i="53"/>
  <c r="Q90" i="42"/>
  <c r="Q51" i="42"/>
  <c r="Q39" i="42"/>
  <c r="Q35" i="42"/>
  <c r="Q42" i="42"/>
  <c r="Q45" i="42"/>
  <c r="Q37" i="42"/>
  <c r="Q33" i="42"/>
  <c r="Q48" i="42"/>
  <c r="Q24" i="42"/>
  <c r="M63" i="42"/>
  <c r="M51" i="42"/>
  <c r="M39" i="42"/>
  <c r="M42" i="42"/>
  <c r="M45" i="42"/>
  <c r="M48" i="42"/>
  <c r="M24" i="42"/>
  <c r="U64" i="2"/>
  <c r="U95" i="2"/>
  <c r="T10" i="53"/>
  <c r="J63" i="42"/>
  <c r="J51" i="42"/>
  <c r="J39" i="42"/>
  <c r="J35" i="42"/>
  <c r="J42" i="42"/>
  <c r="J45" i="42"/>
  <c r="J37" i="42"/>
  <c r="J33" i="42"/>
  <c r="J48" i="42"/>
  <c r="J24" i="42"/>
  <c r="J22" i="42"/>
  <c r="P74" i="42"/>
  <c r="P42" i="42"/>
  <c r="P45" i="42"/>
  <c r="P37" i="42"/>
  <c r="P33" i="42"/>
  <c r="P48" i="42"/>
  <c r="P51" i="42"/>
  <c r="P39" i="42"/>
  <c r="P35" i="42"/>
  <c r="P24" i="42"/>
  <c r="L63" i="42"/>
  <c r="L42" i="42"/>
  <c r="L35" i="42"/>
  <c r="L45" i="42"/>
  <c r="L48" i="42"/>
  <c r="L37" i="42"/>
  <c r="L33" i="42"/>
  <c r="L51" i="42"/>
  <c r="L39" i="42"/>
  <c r="L24" i="42"/>
  <c r="J10" i="2"/>
  <c r="C16" i="2" s="1" a="1"/>
  <c r="C20" i="2" s="1"/>
  <c r="R26" i="53"/>
  <c r="S90" i="42"/>
  <c r="S45" i="42"/>
  <c r="S37" i="42"/>
  <c r="S33" i="42"/>
  <c r="S48" i="42"/>
  <c r="S51" i="42"/>
  <c r="S39" i="42"/>
  <c r="S35" i="42"/>
  <c r="S42" i="42"/>
  <c r="S24" i="42"/>
  <c r="O63" i="42"/>
  <c r="O45" i="42"/>
  <c r="O48" i="42"/>
  <c r="O51" i="42"/>
  <c r="O24" i="42"/>
  <c r="K63" i="42"/>
  <c r="K45" i="42"/>
  <c r="K48" i="42"/>
  <c r="K37" i="42"/>
  <c r="K33" i="42"/>
  <c r="K51" i="42"/>
  <c r="K39" i="42"/>
  <c r="K42" i="42"/>
  <c r="K35" i="42"/>
  <c r="K24" i="42"/>
  <c r="K10" i="42"/>
  <c r="K30" i="42" s="1"/>
  <c r="P90" i="42"/>
  <c r="L10" i="42"/>
  <c r="L30" i="42" s="1"/>
  <c r="Q60" i="42"/>
  <c r="P100" i="42"/>
  <c r="J10" i="42"/>
  <c r="J30" i="42" s="1"/>
  <c r="R64" i="2"/>
  <c r="S95" i="2"/>
  <c r="S26" i="53"/>
  <c r="Q64" i="2"/>
  <c r="R95" i="2"/>
  <c r="P26" i="53"/>
  <c r="P32" i="53" s="1"/>
  <c r="T26" i="53"/>
  <c r="O10" i="42"/>
  <c r="O30" i="42" s="1"/>
  <c r="P60" i="42"/>
  <c r="S100" i="42"/>
  <c r="Q49" i="2"/>
  <c r="Q75" i="2"/>
  <c r="Q95" i="2"/>
  <c r="Q105" i="2"/>
  <c r="Q26" i="53"/>
  <c r="M10" i="42"/>
  <c r="M30" i="42" s="1"/>
  <c r="S60" i="42"/>
  <c r="Q74" i="42"/>
  <c r="T90" i="42"/>
  <c r="S74" i="42"/>
  <c r="R90" i="42"/>
  <c r="Q100" i="42"/>
  <c r="T60" i="42"/>
  <c r="R74" i="42"/>
  <c r="T100" i="42"/>
  <c r="N10" i="42"/>
  <c r="N30" i="42" s="1"/>
  <c r="F25" i="42"/>
  <c r="R60" i="42"/>
  <c r="T36" i="2"/>
  <c r="S49" i="2"/>
  <c r="S75" i="2"/>
  <c r="T49" i="2"/>
  <c r="P64" i="2"/>
  <c r="T75" i="2"/>
  <c r="T105" i="2"/>
  <c r="S105" i="2"/>
  <c r="K14" i="2"/>
  <c r="S36" i="2"/>
  <c r="R49" i="2"/>
  <c r="T64" i="2"/>
  <c r="R75" i="2"/>
  <c r="R105" i="2"/>
  <c r="N24" i="2"/>
  <c r="Q36" i="2"/>
  <c r="R36" i="2"/>
  <c r="U49" i="2"/>
  <c r="U60" i="2" s="1"/>
  <c r="S64" i="2"/>
  <c r="U75" i="2"/>
  <c r="T95" i="2"/>
  <c r="U105" i="2"/>
  <c r="U109" i="2" s="1"/>
  <c r="S10" i="53"/>
  <c r="P10" i="53"/>
  <c r="N14" i="2"/>
  <c r="M24" i="2"/>
  <c r="O14" i="2"/>
  <c r="J14" i="2"/>
  <c r="M14" i="2"/>
  <c r="P24" i="2"/>
  <c r="L24" i="2"/>
  <c r="P14" i="2"/>
  <c r="L14" i="2"/>
  <c r="O24" i="2"/>
  <c r="K24" i="2"/>
  <c r="C22" i="2" l="1"/>
  <c r="P22" i="2" s="1"/>
  <c r="C19" i="2"/>
  <c r="C17" i="2"/>
  <c r="C18" i="2"/>
  <c r="J24" i="2"/>
  <c r="C16" i="2"/>
  <c r="C21" i="2"/>
  <c r="O21" i="2" s="1"/>
  <c r="C26" i="2" a="1"/>
  <c r="C26" i="2" s="1"/>
  <c r="F18" i="42"/>
  <c r="F17" i="42"/>
  <c r="J93" i="2" a="1"/>
  <c r="J93" i="2" s="1"/>
  <c r="K93" i="2" a="1"/>
  <c r="K93" i="2" s="1"/>
  <c r="L93" i="2" a="1"/>
  <c r="L93" i="2" s="1"/>
  <c r="M93" i="2" a="1"/>
  <c r="M93" i="2" s="1"/>
  <c r="Q22" i="2" l="1"/>
  <c r="R22" i="2" s="1"/>
  <c r="P79" i="42"/>
  <c r="R79" i="42"/>
  <c r="T79" i="42"/>
  <c r="Q79" i="42"/>
  <c r="S79" i="42"/>
  <c r="E22" i="2"/>
  <c r="D22" i="2"/>
  <c r="C31" i="2"/>
  <c r="C32" i="2"/>
  <c r="E32" i="2" s="1"/>
  <c r="C27" i="2"/>
  <c r="C28" i="2"/>
  <c r="C29" i="2"/>
  <c r="C30" i="2"/>
  <c r="D32" i="2" l="1"/>
  <c r="Q32" i="2"/>
  <c r="S22" i="2"/>
  <c r="R32" i="2"/>
  <c r="U101" i="2"/>
  <c r="U97" i="2"/>
  <c r="U98" i="2"/>
  <c r="U99" i="2"/>
  <c r="U100" i="2"/>
  <c r="U73" i="2"/>
  <c r="T66" i="55"/>
  <c r="T69" i="55"/>
  <c r="T70" i="55"/>
  <c r="T71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C15" i="16"/>
  <c r="C14" i="16"/>
  <c r="C13" i="16"/>
  <c r="C12" i="16"/>
  <c r="C11" i="16"/>
  <c r="T63" i="42" l="1"/>
  <c r="T22" i="2"/>
  <c r="S32" i="2"/>
  <c r="U22" i="2" l="1"/>
  <c r="U32" i="2" s="1"/>
  <c r="T32" i="2"/>
  <c r="F70" i="58"/>
  <c r="F65" i="58"/>
  <c r="F66" i="58"/>
  <c r="F67" i="58"/>
  <c r="F68" i="58"/>
  <c r="F64" i="58"/>
  <c r="C80" i="4" l="1"/>
  <c r="O70" i="58" l="1"/>
  <c r="P70" i="58"/>
  <c r="Q70" i="58"/>
  <c r="R70" i="58"/>
  <c r="S70" i="58"/>
  <c r="X79" i="58"/>
  <c r="X29" i="58"/>
  <c r="K12" i="42" l="1"/>
  <c r="T93" i="2" a="1"/>
  <c r="T93" i="2" s="1"/>
  <c r="S93" i="2" a="1"/>
  <c r="S93" i="2" s="1"/>
  <c r="R93" i="2" a="1"/>
  <c r="R93" i="2" s="1"/>
  <c r="Q93" i="2" a="1"/>
  <c r="Q93" i="2" s="1"/>
  <c r="P93" i="2" a="1"/>
  <c r="P93" i="2" s="1"/>
  <c r="N93" i="2" a="1"/>
  <c r="N93" i="2" s="1"/>
  <c r="W93" i="2" s="1"/>
  <c r="C91" i="2"/>
  <c r="C90" i="2"/>
  <c r="C89" i="2"/>
  <c r="C88" i="2"/>
  <c r="C87" i="2"/>
  <c r="C86" i="2"/>
  <c r="S1" i="58" l="1"/>
  <c r="F20" i="42"/>
  <c r="F26" i="42" l="1"/>
  <c r="E26" i="42"/>
  <c r="F23" i="42"/>
  <c r="E23" i="42"/>
  <c r="F21" i="42"/>
  <c r="E21" i="42"/>
  <c r="K29" i="58"/>
  <c r="L29" i="58"/>
  <c r="M29" i="58"/>
  <c r="O29" i="58"/>
  <c r="P29" i="58"/>
  <c r="Q29" i="58"/>
  <c r="R29" i="58"/>
  <c r="S29" i="58"/>
  <c r="E19" i="58"/>
  <c r="E15" i="58"/>
  <c r="D15" i="58"/>
  <c r="F15" i="58"/>
  <c r="P15" i="58"/>
  <c r="Q15" i="58"/>
  <c r="R15" i="58"/>
  <c r="S15" i="58"/>
  <c r="E31" i="42" l="1"/>
  <c r="F31" i="42"/>
  <c r="C31" i="42"/>
  <c r="E91" i="58"/>
  <c r="E30" i="42" s="1"/>
  <c r="F37" i="42" l="1"/>
  <c r="E37" i="42"/>
  <c r="K79" i="58"/>
  <c r="L79" i="58"/>
  <c r="N79" i="58"/>
  <c r="O79" i="58"/>
  <c r="P79" i="58"/>
  <c r="Q79" i="58"/>
  <c r="R79" i="58"/>
  <c r="S79" i="58"/>
  <c r="E70" i="58"/>
  <c r="I42" i="4"/>
  <c r="I43" i="4"/>
  <c r="I44" i="4"/>
  <c r="I45" i="4"/>
  <c r="I46" i="4"/>
  <c r="I47" i="4"/>
  <c r="I48" i="4"/>
  <c r="I49" i="4"/>
  <c r="I50" i="4"/>
  <c r="I51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41" i="4"/>
  <c r="C40" i="4"/>
  <c r="F33" i="42" l="1"/>
  <c r="E33" i="42"/>
  <c r="F28" i="42"/>
  <c r="E28" i="42"/>
  <c r="N36" i="53"/>
  <c r="L36" i="53"/>
  <c r="J78" i="2"/>
  <c r="K78" i="2"/>
  <c r="L78" i="2"/>
  <c r="M78" i="2"/>
  <c r="N78" i="2"/>
  <c r="O78" i="2"/>
  <c r="P78" i="2"/>
  <c r="S78" i="2"/>
  <c r="T78" i="2"/>
  <c r="J79" i="2"/>
  <c r="K79" i="2"/>
  <c r="L79" i="2"/>
  <c r="M79" i="2"/>
  <c r="N79" i="2"/>
  <c r="O79" i="2"/>
  <c r="P79" i="2"/>
  <c r="Q79" i="2"/>
  <c r="R79" i="2"/>
  <c r="J80" i="2"/>
  <c r="K80" i="2"/>
  <c r="L80" i="2"/>
  <c r="M80" i="2"/>
  <c r="N80" i="2"/>
  <c r="O80" i="2"/>
  <c r="P80" i="2"/>
  <c r="Q80" i="2"/>
  <c r="R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N77" i="2"/>
  <c r="Q97" i="2" l="1"/>
  <c r="Q98" i="2"/>
  <c r="R98" i="2"/>
  <c r="R97" i="2"/>
  <c r="Q101" i="2"/>
  <c r="T101" i="2"/>
  <c r="S101" i="2"/>
  <c r="R101" i="2"/>
  <c r="R100" i="2"/>
  <c r="R99" i="2"/>
  <c r="K99" i="2"/>
  <c r="K98" i="2"/>
  <c r="K97" i="2"/>
  <c r="K100" i="2"/>
  <c r="O99" i="2"/>
  <c r="O98" i="2"/>
  <c r="O97" i="2"/>
  <c r="O100" i="2"/>
  <c r="S99" i="2"/>
  <c r="S98" i="2"/>
  <c r="S97" i="2"/>
  <c r="S100" i="2"/>
  <c r="L100" i="2"/>
  <c r="L99" i="2"/>
  <c r="L98" i="2"/>
  <c r="L97" i="2"/>
  <c r="P100" i="2"/>
  <c r="P99" i="2"/>
  <c r="P98" i="2"/>
  <c r="P97" i="2"/>
  <c r="T100" i="2"/>
  <c r="T99" i="2"/>
  <c r="T97" i="2"/>
  <c r="T98" i="2"/>
  <c r="N98" i="2"/>
  <c r="N99" i="2"/>
  <c r="N100" i="2"/>
  <c r="N97" i="2"/>
  <c r="M97" i="2"/>
  <c r="M100" i="2"/>
  <c r="M99" i="2"/>
  <c r="M98" i="2"/>
  <c r="Q100" i="2"/>
  <c r="Q99" i="2"/>
  <c r="J98" i="2"/>
  <c r="J99" i="2"/>
  <c r="J97" i="2"/>
  <c r="J100" i="2"/>
  <c r="J20" i="42"/>
  <c r="L22" i="42"/>
  <c r="L20" i="42"/>
  <c r="N22" i="42"/>
  <c r="N20" i="42"/>
  <c r="P22" i="42"/>
  <c r="P20" i="42"/>
  <c r="R22" i="42"/>
  <c r="R20" i="42"/>
  <c r="K20" i="42"/>
  <c r="M22" i="42"/>
  <c r="M20" i="42"/>
  <c r="O22" i="42"/>
  <c r="O20" i="42"/>
  <c r="Q22" i="42"/>
  <c r="Q20" i="42"/>
  <c r="S22" i="42"/>
  <c r="S20" i="42"/>
  <c r="J12" i="42"/>
  <c r="M12" i="42"/>
  <c r="O12" i="42"/>
  <c r="Q12" i="42"/>
  <c r="S12" i="42"/>
  <c r="N12" i="42"/>
  <c r="P12" i="42"/>
  <c r="R12" i="42"/>
  <c r="K12" i="2"/>
  <c r="J12" i="2"/>
  <c r="L12" i="2"/>
  <c r="J26" i="53"/>
  <c r="J10" i="53"/>
  <c r="L10" i="53"/>
  <c r="N26" i="53"/>
  <c r="N10" i="53"/>
  <c r="L26" i="53"/>
  <c r="J36" i="53"/>
  <c r="K36" i="53"/>
  <c r="K26" i="53"/>
  <c r="K10" i="53"/>
  <c r="M36" i="53"/>
  <c r="M26" i="53"/>
  <c r="M10" i="53"/>
  <c r="S8" i="54"/>
  <c r="J14" i="42"/>
  <c r="F51" i="42"/>
  <c r="C51" i="42"/>
  <c r="F48" i="42"/>
  <c r="C48" i="42"/>
  <c r="F45" i="42"/>
  <c r="C45" i="42"/>
  <c r="F42" i="42"/>
  <c r="C42" i="42"/>
  <c r="F39" i="42"/>
  <c r="C39" i="42"/>
  <c r="F14" i="42"/>
  <c r="E14" i="42"/>
  <c r="F12" i="42"/>
  <c r="E12" i="42"/>
  <c r="S63" i="42" l="1"/>
  <c r="R63" i="42"/>
  <c r="Q63" i="42"/>
  <c r="P63" i="42"/>
  <c r="E89" i="58"/>
  <c r="E88" i="58"/>
  <c r="E87" i="58"/>
  <c r="E86" i="58"/>
  <c r="E85" i="58"/>
  <c r="F77" i="58"/>
  <c r="E77" i="58"/>
  <c r="F76" i="58"/>
  <c r="E76" i="58"/>
  <c r="F75" i="58"/>
  <c r="E75" i="58"/>
  <c r="F74" i="58"/>
  <c r="E74" i="58"/>
  <c r="E68" i="58"/>
  <c r="E67" i="58"/>
  <c r="E66" i="58"/>
  <c r="E65" i="58"/>
  <c r="E64" i="58"/>
  <c r="E60" i="58"/>
  <c r="F27" i="58"/>
  <c r="F29" i="58" s="1"/>
  <c r="E27" i="58"/>
  <c r="F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G12" i="16"/>
  <c r="C1" i="58"/>
  <c r="E45" i="42" l="1"/>
  <c r="E48" i="42"/>
  <c r="E39" i="42"/>
  <c r="E51" i="42"/>
  <c r="F22" i="42"/>
  <c r="E22" i="42"/>
  <c r="E42" i="42"/>
  <c r="E20" i="42"/>
  <c r="F16" i="44"/>
  <c r="F15" i="44"/>
  <c r="F14" i="44"/>
  <c r="Q21" i="42" l="1"/>
  <c r="P21" i="42"/>
  <c r="S21" i="42"/>
  <c r="R21" i="42"/>
  <c r="E16" i="44"/>
  <c r="E15" i="44"/>
  <c r="E14" i="44"/>
  <c r="C15" i="44"/>
  <c r="C16" i="44"/>
  <c r="C13" i="44"/>
  <c r="C14" i="44"/>
  <c r="O11" i="44"/>
  <c r="N11" i="44"/>
  <c r="M11" i="44"/>
  <c r="L11" i="44"/>
  <c r="K11" i="44"/>
  <c r="J11" i="44"/>
  <c r="F102" i="42"/>
  <c r="E102" i="42"/>
  <c r="L14" i="44" l="1"/>
  <c r="L15" i="44"/>
  <c r="L16" i="44"/>
  <c r="L13" i="44"/>
  <c r="M16" i="44"/>
  <c r="M14" i="44"/>
  <c r="M15" i="44"/>
  <c r="M13" i="44"/>
  <c r="J14" i="44"/>
  <c r="J16" i="44"/>
  <c r="J13" i="44"/>
  <c r="J15" i="44"/>
  <c r="N13" i="44"/>
  <c r="K15" i="44"/>
  <c r="K13" i="44"/>
  <c r="K16" i="44"/>
  <c r="K14" i="44"/>
  <c r="F104" i="42"/>
  <c r="F103" i="42"/>
  <c r="F96" i="42"/>
  <c r="F94" i="42"/>
  <c r="F93" i="42"/>
  <c r="F92" i="42"/>
  <c r="F86" i="42"/>
  <c r="F83" i="42"/>
  <c r="F82" i="42"/>
  <c r="F81" i="42"/>
  <c r="F80" i="42"/>
  <c r="F79" i="42"/>
  <c r="F78" i="42"/>
  <c r="F77" i="42"/>
  <c r="F76" i="42"/>
  <c r="S40" i="53"/>
  <c r="Q40" i="53"/>
  <c r="O40" i="53"/>
  <c r="N22" i="53"/>
  <c r="M40" i="53"/>
  <c r="L22" i="53"/>
  <c r="K40" i="53"/>
  <c r="J22" i="53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D11" i="16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K109" i="2"/>
  <c r="S109" i="2"/>
  <c r="Q109" i="2"/>
  <c r="O109" i="2"/>
  <c r="M109" i="2"/>
  <c r="C24" i="4"/>
  <c r="O12" i="2" l="1"/>
  <c r="K14" i="42"/>
  <c r="O14" i="42"/>
  <c r="Q14" i="42"/>
  <c r="S14" i="42"/>
  <c r="N14" i="42"/>
  <c r="P14" i="42"/>
  <c r="R14" i="42"/>
  <c r="O22" i="53"/>
  <c r="M22" i="53"/>
  <c r="K22" i="53"/>
  <c r="J32" i="53"/>
  <c r="L32" i="53"/>
  <c r="N32" i="53"/>
  <c r="J40" i="53"/>
  <c r="L40" i="53"/>
  <c r="N40" i="53"/>
  <c r="P40" i="53"/>
  <c r="R40" i="53"/>
  <c r="K32" i="53"/>
  <c r="M32" i="53"/>
  <c r="O32" i="53"/>
  <c r="K47" i="2"/>
  <c r="M47" i="2"/>
  <c r="Q60" i="2"/>
  <c r="O47" i="2"/>
  <c r="S60" i="2"/>
  <c r="L47" i="2"/>
  <c r="L109" i="2"/>
  <c r="L73" i="2"/>
  <c r="N47" i="2"/>
  <c r="N109" i="2"/>
  <c r="N73" i="2"/>
  <c r="P109" i="2"/>
  <c r="P73" i="2"/>
  <c r="R60" i="2"/>
  <c r="R109" i="2"/>
  <c r="R73" i="2"/>
  <c r="T60" i="2"/>
  <c r="T109" i="2"/>
  <c r="T73" i="2"/>
  <c r="J109" i="2"/>
  <c r="J73" i="2"/>
  <c r="J47" i="2"/>
  <c r="S73" i="2"/>
  <c r="Q73" i="2"/>
  <c r="M73" i="2"/>
  <c r="K73" i="2"/>
  <c r="J70" i="42" l="1" a="1"/>
  <c r="J70" i="42" s="1"/>
  <c r="L70" i="42" a="1"/>
  <c r="L70" i="42" s="1"/>
  <c r="K70" i="42" a="1"/>
  <c r="K70" i="42" s="1"/>
  <c r="W73" i="2"/>
  <c r="X40" i="53"/>
  <c r="W60" i="2"/>
  <c r="W109" i="2"/>
  <c r="P47" i="2" l="1"/>
  <c r="S47" i="2"/>
  <c r="Q47" i="2"/>
  <c r="R47" i="2"/>
  <c r="T47" i="2"/>
  <c r="W47" i="2" l="1"/>
  <c r="C52" i="42" l="1"/>
  <c r="F52" i="42"/>
  <c r="E52" i="42"/>
  <c r="C49" i="42"/>
  <c r="C46" i="42"/>
  <c r="C43" i="42"/>
  <c r="C40" i="42"/>
  <c r="F49" i="42"/>
  <c r="E49" i="42"/>
  <c r="F46" i="42"/>
  <c r="E46" i="42"/>
  <c r="F43" i="42"/>
  <c r="E43" i="42"/>
  <c r="F40" i="42"/>
  <c r="E40" i="42"/>
  <c r="E86" i="42" l="1"/>
  <c r="E104" i="42" l="1"/>
  <c r="F15" i="42" l="1"/>
  <c r="F56" i="42"/>
  <c r="F54" i="42"/>
  <c r="C92" i="42" l="1"/>
  <c r="C93" i="42"/>
  <c r="C94" i="42"/>
  <c r="F13" i="44"/>
  <c r="O13" i="44" s="1"/>
  <c r="E56" i="42"/>
  <c r="F35" i="42"/>
  <c r="E54" i="42"/>
  <c r="F13" i="42"/>
  <c r="E13" i="42"/>
  <c r="E15" i="42"/>
  <c r="E13" i="44"/>
  <c r="E103" i="42"/>
  <c r="E76" i="42"/>
  <c r="E77" i="42"/>
  <c r="E78" i="42"/>
  <c r="E79" i="42"/>
  <c r="E80" i="42"/>
  <c r="E81" i="42"/>
  <c r="E82" i="42"/>
  <c r="E83" i="42"/>
  <c r="E92" i="42"/>
  <c r="E93" i="42"/>
  <c r="E94" i="42"/>
  <c r="E96" i="42"/>
  <c r="E35" i="42"/>
  <c r="B2" i="55"/>
  <c r="S12" i="54"/>
  <c r="S16" i="54"/>
  <c r="G15" i="16"/>
  <c r="B1" i="55"/>
  <c r="E12" i="2"/>
  <c r="O65" i="42"/>
  <c r="O67" i="42"/>
  <c r="J65" i="42"/>
  <c r="J67" i="42"/>
  <c r="K65" i="42"/>
  <c r="K67" i="42"/>
  <c r="L65" i="42"/>
  <c r="L67" i="42"/>
  <c r="M65" i="42"/>
  <c r="M67" i="42"/>
  <c r="N65" i="42"/>
  <c r="N67" i="42"/>
  <c r="C78" i="2"/>
  <c r="C79" i="2"/>
  <c r="C80" i="2"/>
  <c r="C81" i="2"/>
  <c r="C82" i="2"/>
  <c r="C77" i="2"/>
  <c r="S7" i="54"/>
  <c r="S13" i="54"/>
  <c r="S15" i="54"/>
  <c r="D12" i="16"/>
  <c r="D13" i="16"/>
  <c r="D14" i="16"/>
  <c r="D15" i="16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07" i="2"/>
  <c r="B2" i="2"/>
  <c r="B1" i="2"/>
  <c r="C64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9" i="4"/>
  <c r="B2" i="4"/>
  <c r="B1" i="4"/>
  <c r="S13" i="42" l="1"/>
  <c r="M69" i="42"/>
  <c r="K69" i="42"/>
  <c r="L69" i="42"/>
  <c r="S1" i="54"/>
  <c r="G10" i="16" s="1"/>
  <c r="N69" i="42"/>
  <c r="J69" i="42"/>
  <c r="M70" i="42" l="1" a="1"/>
  <c r="M70" i="42" s="1"/>
  <c r="N70" i="42" a="1"/>
  <c r="N70" i="42" s="1"/>
  <c r="O69" i="42"/>
  <c r="O70" i="42" l="1" a="1"/>
  <c r="O70" i="42" s="1"/>
  <c r="O49" i="42" l="1"/>
  <c r="L49" i="42"/>
  <c r="S52" i="42"/>
  <c r="L52" i="42"/>
  <c r="P52" i="42"/>
  <c r="M49" i="42"/>
  <c r="K52" i="42"/>
  <c r="R49" i="42"/>
  <c r="K49" i="42"/>
  <c r="N52" i="42"/>
  <c r="Q52" i="42"/>
  <c r="R52" i="42"/>
  <c r="O52" i="42"/>
  <c r="N49" i="42"/>
  <c r="J52" i="42"/>
  <c r="Q49" i="42"/>
  <c r="S49" i="42"/>
  <c r="J49" i="42"/>
  <c r="M52" i="42"/>
  <c r="P49" i="42"/>
  <c r="J94" i="42"/>
  <c r="T94" i="42"/>
  <c r="R94" i="42"/>
  <c r="K80" i="42"/>
  <c r="N94" i="42"/>
  <c r="N16" i="44" s="1"/>
  <c r="O94" i="42"/>
  <c r="O16" i="44" s="1"/>
  <c r="K94" i="42"/>
  <c r="P94" i="42"/>
  <c r="M94" i="42"/>
  <c r="L94" i="42"/>
  <c r="S94" i="42"/>
  <c r="Q94" i="42"/>
  <c r="N21" i="2"/>
  <c r="M19" i="2"/>
  <c r="N20" i="2"/>
  <c r="O20" i="2" s="1"/>
  <c r="J16" i="2"/>
  <c r="K17" i="2"/>
  <c r="K27" i="2" s="1"/>
  <c r="L18" i="2"/>
  <c r="L28" i="2" s="1"/>
  <c r="D21" i="2"/>
  <c r="E21" i="2"/>
  <c r="D17" i="2"/>
  <c r="E17" i="2"/>
  <c r="E18" i="2"/>
  <c r="D18" i="2"/>
  <c r="E31" i="2"/>
  <c r="D31" i="2"/>
  <c r="E27" i="2"/>
  <c r="D27" i="2"/>
  <c r="D19" i="2"/>
  <c r="E19" i="2"/>
  <c r="E20" i="2"/>
  <c r="D20" i="2"/>
  <c r="E16" i="2"/>
  <c r="D16" i="2"/>
  <c r="E29" i="2"/>
  <c r="D29" i="2"/>
  <c r="E30" i="2"/>
  <c r="D30" i="2"/>
  <c r="D26" i="2"/>
  <c r="E26" i="2"/>
  <c r="E28" i="2"/>
  <c r="D28" i="2"/>
  <c r="R81" i="42" l="1"/>
  <c r="S81" i="42"/>
  <c r="T81" i="42"/>
  <c r="P81" i="42"/>
  <c r="Q81" i="42"/>
  <c r="J81" i="42"/>
  <c r="O83" i="42"/>
  <c r="K82" i="42"/>
  <c r="J78" i="42"/>
  <c r="J82" i="42"/>
  <c r="L82" i="42"/>
  <c r="N78" i="42"/>
  <c r="O84" i="42"/>
  <c r="L84" i="42"/>
  <c r="M83" i="42"/>
  <c r="L78" i="42"/>
  <c r="L81" i="42"/>
  <c r="M84" i="42"/>
  <c r="K84" i="42"/>
  <c r="N81" i="42"/>
  <c r="J84" i="42"/>
  <c r="S84" i="42"/>
  <c r="T83" i="42"/>
  <c r="P83" i="42"/>
  <c r="T84" i="42"/>
  <c r="S82" i="42"/>
  <c r="Q82" i="42"/>
  <c r="Q78" i="42"/>
  <c r="R82" i="42"/>
  <c r="R83" i="42"/>
  <c r="P82" i="42"/>
  <c r="R84" i="42"/>
  <c r="Q84" i="42"/>
  <c r="T82" i="42"/>
  <c r="P78" i="42"/>
  <c r="Q83" i="42"/>
  <c r="P84" i="42"/>
  <c r="S83" i="42"/>
  <c r="M78" i="42"/>
  <c r="O78" i="42"/>
  <c r="M82" i="42"/>
  <c r="L83" i="42"/>
  <c r="O82" i="42"/>
  <c r="N82" i="42"/>
  <c r="N83" i="42"/>
  <c r="K83" i="42"/>
  <c r="J83" i="42"/>
  <c r="N84" i="42"/>
  <c r="K78" i="42"/>
  <c r="Q16" i="44"/>
  <c r="Q16" i="64"/>
  <c r="R16" i="44"/>
  <c r="R16" i="64"/>
  <c r="S16" i="44"/>
  <c r="S16" i="64"/>
  <c r="P16" i="44"/>
  <c r="P16" i="64"/>
  <c r="T16" i="44"/>
  <c r="T16" i="64"/>
  <c r="M80" i="42"/>
  <c r="O80" i="42"/>
  <c r="M81" i="42"/>
  <c r="N80" i="42"/>
  <c r="J80" i="42"/>
  <c r="K79" i="42"/>
  <c r="Q80" i="42"/>
  <c r="T80" i="42"/>
  <c r="S80" i="42"/>
  <c r="P80" i="42"/>
  <c r="R80" i="42"/>
  <c r="O81" i="42"/>
  <c r="K81" i="42"/>
  <c r="L80" i="42"/>
  <c r="O79" i="42"/>
  <c r="L79" i="42"/>
  <c r="N79" i="42"/>
  <c r="M79" i="42"/>
  <c r="J79" i="42"/>
  <c r="P28" i="42"/>
  <c r="S28" i="42"/>
  <c r="O30" i="2"/>
  <c r="K18" i="2"/>
  <c r="K28" i="2" s="1"/>
  <c r="O31" i="2"/>
  <c r="J17" i="2"/>
  <c r="J27" i="2" s="1"/>
  <c r="L17" i="2"/>
  <c r="L27" i="2" s="1"/>
  <c r="Q28" i="42"/>
  <c r="J26" i="2"/>
  <c r="P22" i="53" l="1"/>
  <c r="J18" i="2"/>
  <c r="J28" i="2" s="1"/>
  <c r="S22" i="53" l="1"/>
  <c r="T22" i="53"/>
  <c r="R22" i="53"/>
  <c r="S31" i="42"/>
  <c r="L31" i="42"/>
  <c r="Q31" i="42"/>
  <c r="N31" i="42"/>
  <c r="O31" i="42"/>
  <c r="K31" i="42"/>
  <c r="P31" i="42"/>
  <c r="M31" i="42"/>
  <c r="R31" i="42"/>
  <c r="J31" i="42"/>
  <c r="Q22" i="53" l="1"/>
  <c r="X22" i="53" s="1"/>
  <c r="K16" i="2"/>
  <c r="K26" i="2" l="1"/>
  <c r="L16" i="2"/>
  <c r="L26" i="2" l="1"/>
  <c r="M33" i="42" l="1"/>
  <c r="Q32" i="53" l="1"/>
  <c r="R32" i="53" l="1"/>
  <c r="S32" i="53" l="1"/>
  <c r="T32" i="53" l="1"/>
  <c r="X32" i="53" s="1"/>
  <c r="S1" i="53" s="1"/>
  <c r="G14" i="16" s="1"/>
  <c r="M12" i="2" l="1"/>
  <c r="M17" i="2" s="1"/>
  <c r="M27" i="2" l="1"/>
  <c r="M16" i="2"/>
  <c r="M18" i="2"/>
  <c r="T64" i="55"/>
  <c r="M29" i="2"/>
  <c r="L19" i="2"/>
  <c r="T65" i="55" l="1"/>
  <c r="M26" i="2"/>
  <c r="M28" i="2"/>
  <c r="L29" i="2"/>
  <c r="K19" i="2"/>
  <c r="J19" i="2" l="1"/>
  <c r="J29" i="2" s="1"/>
  <c r="K29" i="2"/>
  <c r="N12" i="2"/>
  <c r="T68" i="55"/>
  <c r="N17" i="2" l="1"/>
  <c r="N18" i="2"/>
  <c r="T67" i="55"/>
  <c r="T1" i="55" s="1"/>
  <c r="G11" i="16" s="1"/>
  <c r="N16" i="2"/>
  <c r="M20" i="2"/>
  <c r="N19" i="2"/>
  <c r="N30" i="2"/>
  <c r="M21" i="2"/>
  <c r="N31" i="2"/>
  <c r="O18" i="2" l="1"/>
  <c r="N28" i="2"/>
  <c r="O17" i="2"/>
  <c r="N27" i="2"/>
  <c r="L21" i="2"/>
  <c r="M31" i="2"/>
  <c r="M30" i="2"/>
  <c r="L20" i="2"/>
  <c r="N29" i="2"/>
  <c r="O19" i="2"/>
  <c r="N26" i="2"/>
  <c r="O16" i="2"/>
  <c r="O27" i="2" l="1"/>
  <c r="O28" i="2"/>
  <c r="O26" i="2"/>
  <c r="K20" i="2"/>
  <c r="L30" i="2"/>
  <c r="L31" i="2"/>
  <c r="K21" i="2"/>
  <c r="O29" i="2"/>
  <c r="P76" i="42" l="1"/>
  <c r="T76" i="42"/>
  <c r="Q76" i="42"/>
  <c r="S76" i="42"/>
  <c r="R76" i="42"/>
  <c r="N76" i="42"/>
  <c r="O76" i="42"/>
  <c r="L76" i="42"/>
  <c r="M76" i="42"/>
  <c r="J76" i="42"/>
  <c r="K76" i="42"/>
  <c r="J21" i="2"/>
  <c r="J31" i="2" s="1"/>
  <c r="K31" i="2"/>
  <c r="K30" i="2"/>
  <c r="J20" i="2"/>
  <c r="J30" i="2" s="1"/>
  <c r="M35" i="42" l="1"/>
  <c r="M37" i="42"/>
  <c r="N70" i="58" l="1"/>
  <c r="J15" i="58" l="1"/>
  <c r="L15" i="58" l="1"/>
  <c r="L14" i="42" l="1"/>
  <c r="K15" i="58" l="1"/>
  <c r="N15" i="58" l="1"/>
  <c r="M15" i="58" l="1"/>
  <c r="M14" i="42" l="1"/>
  <c r="O38" i="58"/>
  <c r="O16" i="42" l="1"/>
  <c r="N14" i="44" l="1"/>
  <c r="O14" i="44"/>
  <c r="R28" i="42"/>
  <c r="N15" i="44"/>
  <c r="O15" i="44"/>
  <c r="G73" i="55"/>
  <c r="F78" i="55"/>
  <c r="F77" i="55" s="1"/>
  <c r="P12" i="2"/>
  <c r="P21" i="2" s="1"/>
  <c r="F75" i="55"/>
  <c r="G75" i="55" s="1"/>
  <c r="F81" i="55" l="1"/>
  <c r="G77" i="55"/>
  <c r="F79" i="55"/>
  <c r="F83" i="55" s="1"/>
  <c r="F82" i="55"/>
  <c r="N17" i="42"/>
  <c r="N18" i="42" s="1"/>
  <c r="N25" i="42"/>
  <c r="N26" i="42" s="1"/>
  <c r="M17" i="42"/>
  <c r="M18" i="42" s="1"/>
  <c r="T17" i="42"/>
  <c r="T18" i="42" s="1"/>
  <c r="J17" i="42"/>
  <c r="J18" i="42" s="1"/>
  <c r="K25" i="42"/>
  <c r="K26" i="42" s="1"/>
  <c r="R25" i="42"/>
  <c r="R26" i="42" s="1"/>
  <c r="Q25" i="42"/>
  <c r="Q26" i="42" s="1"/>
  <c r="O17" i="42"/>
  <c r="O18" i="42" s="1"/>
  <c r="S25" i="42"/>
  <c r="S26" i="42" s="1"/>
  <c r="K17" i="42"/>
  <c r="K18" i="42" s="1"/>
  <c r="L25" i="42"/>
  <c r="L26" i="42" s="1"/>
  <c r="Q17" i="42"/>
  <c r="Q18" i="42" s="1"/>
  <c r="M25" i="42"/>
  <c r="M26" i="42" s="1"/>
  <c r="O25" i="42"/>
  <c r="O26" i="42" s="1"/>
  <c r="P31" i="2"/>
  <c r="L17" i="42"/>
  <c r="L18" i="42" s="1"/>
  <c r="S17" i="42"/>
  <c r="S18" i="42" s="1"/>
  <c r="T25" i="42"/>
  <c r="T26" i="42" s="1"/>
  <c r="J25" i="42"/>
  <c r="J26" i="42" s="1"/>
  <c r="R17" i="42"/>
  <c r="R18" i="42" s="1"/>
  <c r="P25" i="42"/>
  <c r="P26" i="42" s="1"/>
  <c r="P17" i="42"/>
  <c r="P18" i="42" s="1"/>
  <c r="Q21" i="2"/>
  <c r="P32" i="2"/>
  <c r="P18" i="2"/>
  <c r="P17" i="2"/>
  <c r="P20" i="2"/>
  <c r="P19" i="2"/>
  <c r="O22" i="2"/>
  <c r="T1" i="2" s="1"/>
  <c r="G13" i="16" s="1"/>
  <c r="S1" i="16" s="1"/>
  <c r="P16" i="2"/>
  <c r="Q46" i="42" l="1"/>
  <c r="O46" i="42"/>
  <c r="J46" i="42"/>
  <c r="M46" i="42"/>
  <c r="N46" i="42"/>
  <c r="L46" i="42"/>
  <c r="R46" i="42"/>
  <c r="S46" i="42"/>
  <c r="P46" i="42"/>
  <c r="K46" i="42"/>
  <c r="W1" i="64"/>
  <c r="V1" i="54"/>
  <c r="W1" i="55"/>
  <c r="W1" i="44"/>
  <c r="W1" i="53"/>
  <c r="W1" i="2"/>
  <c r="V1" i="4"/>
  <c r="W1" i="42"/>
  <c r="W1" i="58"/>
  <c r="G79" i="55"/>
  <c r="N22" i="2"/>
  <c r="O32" i="2"/>
  <c r="Q19" i="2"/>
  <c r="P29" i="2"/>
  <c r="O21" i="42"/>
  <c r="O13" i="42"/>
  <c r="O28" i="42" s="1"/>
  <c r="J15" i="42"/>
  <c r="L23" i="42"/>
  <c r="Q16" i="2"/>
  <c r="O15" i="42"/>
  <c r="L15" i="42"/>
  <c r="K15" i="42"/>
  <c r="N15" i="42"/>
  <c r="M15" i="42"/>
  <c r="M23" i="42"/>
  <c r="N23" i="42"/>
  <c r="K23" i="42"/>
  <c r="S23" i="42"/>
  <c r="Q23" i="42"/>
  <c r="R23" i="42"/>
  <c r="P23" i="42"/>
  <c r="J23" i="42"/>
  <c r="P26" i="2"/>
  <c r="O23" i="42"/>
  <c r="S15" i="42"/>
  <c r="P28" i="2"/>
  <c r="Q18" i="2"/>
  <c r="Q31" i="2"/>
  <c r="R21" i="2"/>
  <c r="K77" i="42"/>
  <c r="K86" i="42" s="1"/>
  <c r="L92" i="42"/>
  <c r="J77" i="42"/>
  <c r="J86" i="42" s="1"/>
  <c r="J40" i="42"/>
  <c r="M92" i="42"/>
  <c r="T77" i="42"/>
  <c r="R77" i="42"/>
  <c r="O77" i="42"/>
  <c r="O86" i="42" s="1"/>
  <c r="S77" i="42"/>
  <c r="M40" i="42"/>
  <c r="M77" i="42"/>
  <c r="M86" i="42" s="1"/>
  <c r="N92" i="42"/>
  <c r="P40" i="42"/>
  <c r="P77" i="42"/>
  <c r="Q77" i="42"/>
  <c r="Q40" i="42"/>
  <c r="T93" i="42"/>
  <c r="P92" i="42"/>
  <c r="K92" i="42"/>
  <c r="O43" i="42"/>
  <c r="L43" i="42"/>
  <c r="Q43" i="42"/>
  <c r="M43" i="42"/>
  <c r="M93" i="42"/>
  <c r="L93" i="42"/>
  <c r="N43" i="42"/>
  <c r="O40" i="42"/>
  <c r="O92" i="42"/>
  <c r="N40" i="42"/>
  <c r="J92" i="42"/>
  <c r="P93" i="42"/>
  <c r="S93" i="42"/>
  <c r="S92" i="42"/>
  <c r="R40" i="42"/>
  <c r="Q20" i="2"/>
  <c r="Q93" i="42"/>
  <c r="J93" i="42"/>
  <c r="K43" i="42"/>
  <c r="N77" i="42"/>
  <c r="N86" i="42" s="1"/>
  <c r="Q92" i="42"/>
  <c r="K40" i="42"/>
  <c r="S40" i="42"/>
  <c r="R93" i="42"/>
  <c r="P30" i="2"/>
  <c r="N93" i="42"/>
  <c r="T92" i="42"/>
  <c r="R43" i="42"/>
  <c r="S43" i="42"/>
  <c r="R92" i="42"/>
  <c r="P43" i="42"/>
  <c r="L77" i="42"/>
  <c r="L86" i="42" s="1"/>
  <c r="O93" i="42"/>
  <c r="K93" i="42"/>
  <c r="L40" i="42"/>
  <c r="J43" i="42"/>
  <c r="Q17" i="2"/>
  <c r="P27" i="2"/>
  <c r="K96" i="42" l="1"/>
  <c r="R15" i="64"/>
  <c r="R15" i="44"/>
  <c r="Q30" i="2"/>
  <c r="R20" i="2"/>
  <c r="P15" i="64"/>
  <c r="P15" i="44"/>
  <c r="Q86" i="42"/>
  <c r="R86" i="42"/>
  <c r="T14" i="64"/>
  <c r="T96" i="42"/>
  <c r="T14" i="44"/>
  <c r="S54" i="42"/>
  <c r="S56" i="42" s="1"/>
  <c r="R54" i="42"/>
  <c r="R56" i="42" s="1"/>
  <c r="J96" i="42"/>
  <c r="P96" i="42"/>
  <c r="P14" i="44"/>
  <c r="P14" i="64"/>
  <c r="P86" i="42"/>
  <c r="M54" i="42"/>
  <c r="M56" i="42" s="1"/>
  <c r="T86" i="42"/>
  <c r="L96" i="42"/>
  <c r="R18" i="2"/>
  <c r="Q28" i="2"/>
  <c r="R16" i="2"/>
  <c r="Q26" i="2"/>
  <c r="O33" i="42"/>
  <c r="R19" i="2"/>
  <c r="Q29" i="2"/>
  <c r="L54" i="42"/>
  <c r="L56" i="42" s="1"/>
  <c r="R14" i="44"/>
  <c r="R96" i="42"/>
  <c r="R14" i="64"/>
  <c r="K54" i="42"/>
  <c r="K56" i="42" s="1"/>
  <c r="S96" i="42"/>
  <c r="S14" i="44"/>
  <c r="S14" i="64"/>
  <c r="N54" i="42"/>
  <c r="N56" i="42" s="1"/>
  <c r="T15" i="64"/>
  <c r="T15" i="44"/>
  <c r="P54" i="42"/>
  <c r="P56" i="42" s="1"/>
  <c r="S86" i="42"/>
  <c r="M96" i="42"/>
  <c r="N13" i="42"/>
  <c r="N28" i="42" s="1"/>
  <c r="N21" i="42"/>
  <c r="Q27" i="2"/>
  <c r="R17" i="2"/>
  <c r="Q14" i="64"/>
  <c r="Q14" i="44"/>
  <c r="Q96" i="42"/>
  <c r="Q15" i="44"/>
  <c r="Q15" i="64"/>
  <c r="S15" i="64"/>
  <c r="S15" i="44"/>
  <c r="O96" i="42"/>
  <c r="Q54" i="42"/>
  <c r="Q56" i="42" s="1"/>
  <c r="N96" i="42"/>
  <c r="J54" i="42"/>
  <c r="J56" i="42" s="1"/>
  <c r="S21" i="2"/>
  <c r="R31" i="2"/>
  <c r="N32" i="2"/>
  <c r="M22" i="2"/>
  <c r="R26" i="2" l="1"/>
  <c r="S16" i="2"/>
  <c r="R30" i="2"/>
  <c r="S20" i="2"/>
  <c r="L22" i="2"/>
  <c r="M32" i="2"/>
  <c r="S17" i="2"/>
  <c r="R27" i="2"/>
  <c r="S13" i="64"/>
  <c r="T13" i="64"/>
  <c r="M13" i="42"/>
  <c r="M28" i="42" s="1"/>
  <c r="Q13" i="64"/>
  <c r="M21" i="42"/>
  <c r="R13" i="64"/>
  <c r="P13" i="64"/>
  <c r="T21" i="2"/>
  <c r="S31" i="2"/>
  <c r="S18" i="2"/>
  <c r="R28" i="2"/>
  <c r="S19" i="2"/>
  <c r="R29" i="2"/>
  <c r="T19" i="2" l="1"/>
  <c r="S29" i="2"/>
  <c r="S30" i="2"/>
  <c r="T20" i="2"/>
  <c r="T17" i="2"/>
  <c r="S27" i="2"/>
  <c r="T18" i="2"/>
  <c r="S28" i="2"/>
  <c r="T31" i="2"/>
  <c r="U21" i="2"/>
  <c r="U31" i="2" s="1"/>
  <c r="L21" i="42"/>
  <c r="L13" i="42"/>
  <c r="L28" i="42" s="1"/>
  <c r="S26" i="2"/>
  <c r="T16" i="2"/>
  <c r="K22" i="2"/>
  <c r="L32" i="2"/>
  <c r="K21" i="42" l="1"/>
  <c r="K13" i="42"/>
  <c r="K28" i="42" s="1"/>
  <c r="K32" i="2"/>
  <c r="J22" i="2"/>
  <c r="J32" i="2" s="1"/>
  <c r="U16" i="2"/>
  <c r="U26" i="2" s="1"/>
  <c r="T26" i="2"/>
  <c r="U20" i="2"/>
  <c r="U30" i="2" s="1"/>
  <c r="T30" i="2"/>
  <c r="U18" i="2"/>
  <c r="U28" i="2" s="1"/>
  <c r="T28" i="2"/>
  <c r="T27" i="2"/>
  <c r="U17" i="2"/>
  <c r="U27" i="2" s="1"/>
  <c r="U19" i="2"/>
  <c r="U29" i="2" s="1"/>
  <c r="T29" i="2"/>
  <c r="J21" i="42" l="1"/>
  <c r="O37" i="42" s="1"/>
  <c r="J13" i="42"/>
  <c r="J28" i="42" s="1"/>
  <c r="O35" i="42" s="1"/>
  <c r="O54" i="42" l="1"/>
  <c r="O56" i="42" s="1"/>
  <c r="T69" i="42" l="1"/>
  <c r="R69" i="42"/>
  <c r="S69" i="42"/>
  <c r="P69" i="42"/>
  <c r="Q69" i="42"/>
  <c r="P70" i="42" l="1" a="1"/>
  <c r="P70" i="42" s="1"/>
  <c r="R70" i="42" a="1"/>
  <c r="R70" i="42" s="1"/>
  <c r="T70" i="42" a="1"/>
  <c r="T70" i="42" s="1"/>
  <c r="Q70" i="42" a="1"/>
  <c r="Q70" i="42" s="1"/>
  <c r="S70" i="42" a="1"/>
  <c r="S70" i="42" s="1"/>
  <c r="T102" i="42" l="1"/>
  <c r="T103" i="42"/>
  <c r="Q103" i="42"/>
  <c r="Q102" i="42"/>
  <c r="S102" i="42"/>
  <c r="S103" i="42"/>
  <c r="R102" i="42"/>
  <c r="R103" i="42"/>
  <c r="P102" i="42"/>
  <c r="P103" i="42"/>
  <c r="S13" i="44" l="1"/>
  <c r="R13" i="44"/>
  <c r="Q13" i="44"/>
  <c r="T13" i="44"/>
  <c r="P13" i="44"/>
  <c r="S104" i="42"/>
  <c r="R104" i="42"/>
  <c r="Q104" i="42"/>
  <c r="T104" i="42"/>
  <c r="P104" i="42"/>
  <c r="O13" i="6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tc={87A420D2-7C2A-4465-A027-0163F76F8333}</author>
  </authors>
  <commentList>
    <comment ref="U66" authorId="0" shapeId="0" xr:uid="{87A420D2-7C2A-4465-A027-0163F76F8333}">
      <text>
        <t>[Threaded comment]
Your version of Excel allows you to read this threaded comment; however, any edits to it will get removed if the file is opened in a newer version of Excel. Learn more: https://go.microsoft.com/fwlink/?linkid=870924
Comment:
    Due to error in final decision - have back calculated a value here - this does not reflect out actual forecast.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<sst xmlns="http://schemas.openxmlformats.org/spreadsheetml/2006/main" count="791" uniqueCount="231">
  <si>
    <t>AER opex model v1.9</t>
  </si>
  <si>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</si>
  <si>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</si>
  <si>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</si>
  <si>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</si>
  <si>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</si>
  <si>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</si>
  <si>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</t>
  </si>
  <si>
    <t>Inputs inflation data.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</si>
  <si>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</si>
  <si>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</si>
  <si>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Input | Rate of change</t>
  </si>
  <si>
    <t>Inputs the cost escalation weights, cost escalation forecast, and inflation actuals and forecast. Sheet used when the rate of change is applied from the final year.</t>
  </si>
  <si>
    <t>Input | 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</si>
  <si>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</si>
  <si>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Calc | Opex Forecast</t>
  </si>
  <si>
    <t>Calculates the opex forecast. Sheet used when the rate of change is applied from the final year.</t>
  </si>
  <si>
    <t>Output | Models</t>
  </si>
  <si>
    <t>Outputs the forecasts needed as a post tax revenue model inputs. Sheet used when the rate of change is applied from the base year.</t>
  </si>
  <si>
    <t>Lookup | Tables</t>
  </si>
  <si>
    <t>Includes the lookup tables used within this opex model.</t>
  </si>
  <si>
    <t>Check | List</t>
  </si>
  <si>
    <t>Shows checks on the calculations within the model</t>
  </si>
  <si>
    <t>End</t>
  </si>
  <si>
    <t>Back to Index</t>
  </si>
  <si>
    <t>Key:</t>
  </si>
  <si>
    <t>Input</t>
  </si>
  <si>
    <t>External Link</t>
  </si>
  <si>
    <t>Internal Link</t>
  </si>
  <si>
    <t>Worksheet check:</t>
  </si>
  <si>
    <t>Overall Check:</t>
  </si>
  <si>
    <t>Input | General inputs</t>
  </si>
  <si>
    <t>Inputs</t>
  </si>
  <si>
    <t>Source</t>
  </si>
  <si>
    <t>Value</t>
  </si>
  <si>
    <t>NSP name</t>
  </si>
  <si>
    <t>NSP</t>
  </si>
  <si>
    <t>AusNet (Gas)</t>
  </si>
  <si>
    <t>Decision stage</t>
  </si>
  <si>
    <t>AER</t>
  </si>
  <si>
    <t>draft</t>
  </si>
  <si>
    <t>Year ending for current regulatory period</t>
  </si>
  <si>
    <t>Year ending for next regulatory period</t>
  </si>
  <si>
    <t>Previous regulatory control period, first year</t>
  </si>
  <si>
    <t>Forecast base year</t>
  </si>
  <si>
    <t>Previous regulatory control period, last year</t>
  </si>
  <si>
    <t>Intervening period, year</t>
  </si>
  <si>
    <t>Forecast regulatory control period, first year</t>
  </si>
  <si>
    <t>Forecast regulatory control period, last year</t>
  </si>
  <si>
    <t>Index value, new base</t>
  </si>
  <si>
    <t>Percentage Change from Corresponding Quarter of Previous Year</t>
  </si>
  <si>
    <t>ABS</t>
  </si>
  <si>
    <t>Calculated</t>
  </si>
  <si>
    <t>Unit</t>
  </si>
  <si>
    <t>index</t>
  </si>
  <si>
    <t>Percent</t>
  </si>
  <si>
    <t>Inputs:</t>
  </si>
  <si>
    <t>&lt;----------</t>
  </si>
  <si>
    <t>Year ending</t>
  </si>
  <si>
    <t>Basis</t>
  </si>
  <si>
    <t>Input | Opex allowances  2018 to 2022</t>
  </si>
  <si>
    <t>Cost category</t>
  </si>
  <si>
    <t>Notes</t>
  </si>
  <si>
    <t>Total opex</t>
  </si>
  <si>
    <t>$millions</t>
  </si>
  <si>
    <t>Allowances related to category specific forecasts</t>
  </si>
  <si>
    <t>Debt raising costs</t>
  </si>
  <si>
    <t>Ancillary reference service</t>
  </si>
  <si>
    <t>Total opex, categories forecast specifically</t>
  </si>
  <si>
    <t>Input | Opex allowances  2023 half year</t>
  </si>
  <si>
    <t>Debt raising cost</t>
  </si>
  <si>
    <t>Actual</t>
  </si>
  <si>
    <t>Estimate</t>
  </si>
  <si>
    <t>RIN</t>
  </si>
  <si>
    <t>nominal</t>
  </si>
  <si>
    <t>Categories of opex to be excluded from forecast opex (excluding category specific forecasts)</t>
  </si>
  <si>
    <t>AN: movement in provision, UAFG, non-reference services and ARS sourced from AusNet Gas Distribution Workbook 1 - Consolidated Information (Historical) (Table F7 , Table F4.1.3 and Table E21.2). The original amount using table F7 is -$7.91m of MIP. However, this is incorrect because it's being driven by a -$7.3m "unused amounts reversed during the period". A correction has been name. Kim's email dated 2021_02_15 clarifies this. Kim's email also clarifies the approach here is correct, i.e. we subtract MIP, UAFG and non-reference services, but not DRC. Kim's email dated 24/06/21 clarifies that total opex includes NRS and ARS.</t>
  </si>
  <si>
    <t>AN: movement in provision, UAFG, non-reference services and ARS sourced from AusNet Gas Distribution Workbook 1 - Consolidated Information (Historical) (Table F7 , Table F4.1.3 and Table E21.2). Kim's email dated 2021_02_15 clarifies the approach here is correct, i.e. we subtract MIP, UAFG and non-reference services, but not DRC. Kim's email dated 24/06/21 clarifies that total opex includes NRS and ARS.</t>
  </si>
  <si>
    <t>AN: movement in provision sourced from AusNet Gas Distribution Workbook 2 - Consolidated Information (Table F7). Kim emailed it through on 06/05/2021.
UAFG sourced from AusNet Gas Distribution Workbook 2 - Consolidated Information (Table F4.1.1). Kim emailed it through on 06/05/2021.
Non-reference services and ARS sourced from AusNet Gas Distribution Workbook 2 - Consolidated Information (Table E21.2). Kim emailed it through on 06/05/2021. Kim's email dated 24/06/21 clarifies that total opex includes NRS and ARS.</t>
  </si>
  <si>
    <t>AN: In Rebecca Symonds' email (dated 2021_05_18), she said total opex numbers above exclude movement in provisions, UAFG, non-reference services and ARS. Therefore the numbers are zero here. The ARS is negative, because I needed to add this back in, as per the AER's template model</t>
  </si>
  <si>
    <t>Movement in provisions</t>
  </si>
  <si>
    <t>UAFG (unaccounted for gas)</t>
  </si>
  <si>
    <t>Non-reference service</t>
  </si>
  <si>
    <t>Leases &amp; SaaS</t>
  </si>
  <si>
    <t>Total opex to be trended</t>
  </si>
  <si>
    <t>Expenditure related to category specific forecasts</t>
  </si>
  <si>
    <t>Input | Adjustments</t>
  </si>
  <si>
    <t>Adjustment</t>
  </si>
  <si>
    <t>ESV levies</t>
  </si>
  <si>
    <t>External</t>
  </si>
  <si>
    <t>Expensed corporate overhead</t>
  </si>
  <si>
    <t>Remove leases</t>
  </si>
  <si>
    <t>Efficiency adjustment</t>
  </si>
  <si>
    <t>Per cent</t>
  </si>
  <si>
    <t>Inflation</t>
  </si>
  <si>
    <t>calculated</t>
  </si>
  <si>
    <t xml:space="preserve">Not Changing </t>
  </si>
  <si>
    <t>CPI indexes (real to real)</t>
  </si>
  <si>
    <t>CPI indexes (nominal to real)</t>
  </si>
  <si>
    <t>Input | Forecast price change</t>
  </si>
  <si>
    <t>Forecast price change</t>
  </si>
  <si>
    <t>WPI - DAE</t>
  </si>
  <si>
    <t>external</t>
  </si>
  <si>
    <t>WPI - BIS Oxford</t>
  </si>
  <si>
    <t>WPI - average</t>
  </si>
  <si>
    <t>CPI</t>
  </si>
  <si>
    <t>Check</t>
  </si>
  <si>
    <t>Ok/Check</t>
  </si>
  <si>
    <t>n/a</t>
  </si>
  <si>
    <t>Weights</t>
  </si>
  <si>
    <t>Input | Forecast output growth</t>
  </si>
  <si>
    <t>Output measure</t>
  </si>
  <si>
    <t xml:space="preserve">The AER approved customer numbers in the opex model didn't match the approved demand forecast. To avoid adjustment issues, have applied the rate of change from our new forecast. </t>
  </si>
  <si>
    <t>Keep same</t>
  </si>
  <si>
    <t>Customer numbers (#)</t>
  </si>
  <si>
    <t>number</t>
  </si>
  <si>
    <t>Mains length</t>
  </si>
  <si>
    <t>Energy throughput</t>
  </si>
  <si>
    <t>Growth rate</t>
  </si>
  <si>
    <t>Output weights</t>
  </si>
  <si>
    <t>SFA CD</t>
  </si>
  <si>
    <t>LSE CD</t>
  </si>
  <si>
    <t>LSE TLG</t>
  </si>
  <si>
    <t>SFA TLG</t>
  </si>
  <si>
    <t>Forecast output growth</t>
  </si>
  <si>
    <t>Input | Forecast productivity</t>
  </si>
  <si>
    <t>Partial factor productivity</t>
  </si>
  <si>
    <t>Input |Step changes</t>
  </si>
  <si>
    <t>Step change</t>
  </si>
  <si>
    <t>Expensing of IT projects</t>
  </si>
  <si>
    <t>Not Changing</t>
  </si>
  <si>
    <t>EPA</t>
  </si>
  <si>
    <t>ESV Levy</t>
  </si>
  <si>
    <t>New</t>
  </si>
  <si>
    <t>Input | Category specifc forecasts</t>
  </si>
  <si>
    <t>Category specific forecasts</t>
  </si>
  <si>
    <t>Priority Service program</t>
  </si>
  <si>
    <t>Input | Debt raising costs</t>
  </si>
  <si>
    <t>Debt Raising Costs</t>
  </si>
  <si>
    <t>PTRM</t>
  </si>
  <si>
    <t>Calc | Estimated final year expenditure</t>
  </si>
  <si>
    <t>Reported opex, total</t>
  </si>
  <si>
    <t>Inputs|Reported opex</t>
  </si>
  <si>
    <t>Base year opex allowance, total</t>
  </si>
  <si>
    <t>2021 half year allowance, total</t>
  </si>
  <si>
    <t>2021 half year allowance, total, annualised</t>
  </si>
  <si>
    <t>Reported opex, category specific forecasts</t>
  </si>
  <si>
    <t>Base year opex allowance, category specific forecasts</t>
  </si>
  <si>
    <t>2021 half year allowance, category specific forecasts</t>
  </si>
  <si>
    <t>2021 half year allowance, category specific forecasts, annualised</t>
  </si>
  <si>
    <t>Reported base year opex</t>
  </si>
  <si>
    <t>Add back non-recurrent efficiency gains in the base year</t>
  </si>
  <si>
    <t>Add estimated change in opex between the base year and the final year</t>
  </si>
  <si>
    <t>Estimated final year opex</t>
  </si>
  <si>
    <t>Remove estimated final year opex for categories forecast specifically</t>
  </si>
  <si>
    <t>Adjusted final year opex</t>
  </si>
  <si>
    <t>Calc | Rate of change</t>
  </si>
  <si>
    <t>Rate of change</t>
  </si>
  <si>
    <t>Forecast output change</t>
  </si>
  <si>
    <t>Forecast productivity change</t>
  </si>
  <si>
    <t>Forecast rate of change, year-on-year</t>
  </si>
  <si>
    <t>Forecast rate of change, cumulative</t>
  </si>
  <si>
    <t>Calc | Step changes</t>
  </si>
  <si>
    <t>Step changes</t>
  </si>
  <si>
    <t>Total step changes</t>
  </si>
  <si>
    <t>Calc | Category specific forecasts</t>
  </si>
  <si>
    <t>Total category specific forecasts</t>
  </si>
  <si>
    <t>Calc | Total forecast operating expenditure</t>
  </si>
  <si>
    <t>Total forecast opex, excluding category specific forecasts</t>
  </si>
  <si>
    <t>Total forecast opex, excluding debt raising costs</t>
  </si>
  <si>
    <t>Total forecast opex, including debt raising costs</t>
  </si>
  <si>
    <t>Inputs for Post Tax Revenue Model</t>
  </si>
  <si>
    <t>Note. The dollar base should be consistent with the post tax revenue model</t>
  </si>
  <si>
    <t>Operating expenditure</t>
  </si>
  <si>
    <t>Calc | Opex forecast</t>
  </si>
  <si>
    <t>Total</t>
  </si>
  <si>
    <t>AER final Decision</t>
  </si>
  <si>
    <t>Adjustments for Growth Parameters</t>
  </si>
  <si>
    <t>Adjustment for ESV Levy</t>
  </si>
  <si>
    <t>AusNet Proposal</t>
  </si>
  <si>
    <t>Difference</t>
  </si>
  <si>
    <t>Unit Denominations</t>
  </si>
  <si>
    <t>Ref</t>
  </si>
  <si>
    <t>Dollars</t>
  </si>
  <si>
    <t>$dollars</t>
  </si>
  <si>
    <t>Thousands</t>
  </si>
  <si>
    <t>$000</t>
  </si>
  <si>
    <t>Millions</t>
  </si>
  <si>
    <t>unit</t>
  </si>
  <si>
    <t>Number</t>
  </si>
  <si>
    <t>Factor</t>
  </si>
  <si>
    <t>factor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</si>
  <si>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</si>
  <si>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</si>
  <si>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</si>
  <si>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</si>
  <si>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</si>
  <si>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</si>
  <si>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</si>
  <si>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</si>
  <si>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</si>
  <si>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</si>
  <si>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</si>
  <si>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</si>
  <si>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</si>
  <si>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</si>
  <si>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</si>
  <si>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</si>
  <si>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</si>
  <si>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Regulatory years</t>
  </si>
  <si>
    <t>Year</t>
  </si>
  <si>
    <t>Previous period year 0</t>
  </si>
  <si>
    <t>Previous period year 1</t>
  </si>
  <si>
    <t>Previous period year 2</t>
  </si>
  <si>
    <t>Previous period year 3</t>
  </si>
  <si>
    <t>Previous period year 4</t>
  </si>
  <si>
    <t>Previous period year 5</t>
  </si>
  <si>
    <t>Previous period year 5.5</t>
  </si>
  <si>
    <t>HY 2023</t>
  </si>
  <si>
    <t>Forecast period year 1</t>
  </si>
  <si>
    <t>Forecast period year 2</t>
  </si>
  <si>
    <t>Forecast period year 3</t>
  </si>
  <si>
    <t>Forecast period year 4</t>
  </si>
  <si>
    <t>Forecast period year 5</t>
  </si>
  <si>
    <t>Option 1</t>
  </si>
  <si>
    <t>Base</t>
  </si>
  <si>
    <t>Option 2</t>
  </si>
  <si>
    <t>Final</t>
  </si>
  <si>
    <t>Check List</t>
  </si>
  <si>
    <t>Sheet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</si>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</sst>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_-* #,##0_-;\-* #,##0_-;_-* &quot;-&quot;??_-;_-@_-"/>
    <numFmt numFmtId="168" formatCode="dd/mmm"/>
    <numFmt numFmtId="169" formatCode="_(#,##0_);\(#,##0\);_(&quot;-&quot;_)"/>
    <numFmt numFmtId="170" formatCode="_(#,##0.000_);\(#,##0.000\);_(&quot;-&quot;_)"/>
    <numFmt numFmtId="171" formatCode="_(#,##0.00_);\(#,##0.00\);_(&quot;-&quot;_)"/>
    <numFmt numFmtId="172" formatCode="[$-C09]dd\-mmm\-yy;@"/>
    <numFmt numFmtId="173" formatCode="_-* #,##0.0000_-;\-* #,##0.0000_-;_-* &quot;-&quot;??_-;_-@_-"/>
    <numFmt numFmtId="174" formatCode="_(#,##0.0000_);\(#,##0.0000\);_(&quot;-&quot;_)"/>
    <numFmt numFmtId="175" formatCode="_-* #,##0.00_-;[Red]\(#,##0.00\)_-;_-* &quot;-&quot;??_-;_-@_-"/>
    <numFmt numFmtId="176" formatCode="mm/dd/yy"/>
    <numFmt numFmtId="177" formatCode="_([$€-2]* #,##0.00_);_([$€-2]* \(#,##0.00\);_([$€-2]* &quot;-&quot;??_)"/>
    <numFmt numFmtId="178" formatCode="0_);[Red]\(0\)"/>
    <numFmt numFmtId="179" formatCode="0.0%"/>
    <numFmt numFmtId="180" formatCode="_(* #,##0_);_(* \(#,##0\);_(* &quot;-&quot;?_);_(@_)"/>
    <numFmt numFmtId="181" formatCode="#,##0.0_);\(#,##0.0\)"/>
    <numFmt numFmtId="182" formatCode="#,##0_ ;\-#,##0\ "/>
    <numFmt numFmtId="183" formatCode="#,##0;[Red]\(#,##0.0\)"/>
    <numFmt numFmtId="184" formatCode="#,##0_ ;[Red]\(#,##0\)\ "/>
    <numFmt numFmtId="185" formatCode="#,##0.00;\(#,##0.00\)"/>
    <numFmt numFmtId="186" formatCode="_)d\-mmm\-yy_)"/>
    <numFmt numFmtId="187" formatCode="_(#,##0.0_);\(#,##0.0\);_(&quot;-&quot;_)"/>
    <numFmt numFmtId="188" formatCode="_(###0_);\(###0\);_(###0_)"/>
    <numFmt numFmtId="189" formatCode="#,##0.0000_);[Red]\(#,##0.0000\)"/>
    <numFmt numFmtId="190" formatCode="0.0"/>
    <numFmt numFmtId="191" formatCode=";;_(&quot;-&quot;_)"/>
    <numFmt numFmtId="192" formatCode="_-* #,##0.0_-;\-* #,##0.0_-;_-* &quot;-&quot;??_-;_-@_-"/>
    <numFmt numFmtId="193" formatCode="0.00;\-0.00;_(&quot;-&quot;_)"/>
    <numFmt numFmtId="194" formatCode="[$-C09]mmm\-yyyy;@"/>
    <numFmt numFmtId="195" formatCode="_-* #\ ##0.00_-;\-* #\ ##0.00_-;_-* &quot;-&quot;??_-;_-@_-"/>
    <numFmt numFmtId="196" formatCode="_(#\ ##0.00_);\(#\ ##0.00\);_(&quot;-&quot;_)"/>
    <numFmt numFmtId="197" formatCode="#\ ##0.00_ ;\-#\ ##0.00\ ;&quot;-&quot;"/>
    <numFmt numFmtId="198" formatCode="#\ ##0.00;\-#\ ##0.00;&quot;-&quot;"/>
    <numFmt numFmtId="199" formatCode="&quot;Warning&quot;;&quot;Warning&quot;;&quot;OK&quot;"/>
    <numFmt numFmtId="200" formatCode="mmmm"/>
    <numFmt numFmtId="201" formatCode="mmm\ yyyy"/>
    <numFmt numFmtId="202" formatCode="0.00_ ;\-0.00\ "/>
    <numFmt numFmtId="203" formatCode="0_ ;\-0\ "/>
    <numFmt numFmtId="204" formatCode="0.00000%"/>
    <numFmt numFmtId="205" formatCode="_(* #,##0.0_);_(* \(#,##0.0\);_(* &quot;-&quot;?_);_(@_)"/>
    <numFmt numFmtId="206" formatCode="#,##0.000_ ;[Red]\-#,##0.000\ "/>
    <numFmt numFmtId="207" formatCode="_-* #,##0_-;[Red]\(#,##0\)_-;_-* &quot;-&quot;??_-;_-@_-"/>
    <numFmt numFmtId="208" formatCode="_(* #,##0_);_(* \(#,##0\);_(* &quot;-&quot;??_);_(@_)"/>
    <numFmt numFmtId="209" formatCode="_-* #,##0.00000_-;\-* #,##0.00000_-;_-* &quot;-&quot;??_-;_-@_-"/>
    <numFmt numFmtId="210" formatCode="_-* #,##0.000_-;\-* #,##0.000_-;_-* &quot;-&quot;??_-;_-@_-"/>
    <numFmt numFmtId="211" formatCode="0.0000_ ;\-0.0000\ "/>
  </numFmts>
  <fonts count="102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Calibri"/>
      <family val="2"/>
      <scheme val="minor"/>
    </font>
    <font>
      <sz val="10"/>
      <name val="Helv"/>
      <charset val="204"/>
    </font>
    <font>
      <sz val="14"/>
      <name val="System"/>
      <family val="2"/>
    </font>
    <font>
      <sz val="9"/>
      <name val="Arial"/>
      <family val="2"/>
    </font>
    <font>
      <sz val="11"/>
      <color theme="1"/>
      <name val="Calibri"/>
      <family val="2"/>
    </font>
    <font>
      <u/>
      <sz val="8.5"/>
      <color indexed="12"/>
      <name val="Arial"/>
      <family val="2"/>
    </font>
    <font>
      <b/>
      <sz val="9"/>
      <color indexed="9"/>
      <name val="Arial"/>
      <family val="2"/>
    </font>
    <font>
      <sz val="11"/>
      <name val="Calibri"/>
      <family val="2"/>
      <scheme val="minor"/>
    </font>
    <font>
      <b/>
      <u val="singleAccounting"/>
      <sz val="8"/>
      <color theme="1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A6A6A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97">
    <xf numFmtId="0" fontId="0" fillId="0" borderId="0"/>
    <xf numFmtId="168" fontId="7" fillId="7" borderId="0" applyProtection="0"/>
    <xf numFmtId="9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7" fillId="0" borderId="0" applyFont="0" applyFill="0" applyBorder="0" applyAlignment="0" applyProtection="0"/>
    <xf numFmtId="169" fontId="16" fillId="0" borderId="5">
      <alignment horizontal="right" vertical="center"/>
      <protection locked="0"/>
    </xf>
    <xf numFmtId="43" fontId="14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5" fontId="16" fillId="0" borderId="0"/>
    <xf numFmtId="175" fontId="16" fillId="0" borderId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7" fillId="0" borderId="0"/>
    <xf numFmtId="42" fontId="28" fillId="0" borderId="0" applyFont="0" applyFill="0" applyBorder="0" applyAlignment="0" applyProtection="0"/>
    <xf numFmtId="0" fontId="29" fillId="30" borderId="0" applyNumberFormat="0" applyBorder="0" applyAlignment="0" applyProtection="0"/>
    <xf numFmtId="0" fontId="30" fillId="0" borderId="0" applyNumberFormat="0" applyFill="0" applyBorder="0" applyAlignment="0"/>
    <xf numFmtId="41" fontId="23" fillId="4" borderId="0" applyNumberFormat="0" applyFont="0" applyBorder="0" applyAlignment="0">
      <alignment horizontal="right"/>
    </xf>
    <xf numFmtId="41" fontId="23" fillId="4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14" borderId="11" applyNumberFormat="0" applyAlignment="0" applyProtection="0"/>
    <xf numFmtId="0" fontId="33" fillId="31" borderId="12" applyNumberFormat="0" applyAlignment="0" applyProtection="0"/>
    <xf numFmtId="41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177" fontId="2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39" fillId="0" borderId="0"/>
    <xf numFmtId="0" fontId="40" fillId="0" borderId="0"/>
    <xf numFmtId="0" fontId="41" fillId="35" borderId="0" applyNumberFormat="0" applyBorder="0" applyAlignment="0" applyProtection="0"/>
    <xf numFmtId="0" fontId="25" fillId="0" borderId="0" applyFill="0" applyBorder="0">
      <alignment vertical="center"/>
    </xf>
    <xf numFmtId="0" fontId="42" fillId="0" borderId="13" applyNumberFormat="0" applyFill="0" applyAlignment="0" applyProtection="0"/>
    <xf numFmtId="0" fontId="25" fillId="0" borderId="0" applyFill="0" applyBorder="0">
      <alignment vertical="center"/>
    </xf>
    <xf numFmtId="0" fontId="43" fillId="0" borderId="0" applyFill="0" applyBorder="0">
      <alignment vertical="center"/>
    </xf>
    <xf numFmtId="0" fontId="44" fillId="0" borderId="14" applyNumberFormat="0" applyFill="0" applyAlignment="0" applyProtection="0"/>
    <xf numFmtId="0" fontId="43" fillId="0" borderId="0" applyFill="0" applyBorder="0">
      <alignment vertical="center"/>
    </xf>
    <xf numFmtId="0" fontId="13" fillId="0" borderId="0" applyFill="0" applyBorder="0">
      <alignment vertical="center"/>
    </xf>
    <xf numFmtId="0" fontId="45" fillId="0" borderId="15" applyNumberFormat="0" applyFill="0" applyAlignment="0" applyProtection="0"/>
    <xf numFmtId="0" fontId="13" fillId="0" borderId="0" applyFill="0" applyBorder="0">
      <alignment vertical="center"/>
    </xf>
    <xf numFmtId="0" fontId="16" fillId="0" borderId="0" applyFill="0" applyBorder="0">
      <alignment vertical="center"/>
    </xf>
    <xf numFmtId="0" fontId="45" fillId="0" borderId="0" applyNumberFormat="0" applyFill="0" applyBorder="0" applyAlignment="0" applyProtection="0"/>
    <xf numFmtId="0" fontId="16" fillId="0" borderId="0" applyFill="0" applyBorder="0">
      <alignment vertical="center"/>
    </xf>
    <xf numFmtId="179" fontId="46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Fill="0" applyBorder="0">
      <alignment horizontal="center" vertical="center"/>
      <protection locked="0"/>
    </xf>
    <xf numFmtId="0" fontId="49" fillId="0" borderId="0" applyFill="0" applyBorder="0">
      <alignment horizontal="left" vertical="center"/>
      <protection locked="0"/>
    </xf>
    <xf numFmtId="0" fontId="50" fillId="12" borderId="11" applyNumberFormat="0" applyAlignment="0" applyProtection="0"/>
    <xf numFmtId="41" fontId="23" fillId="36" borderId="0" applyFont="0" applyBorder="0" applyAlignment="0">
      <alignment horizontal="right"/>
      <protection locked="0"/>
    </xf>
    <xf numFmtId="41" fontId="23" fillId="36" borderId="0" applyFont="0" applyBorder="0" applyAlignment="0">
      <alignment horizontal="right"/>
      <protection locked="0"/>
    </xf>
    <xf numFmtId="180" fontId="23" fillId="6" borderId="0" applyFont="0" applyBorder="0">
      <alignment horizontal="right"/>
      <protection locked="0"/>
    </xf>
    <xf numFmtId="180" fontId="23" fillId="6" borderId="0" applyFont="0" applyBorder="0">
      <alignment horizontal="right"/>
      <protection locked="0"/>
    </xf>
    <xf numFmtId="41" fontId="23" fillId="10" borderId="0" applyFont="0" applyBorder="0">
      <alignment horizontal="right"/>
      <protection locked="0"/>
    </xf>
    <xf numFmtId="41" fontId="23" fillId="10" borderId="0" applyFont="0" applyBorder="0">
      <alignment horizontal="right"/>
      <protection locked="0"/>
    </xf>
    <xf numFmtId="0" fontId="16" fillId="4" borderId="0"/>
    <xf numFmtId="0" fontId="51" fillId="0" borderId="16" applyNumberFormat="0" applyFill="0" applyAlignment="0" applyProtection="0"/>
    <xf numFmtId="181" fontId="52" fillId="0" borderId="0"/>
    <xf numFmtId="0" fontId="53" fillId="0" borderId="0" applyFill="0" applyBorder="0">
      <alignment horizontal="left" vertical="center"/>
    </xf>
    <xf numFmtId="0" fontId="54" fillId="15" borderId="0" applyNumberFormat="0" applyBorder="0" applyAlignment="0" applyProtection="0"/>
    <xf numFmtId="182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8" fillId="0" borderId="0"/>
    <xf numFmtId="0" fontId="23" fillId="3" borderId="0"/>
    <xf numFmtId="0" fontId="56" fillId="0" borderId="0"/>
    <xf numFmtId="0" fontId="23" fillId="0" borderId="0"/>
    <xf numFmtId="0" fontId="23" fillId="0" borderId="0"/>
    <xf numFmtId="0" fontId="23" fillId="13" borderId="17" applyNumberFormat="0" applyFont="0" applyAlignment="0" applyProtection="0"/>
    <xf numFmtId="0" fontId="57" fillId="14" borderId="18" applyNumberFormat="0" applyAlignment="0" applyProtection="0"/>
    <xf numFmtId="183" fontId="23" fillId="0" borderId="0" applyFill="0" applyBorder="0"/>
    <xf numFmtId="183" fontId="23" fillId="0" borderId="0" applyFill="0" applyBorder="0"/>
    <xf numFmtId="183" fontId="23" fillId="0" borderId="0" applyFill="0" applyBorder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9" fontId="58" fillId="0" borderId="0"/>
    <xf numFmtId="0" fontId="13" fillId="0" borderId="0" applyFill="0" applyBorder="0">
      <alignment vertical="center"/>
    </xf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184" fontId="59" fillId="0" borderId="19"/>
    <xf numFmtId="0" fontId="60" fillId="0" borderId="20">
      <alignment horizontal="center"/>
    </xf>
    <xf numFmtId="3" fontId="34" fillId="0" borderId="0" applyFont="0" applyFill="0" applyBorder="0" applyAlignment="0" applyProtection="0"/>
    <xf numFmtId="0" fontId="34" fillId="37" borderId="0" applyNumberFormat="0" applyFont="0" applyBorder="0" applyAlignment="0" applyProtection="0"/>
    <xf numFmtId="185" fontId="23" fillId="0" borderId="0"/>
    <xf numFmtId="185" fontId="23" fillId="0" borderId="0"/>
    <xf numFmtId="185" fontId="23" fillId="0" borderId="0"/>
    <xf numFmtId="186" fontId="16" fillId="0" borderId="0" applyFill="0" applyBorder="0">
      <alignment horizontal="right" vertical="center"/>
    </xf>
    <xf numFmtId="187" fontId="16" fillId="0" borderId="0" applyFill="0" applyBorder="0">
      <alignment horizontal="right" vertical="center"/>
    </xf>
    <xf numFmtId="188" fontId="16" fillId="0" borderId="0" applyFill="0" applyBorder="0">
      <alignment horizontal="right" vertical="center"/>
    </xf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4" borderId="0" applyNumberFormat="0" applyFont="0" applyBorder="0" applyAlignment="0" applyProtection="0"/>
    <xf numFmtId="0" fontId="23" fillId="14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6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6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53" fillId="0" borderId="0"/>
    <xf numFmtId="0" fontId="62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63" fillId="9" borderId="7" applyBorder="0" applyProtection="0">
      <alignment horizontal="centerContinuous" vertical="center"/>
    </xf>
    <xf numFmtId="0" fontId="64" fillId="0" borderId="0" applyBorder="0" applyProtection="0">
      <alignment vertical="center"/>
    </xf>
    <xf numFmtId="0" fontId="65" fillId="0" borderId="0">
      <alignment horizontal="left"/>
    </xf>
    <xf numFmtId="0" fontId="65" fillId="0" borderId="10" applyFill="0" applyBorder="0" applyProtection="0">
      <alignment horizontal="left" vertical="top"/>
    </xf>
    <xf numFmtId="49" fontId="23" fillId="0" borderId="0" applyFont="0" applyFill="0" applyBorder="0" applyAlignment="0" applyProtection="0"/>
    <xf numFmtId="0" fontId="66" fillId="0" borderId="0"/>
    <xf numFmtId="49" fontId="23" fillId="0" borderId="0" applyFont="0" applyFill="0" applyBorder="0" applyAlignment="0" applyProtection="0"/>
    <xf numFmtId="0" fontId="67" fillId="0" borderId="0"/>
    <xf numFmtId="0" fontId="67" fillId="0" borderId="0"/>
    <xf numFmtId="0" fontId="66" fillId="0" borderId="0"/>
    <xf numFmtId="181" fontId="68" fillId="0" borderId="0"/>
    <xf numFmtId="0" fontId="61" fillId="0" borderId="0" applyNumberFormat="0" applyFill="0" applyBorder="0" applyAlignment="0" applyProtection="0"/>
    <xf numFmtId="0" fontId="69" fillId="0" borderId="0" applyFill="0" applyBorder="0">
      <alignment horizontal="left" vertical="center"/>
      <protection locked="0"/>
    </xf>
    <xf numFmtId="0" fontId="66" fillId="0" borderId="0"/>
    <xf numFmtId="0" fontId="70" fillId="0" borderId="0" applyFill="0" applyBorder="0">
      <alignment horizontal="left" vertical="center"/>
      <protection locked="0"/>
    </xf>
    <xf numFmtId="0" fontId="37" fillId="0" borderId="21" applyNumberFormat="0" applyFill="0" applyAlignment="0" applyProtection="0"/>
    <xf numFmtId="0" fontId="71" fillId="0" borderId="0" applyNumberFormat="0" applyFill="0" applyBorder="0" applyAlignment="0" applyProtection="0"/>
    <xf numFmtId="189" fontId="23" fillId="0" borderId="7" applyBorder="0" applyProtection="0">
      <alignment horizontal="right"/>
    </xf>
    <xf numFmtId="189" fontId="23" fillId="0" borderId="7" applyBorder="0" applyProtection="0">
      <alignment horizontal="right"/>
    </xf>
    <xf numFmtId="189" fontId="23" fillId="0" borderId="7" applyBorder="0" applyProtection="0">
      <alignment horizontal="right"/>
    </xf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7" fillId="42" borderId="0"/>
    <xf numFmtId="199" fontId="78" fillId="0" borderId="23">
      <alignment horizontal="center"/>
    </xf>
    <xf numFmtId="0" fontId="79" fillId="43" borderId="6">
      <alignment horizontal="center" vertical="center"/>
    </xf>
    <xf numFmtId="0" fontId="23" fillId="44" borderId="11"/>
    <xf numFmtId="0" fontId="80" fillId="0" borderId="0" applyFill="0" applyBorder="0"/>
    <xf numFmtId="0" fontId="81" fillId="0" borderId="0" applyNumberFormat="0" applyFill="0"/>
    <xf numFmtId="0" fontId="82" fillId="0" borderId="0" applyFill="0"/>
    <xf numFmtId="0" fontId="83" fillId="0" borderId="0" applyFill="0"/>
    <xf numFmtId="0" fontId="84" fillId="0" borderId="0" applyFill="0"/>
    <xf numFmtId="0" fontId="77" fillId="45" borderId="0"/>
    <xf numFmtId="0" fontId="23" fillId="38" borderId="24" applyNumberFormat="0" applyFont="0" applyAlignment="0"/>
    <xf numFmtId="0" fontId="85" fillId="7" borderId="25" applyNumberFormat="0"/>
    <xf numFmtId="0" fontId="86" fillId="46" borderId="0"/>
    <xf numFmtId="0" fontId="87" fillId="46" borderId="0" applyNumberFormat="0"/>
    <xf numFmtId="0" fontId="88" fillId="46" borderId="0"/>
    <xf numFmtId="0" fontId="89" fillId="47" borderId="6" applyNumberFormat="0">
      <alignment horizontal="center" vertical="center"/>
    </xf>
    <xf numFmtId="0" fontId="90" fillId="48" borderId="11" applyNumberFormat="0" applyAlignment="0">
      <alignment horizontal="right"/>
    </xf>
    <xf numFmtId="0" fontId="25" fillId="38" borderId="24" applyNumberFormat="0" applyAlignment="0"/>
    <xf numFmtId="0" fontId="78" fillId="0" borderId="0" applyNumberFormat="0" applyFill="0" applyBorder="0"/>
    <xf numFmtId="0" fontId="91" fillId="49" borderId="24" applyNumberFormat="0">
      <protection locked="0"/>
    </xf>
    <xf numFmtId="43" fontId="14" fillId="0" borderId="0" applyFont="0" applyFill="0" applyBorder="0" applyAlignment="0" applyProtection="0"/>
    <xf numFmtId="0" fontId="4" fillId="0" borderId="0"/>
    <xf numFmtId="0" fontId="23" fillId="0" borderId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51" borderId="0" applyFont="0" applyBorder="0" applyAlignment="0">
      <alignment horizontal="right"/>
      <protection locked="0"/>
    </xf>
    <xf numFmtId="164" fontId="23" fillId="10" borderId="0" applyFont="0" applyBorder="0">
      <alignment horizontal="right"/>
      <protection locked="0"/>
    </xf>
    <xf numFmtId="9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3" fillId="0" borderId="0"/>
    <xf numFmtId="0" fontId="86" fillId="53" borderId="0">
      <alignment horizontal="left" vertical="center"/>
      <protection locked="0"/>
    </xf>
    <xf numFmtId="0" fontId="93" fillId="52" borderId="0">
      <alignment vertical="center"/>
      <protection locked="0"/>
    </xf>
    <xf numFmtId="0" fontId="23" fillId="0" borderId="0" applyFill="0"/>
    <xf numFmtId="165" fontId="3" fillId="0" borderId="0" applyFont="0" applyFill="0" applyBorder="0" applyAlignment="0" applyProtection="0"/>
    <xf numFmtId="0" fontId="23" fillId="0" borderId="0"/>
    <xf numFmtId="177" fontId="23" fillId="0" borderId="0"/>
    <xf numFmtId="0" fontId="94" fillId="0" borderId="0"/>
    <xf numFmtId="0" fontId="94" fillId="0" borderId="0"/>
    <xf numFmtId="9" fontId="3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4" fontId="23" fillId="4" borderId="0" applyNumberFormat="0" applyFont="0" applyBorder="0" applyAlignment="0">
      <alignment horizontal="right"/>
    </xf>
    <xf numFmtId="164" fontId="23" fillId="4" borderId="0" applyNumberFormat="0" applyFont="0" applyBorder="0" applyAlignment="0">
      <alignment horizontal="right"/>
    </xf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10" borderId="0" applyFont="0" applyBorder="0">
      <alignment horizontal="right"/>
      <protection locked="0"/>
    </xf>
    <xf numFmtId="166" fontId="35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13" fillId="0" borderId="0" applyFill="0" applyBorder="0">
      <alignment vertical="center"/>
    </xf>
    <xf numFmtId="166" fontId="23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23" fillId="0" borderId="0" applyFont="0" applyFill="0" applyBorder="0" applyAlignment="0" applyProtection="0"/>
    <xf numFmtId="205" fontId="23" fillId="10" borderId="0" applyFont="0" applyBorder="0">
      <alignment horizontal="right"/>
    </xf>
    <xf numFmtId="164" fontId="23" fillId="36" borderId="0" applyFont="0" applyBorder="0" applyAlignment="0">
      <alignment horizontal="right"/>
      <protection locked="0"/>
    </xf>
    <xf numFmtId="164" fontId="23" fillId="51" borderId="0" applyFont="0" applyBorder="0" applyAlignment="0">
      <alignment horizontal="right"/>
      <protection locked="0"/>
    </xf>
    <xf numFmtId="164" fontId="23" fillId="10" borderId="0" applyFont="0" applyBorder="0">
      <alignment horizontal="right"/>
      <protection locked="0"/>
    </xf>
    <xf numFmtId="164" fontId="23" fillId="4" borderId="0" applyNumberFormat="0" applyFont="0" applyBorder="0" applyAlignment="0">
      <alignment horizontal="right"/>
    </xf>
    <xf numFmtId="164" fontId="23" fillId="4" borderId="0" applyNumberFormat="0" applyFont="0" applyBorder="0" applyAlignment="0">
      <alignment horizontal="right"/>
    </xf>
    <xf numFmtId="0" fontId="3" fillId="0" borderId="0"/>
    <xf numFmtId="0" fontId="3" fillId="0" borderId="0"/>
    <xf numFmtId="166" fontId="14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10" borderId="0" applyFont="0" applyBorder="0">
      <alignment horizontal="right"/>
      <protection locked="0"/>
    </xf>
    <xf numFmtId="166" fontId="23" fillId="0" borderId="0" applyFont="0" applyFill="0" applyBorder="0" applyAlignment="0" applyProtection="0"/>
    <xf numFmtId="0" fontId="3" fillId="0" borderId="0"/>
    <xf numFmtId="9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0" fontId="3" fillId="0" borderId="0"/>
    <xf numFmtId="0" fontId="23" fillId="0" borderId="0"/>
    <xf numFmtId="165" fontId="23" fillId="0" borderId="0" applyFont="0" applyFill="0" applyBorder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22" fillId="0" borderId="0"/>
    <xf numFmtId="0" fontId="3" fillId="0" borderId="0"/>
    <xf numFmtId="0" fontId="3" fillId="0" borderId="0"/>
    <xf numFmtId="0" fontId="63" fillId="9" borderId="30" applyBorder="0" applyProtection="0">
      <alignment horizontal="centerContinuous" vertical="center"/>
    </xf>
    <xf numFmtId="189" fontId="23" fillId="0" borderId="30" applyBorder="0" applyProtection="0">
      <alignment horizontal="right"/>
    </xf>
    <xf numFmtId="189" fontId="23" fillId="0" borderId="30" applyBorder="0" applyProtection="0">
      <alignment horizontal="right"/>
    </xf>
    <xf numFmtId="177" fontId="23" fillId="0" borderId="0"/>
    <xf numFmtId="0" fontId="3" fillId="0" borderId="0">
      <protection locked="0"/>
    </xf>
    <xf numFmtId="206" fontId="23" fillId="54" borderId="32" applyFill="0">
      <alignment horizontal="right" vertical="center" wrapText="1"/>
      <protection locked="0"/>
    </xf>
    <xf numFmtId="206" fontId="90" fillId="55" borderId="31">
      <alignment horizontal="right" vertical="center" wrapText="1"/>
    </xf>
    <xf numFmtId="0" fontId="3" fillId="0" borderId="0"/>
    <xf numFmtId="0" fontId="97" fillId="0" borderId="0"/>
    <xf numFmtId="9" fontId="3" fillId="0" borderId="0" applyFont="0" applyFill="0" applyBorder="0" applyAlignment="0" applyProtection="0"/>
    <xf numFmtId="0" fontId="33" fillId="31" borderId="12" applyNumberFormat="0" applyAlignment="0" applyProtection="0"/>
    <xf numFmtId="0" fontId="3" fillId="0" borderId="0"/>
    <xf numFmtId="0" fontId="3" fillId="0" borderId="0"/>
    <xf numFmtId="0" fontId="23" fillId="0" borderId="0" applyFill="0"/>
    <xf numFmtId="0" fontId="3" fillId="0" borderId="0"/>
    <xf numFmtId="0" fontId="86" fillId="53" borderId="0">
      <alignment horizontal="left" vertical="center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205" fontId="23" fillId="10" borderId="0" applyFont="0" applyBorder="0">
      <alignment horizontal="right"/>
    </xf>
    <xf numFmtId="179" fontId="23" fillId="10" borderId="0" applyFont="0" applyBorder="0" applyAlignment="0"/>
    <xf numFmtId="164" fontId="23" fillId="51" borderId="0" applyFont="0" applyBorder="0" applyAlignment="0">
      <alignment horizontal="right"/>
      <protection locked="0"/>
    </xf>
    <xf numFmtId="10" fontId="23" fillId="51" borderId="0" applyFont="0" applyBorder="0">
      <alignment horizontal="right"/>
      <protection locked="0"/>
    </xf>
    <xf numFmtId="3" fontId="23" fillId="56" borderId="0" applyFont="0" applyBorder="0">
      <protection locked="0"/>
    </xf>
    <xf numFmtId="179" fontId="43" fillId="56" borderId="0" applyBorder="0" applyAlignment="0">
      <protection locked="0"/>
    </xf>
    <xf numFmtId="179" fontId="99" fillId="57" borderId="0" applyBorder="0" applyAlignment="0"/>
    <xf numFmtId="205" fontId="96" fillId="4" borderId="29" applyFont="0" applyBorder="0" applyAlignment="0"/>
    <xf numFmtId="179" fontId="43" fillId="4" borderId="0" applyFont="0" applyBorder="0" applyAlignment="0"/>
    <xf numFmtId="0" fontId="3" fillId="0" borderId="0">
      <protection locked="0"/>
    </xf>
    <xf numFmtId="0" fontId="23" fillId="0" borderId="0"/>
    <xf numFmtId="166" fontId="23" fillId="0" borderId="0" applyFont="0" applyFill="0" applyBorder="0" applyAlignment="0" applyProtection="0"/>
    <xf numFmtId="0" fontId="3" fillId="0" borderId="0"/>
    <xf numFmtId="0" fontId="23" fillId="3" borderId="0"/>
    <xf numFmtId="0" fontId="3" fillId="0" borderId="0"/>
    <xf numFmtId="0" fontId="3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14" fillId="0" borderId="0"/>
    <xf numFmtId="164" fontId="23" fillId="36" borderId="0" applyFont="0" applyBorder="0" applyAlignment="0">
      <alignment horizontal="right"/>
      <protection locked="0"/>
    </xf>
    <xf numFmtId="9" fontId="23" fillId="0" borderId="0" applyFont="0" applyFill="0" applyBorder="0" applyAlignment="0" applyProtection="0"/>
    <xf numFmtId="164" fontId="23" fillId="36" borderId="0" applyFont="0" applyBorder="0" applyAlignment="0">
      <alignment horizontal="right"/>
      <protection locked="0"/>
    </xf>
    <xf numFmtId="0" fontId="23" fillId="0" borderId="0"/>
    <xf numFmtId="166" fontId="23" fillId="0" borderId="0" applyFont="0" applyFill="0" applyBorder="0" applyAlignment="0" applyProtection="0"/>
    <xf numFmtId="207" fontId="100" fillId="58" borderId="33" applyBorder="0">
      <alignment horizontal="right"/>
      <protection locked="0"/>
    </xf>
    <xf numFmtId="43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6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6" fillId="2" borderId="1" xfId="0" applyFont="1" applyFill="1" applyBorder="1"/>
    <xf numFmtId="167" fontId="7" fillId="3" borderId="0" xfId="0" applyNumberFormat="1" applyFont="1" applyFill="1"/>
    <xf numFmtId="167" fontId="8" fillId="0" borderId="0" xfId="0" applyNumberFormat="1" applyFont="1"/>
    <xf numFmtId="167" fontId="7" fillId="0" borderId="0" xfId="0" applyNumberFormat="1" applyFont="1"/>
    <xf numFmtId="167" fontId="9" fillId="0" borderId="0" xfId="0" applyNumberFormat="1" applyFont="1"/>
    <xf numFmtId="167" fontId="10" fillId="0" borderId="0" xfId="0" applyNumberFormat="1" applyFont="1"/>
    <xf numFmtId="0" fontId="7" fillId="5" borderId="0" xfId="0" applyFont="1" applyFill="1"/>
    <xf numFmtId="0" fontId="7" fillId="6" borderId="0" xfId="0" applyFont="1" applyFill="1"/>
    <xf numFmtId="167" fontId="13" fillId="0" borderId="0" xfId="0" applyNumberFormat="1" applyFont="1"/>
    <xf numFmtId="167" fontId="9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left" indent="1"/>
    </xf>
    <xf numFmtId="167" fontId="8" fillId="0" borderId="0" xfId="0" applyNumberFormat="1" applyFont="1" applyAlignment="1">
      <alignment horizontal="center"/>
    </xf>
    <xf numFmtId="167" fontId="0" fillId="0" borderId="0" xfId="0" applyNumberFormat="1"/>
    <xf numFmtId="43" fontId="13" fillId="0" borderId="6" xfId="0" applyNumberFormat="1" applyFont="1" applyBorder="1" applyAlignment="1">
      <alignment horizontal="center"/>
    </xf>
    <xf numFmtId="167" fontId="18" fillId="0" borderId="0" xfId="3" applyNumberFormat="1" applyFont="1" applyAlignment="1" applyProtection="1"/>
    <xf numFmtId="167" fontId="8" fillId="3" borderId="0" xfId="0" applyNumberFormat="1" applyFont="1" applyFill="1"/>
    <xf numFmtId="167" fontId="19" fillId="0" borderId="0" xfId="0" applyNumberFormat="1" applyFont="1" applyAlignment="1">
      <alignment horizontal="center"/>
    </xf>
    <xf numFmtId="170" fontId="16" fillId="0" borderId="0" xfId="5" applyNumberFormat="1" applyBorder="1" applyAlignment="1" applyProtection="1">
      <alignment horizontal="center" vertical="center"/>
    </xf>
    <xf numFmtId="171" fontId="13" fillId="0" borderId="0" xfId="5" applyNumberFormat="1" applyFont="1" applyBorder="1" applyAlignment="1" applyProtection="1">
      <alignment horizontal="center" vertical="center"/>
    </xf>
    <xf numFmtId="171" fontId="21" fillId="0" borderId="0" xfId="5" applyNumberFormat="1" applyFont="1" applyBorder="1" applyAlignment="1" applyProtection="1">
      <alignment horizontal="center" vertical="center"/>
    </xf>
    <xf numFmtId="172" fontId="7" fillId="0" borderId="0" xfId="0" applyNumberFormat="1" applyFont="1"/>
    <xf numFmtId="174" fontId="16" fillId="0" borderId="0" xfId="5" applyNumberFormat="1" applyBorder="1" applyAlignment="1" applyProtection="1">
      <alignment horizontal="center" vertical="center"/>
    </xf>
    <xf numFmtId="167" fontId="8" fillId="3" borderId="0" xfId="0" applyNumberFormat="1" applyFont="1" applyFill="1" applyAlignment="1">
      <alignment horizontal="center"/>
    </xf>
    <xf numFmtId="167" fontId="18" fillId="0" borderId="0" xfId="3" applyNumberFormat="1" applyFont="1" applyAlignment="1" applyProtection="1">
      <alignment horizontal="center"/>
    </xf>
    <xf numFmtId="0" fontId="72" fillId="38" borderId="0" xfId="0" applyFont="1" applyFill="1" applyAlignment="1">
      <alignment horizontal="left" vertical="center"/>
    </xf>
    <xf numFmtId="0" fontId="72" fillId="38" borderId="0" xfId="0" applyFont="1" applyFill="1" applyAlignment="1">
      <alignment horizontal="left" indent="9"/>
    </xf>
    <xf numFmtId="0" fontId="73" fillId="38" borderId="0" xfId="0" applyFont="1" applyFill="1"/>
    <xf numFmtId="0" fontId="0" fillId="38" borderId="0" xfId="0" applyFill="1"/>
    <xf numFmtId="0" fontId="0" fillId="38" borderId="0" xfId="0" applyFill="1" applyAlignment="1">
      <alignment horizontal="right"/>
    </xf>
    <xf numFmtId="43" fontId="24" fillId="38" borderId="0" xfId="0" applyNumberFormat="1" applyFont="1" applyFill="1" applyAlignment="1">
      <alignment horizontal="center"/>
    </xf>
    <xf numFmtId="0" fontId="74" fillId="38" borderId="1" xfId="0" applyFont="1" applyFill="1" applyBorder="1" applyAlignment="1">
      <alignment horizontal="left"/>
    </xf>
    <xf numFmtId="0" fontId="0" fillId="38" borderId="1" xfId="0" applyFill="1" applyBorder="1"/>
    <xf numFmtId="0" fontId="0" fillId="39" borderId="4" xfId="0" applyFill="1" applyBorder="1"/>
    <xf numFmtId="0" fontId="25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44" fontId="25" fillId="39" borderId="4" xfId="0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24" fillId="39" borderId="4" xfId="0" applyFont="1" applyFill="1" applyBorder="1"/>
    <xf numFmtId="16" fontId="7" fillId="41" borderId="3" xfId="0" applyNumberFormat="1" applyFont="1" applyFill="1" applyBorder="1" applyAlignment="1" applyProtection="1">
      <alignment horizontal="center"/>
      <protection locked="0"/>
    </xf>
    <xf numFmtId="0" fontId="74" fillId="38" borderId="0" xfId="0" applyFont="1" applyFill="1" applyAlignment="1">
      <alignment horizontal="left"/>
    </xf>
    <xf numFmtId="0" fontId="74" fillId="38" borderId="0" xfId="0" applyFont="1" applyFill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Border="1"/>
    <xf numFmtId="0" fontId="7" fillId="40" borderId="0" xfId="0" applyFont="1" applyFill="1" applyAlignment="1">
      <alignment horizontal="center"/>
    </xf>
    <xf numFmtId="10" fontId="7" fillId="41" borderId="3" xfId="2" applyNumberFormat="1" applyFont="1" applyFill="1" applyBorder="1" applyAlignment="1" applyProtection="1">
      <alignment horizontal="center"/>
      <protection locked="0"/>
    </xf>
    <xf numFmtId="49" fontId="7" fillId="41" borderId="3" xfId="0" applyNumberFormat="1" applyFont="1" applyFill="1" applyBorder="1" applyAlignment="1" applyProtection="1">
      <alignment horizontal="left" indent="1"/>
      <protection locked="0"/>
    </xf>
    <xf numFmtId="167" fontId="19" fillId="0" borderId="0" xfId="0" applyNumberFormat="1" applyFont="1" applyAlignment="1">
      <alignment horizontal="center" wrapText="1"/>
    </xf>
    <xf numFmtId="190" fontId="7" fillId="41" borderId="3" xfId="0" applyNumberFormat="1" applyFont="1" applyFill="1" applyBorder="1" applyAlignment="1" applyProtection="1">
      <alignment horizontal="center"/>
      <protection locked="0"/>
    </xf>
    <xf numFmtId="194" fontId="7" fillId="0" borderId="0" xfId="0" applyNumberFormat="1" applyFont="1" applyAlignment="1">
      <alignment horizontal="left"/>
    </xf>
    <xf numFmtId="192" fontId="7" fillId="0" borderId="0" xfId="0" applyNumberFormat="1" applyFont="1"/>
    <xf numFmtId="167" fontId="8" fillId="0" borderId="0" xfId="0" applyNumberFormat="1" applyFont="1" applyAlignment="1">
      <alignment horizontal="center" wrapText="1"/>
    </xf>
    <xf numFmtId="167" fontId="20" fillId="40" borderId="9" xfId="0" applyNumberFormat="1" applyFont="1" applyFill="1" applyBorder="1" applyAlignment="1" applyProtection="1">
      <alignment horizontal="center"/>
      <protection locked="0"/>
    </xf>
    <xf numFmtId="0" fontId="74" fillId="38" borderId="1" xfId="0" applyFont="1" applyFill="1" applyBorder="1" applyAlignment="1">
      <alignment horizontal="left" indent="9"/>
    </xf>
    <xf numFmtId="0" fontId="24" fillId="38" borderId="2" xfId="0" applyFont="1" applyFill="1" applyBorder="1"/>
    <xf numFmtId="0" fontId="75" fillId="38" borderId="2" xfId="0" applyFont="1" applyFill="1" applyBorder="1"/>
    <xf numFmtId="0" fontId="75" fillId="39" borderId="4" xfId="0" applyFont="1" applyFill="1" applyBorder="1"/>
    <xf numFmtId="0" fontId="75" fillId="39" borderId="4" xfId="0" applyFont="1" applyFill="1" applyBorder="1" applyAlignment="1">
      <alignment horizontal="center"/>
    </xf>
    <xf numFmtId="0" fontId="20" fillId="39" borderId="4" xfId="0" applyFont="1" applyFill="1" applyBorder="1" applyAlignment="1">
      <alignment horizontal="center" vertical="center"/>
    </xf>
    <xf numFmtId="0" fontId="20" fillId="39" borderId="4" xfId="0" applyFont="1" applyFill="1" applyBorder="1" applyAlignment="1">
      <alignment vertical="center"/>
    </xf>
    <xf numFmtId="0" fontId="75" fillId="39" borderId="4" xfId="0" applyFont="1" applyFill="1" applyBorder="1" applyAlignment="1">
      <alignment wrapText="1"/>
    </xf>
    <xf numFmtId="44" fontId="20" fillId="39" borderId="4" xfId="0" applyNumberFormat="1" applyFont="1" applyFill="1" applyBorder="1" applyAlignment="1">
      <alignment horizontal="center" wrapText="1"/>
    </xf>
    <xf numFmtId="0" fontId="75" fillId="3" borderId="0" xfId="0" applyFont="1" applyFill="1" applyAlignment="1">
      <alignment wrapText="1"/>
    </xf>
    <xf numFmtId="0" fontId="75" fillId="3" borderId="0" xfId="0" applyFont="1" applyFill="1"/>
    <xf numFmtId="0" fontId="75" fillId="0" borderId="0" xfId="0" applyFont="1"/>
    <xf numFmtId="167" fontId="7" fillId="0" borderId="0" xfId="0" applyNumberFormat="1" applyFont="1" applyAlignment="1">
      <alignment horizontal="center"/>
    </xf>
    <xf numFmtId="167" fontId="18" fillId="0" borderId="0" xfId="3" applyNumberFormat="1" applyFont="1" applyFill="1" applyAlignment="1" applyProtection="1">
      <alignment horizontal="center"/>
    </xf>
    <xf numFmtId="195" fontId="7" fillId="0" borderId="0" xfId="0" applyNumberFormat="1" applyFont="1" applyAlignment="1">
      <alignment horizontal="center"/>
    </xf>
    <xf numFmtId="167" fontId="9" fillId="0" borderId="8" xfId="0" applyNumberFormat="1" applyFont="1" applyBorder="1" applyAlignment="1">
      <alignment horizontal="left" indent="1"/>
    </xf>
    <xf numFmtId="167" fontId="8" fillId="0" borderId="8" xfId="0" applyNumberFormat="1" applyFont="1" applyBorder="1" applyAlignment="1">
      <alignment horizontal="center"/>
    </xf>
    <xf numFmtId="195" fontId="9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horizontal="left"/>
    </xf>
    <xf numFmtId="10" fontId="7" fillId="0" borderId="0" xfId="2" applyNumberFormat="1" applyFont="1" applyAlignment="1" applyProtection="1">
      <alignment horizontal="center"/>
    </xf>
    <xf numFmtId="167" fontId="9" fillId="0" borderId="8" xfId="0" applyNumberFormat="1" applyFont="1" applyBorder="1"/>
    <xf numFmtId="173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left" indent="2"/>
    </xf>
    <xf numFmtId="167" fontId="19" fillId="0" borderId="8" xfId="0" applyNumberFormat="1" applyFont="1" applyBorder="1" applyAlignment="1">
      <alignment horizontal="center"/>
    </xf>
    <xf numFmtId="167" fontId="9" fillId="0" borderId="0" xfId="0" applyNumberFormat="1" applyFont="1" applyAlignment="1">
      <alignment horizontal="left" indent="1"/>
    </xf>
    <xf numFmtId="192" fontId="9" fillId="0" borderId="0" xfId="0" applyNumberFormat="1" applyFont="1" applyAlignment="1">
      <alignment horizontal="center"/>
    </xf>
    <xf numFmtId="198" fontId="7" fillId="0" borderId="0" xfId="0" applyNumberFormat="1" applyFont="1" applyAlignment="1">
      <alignment horizontal="center"/>
    </xf>
    <xf numFmtId="198" fontId="9" fillId="0" borderId="0" xfId="0" applyNumberFormat="1" applyFont="1" applyAlignment="1">
      <alignment horizontal="center"/>
    </xf>
    <xf numFmtId="196" fontId="13" fillId="0" borderId="4" xfId="5" applyNumberFormat="1" applyFont="1" applyBorder="1" applyAlignment="1" applyProtection="1">
      <alignment horizontal="center" vertical="center"/>
    </xf>
    <xf numFmtId="49" fontId="8" fillId="41" borderId="22" xfId="0" applyNumberFormat="1" applyFont="1" applyFill="1" applyBorder="1" applyAlignment="1" applyProtection="1">
      <alignment horizontal="center"/>
      <protection locked="0"/>
    </xf>
    <xf numFmtId="43" fontId="13" fillId="0" borderId="3" xfId="0" applyNumberFormat="1" applyFont="1" applyBorder="1" applyAlignment="1">
      <alignment horizontal="center"/>
    </xf>
    <xf numFmtId="43" fontId="13" fillId="0" borderId="0" xfId="0" applyNumberFormat="1" applyFont="1" applyAlignment="1">
      <alignment horizontal="center"/>
    </xf>
    <xf numFmtId="0" fontId="11" fillId="38" borderId="2" xfId="0" applyFont="1" applyFill="1" applyBorder="1"/>
    <xf numFmtId="0" fontId="12" fillId="38" borderId="2" xfId="0" applyFont="1" applyFill="1" applyBorder="1" applyAlignment="1">
      <alignment horizontal="center"/>
    </xf>
    <xf numFmtId="0" fontId="12" fillId="38" borderId="2" xfId="0" applyFont="1" applyFill="1" applyBorder="1"/>
    <xf numFmtId="167" fontId="9" fillId="0" borderId="4" xfId="0" applyNumberFormat="1" applyFont="1" applyBorder="1" applyAlignment="1">
      <alignment horizontal="left"/>
    </xf>
    <xf numFmtId="167" fontId="8" fillId="0" borderId="4" xfId="0" applyNumberFormat="1" applyFont="1" applyBorder="1" applyAlignment="1">
      <alignment horizontal="center"/>
    </xf>
    <xf numFmtId="43" fontId="7" fillId="0" borderId="0" xfId="0" applyNumberFormat="1" applyFont="1"/>
    <xf numFmtId="10" fontId="7" fillId="0" borderId="0" xfId="2" applyNumberFormat="1" applyFont="1" applyBorder="1" applyAlignment="1" applyProtection="1">
      <alignment horizontal="center"/>
    </xf>
    <xf numFmtId="167" fontId="8" fillId="0" borderId="0" xfId="6" applyNumberFormat="1" applyFont="1" applyAlignment="1" applyProtection="1">
      <alignment horizontal="center"/>
    </xf>
    <xf numFmtId="173" fontId="7" fillId="0" borderId="0" xfId="0" applyNumberFormat="1" applyFont="1"/>
    <xf numFmtId="191" fontId="7" fillId="8" borderId="3" xfId="0" applyNumberFormat="1" applyFont="1" applyFill="1" applyBorder="1" applyAlignment="1">
      <alignment horizontal="left" indent="1"/>
    </xf>
    <xf numFmtId="0" fontId="76" fillId="39" borderId="4" xfId="0" applyFont="1" applyFill="1" applyBorder="1"/>
    <xf numFmtId="193" fontId="8" fillId="41" borderId="3" xfId="2" applyNumberFormat="1" applyFont="1" applyFill="1" applyBorder="1" applyAlignment="1" applyProtection="1">
      <alignment horizontal="center"/>
      <protection locked="0"/>
    </xf>
    <xf numFmtId="197" fontId="9" fillId="0" borderId="0" xfId="0" applyNumberFormat="1" applyFont="1" applyAlignment="1">
      <alignment horizontal="center"/>
    </xf>
    <xf numFmtId="167" fontId="7" fillId="0" borderId="0" xfId="0" applyNumberFormat="1" applyFont="1" applyProtection="1">
      <protection locked="0"/>
    </xf>
    <xf numFmtId="200" fontId="7" fillId="41" borderId="3" xfId="0" applyNumberFormat="1" applyFont="1" applyFill="1" applyBorder="1" applyAlignment="1" applyProtection="1">
      <alignment horizontal="center"/>
      <protection locked="0"/>
    </xf>
    <xf numFmtId="1" fontId="7" fillId="41" borderId="3" xfId="0" applyNumberFormat="1" applyFont="1" applyFill="1" applyBorder="1" applyAlignment="1" applyProtection="1">
      <alignment horizontal="center"/>
      <protection locked="0"/>
    </xf>
    <xf numFmtId="201" fontId="75" fillId="39" borderId="4" xfId="0" applyNumberFormat="1" applyFont="1" applyFill="1" applyBorder="1" applyAlignment="1">
      <alignment horizontal="center" wrapText="1"/>
    </xf>
    <xf numFmtId="201" fontId="92" fillId="38" borderId="2" xfId="0" applyNumberFormat="1" applyFont="1" applyFill="1" applyBorder="1" applyAlignment="1">
      <alignment horizontal="center"/>
    </xf>
    <xf numFmtId="201" fontId="75" fillId="38" borderId="2" xfId="0" applyNumberFormat="1" applyFont="1" applyFill="1" applyBorder="1" applyAlignment="1">
      <alignment horizontal="left"/>
    </xf>
    <xf numFmtId="201" fontId="7" fillId="0" borderId="0" xfId="0" applyNumberFormat="1" applyFont="1" applyAlignment="1">
      <alignment horizontal="left" indent="1"/>
    </xf>
    <xf numFmtId="201" fontId="8" fillId="0" borderId="0" xfId="0" applyNumberFormat="1" applyFont="1" applyAlignment="1">
      <alignment horizontal="center"/>
    </xf>
    <xf numFmtId="201" fontId="8" fillId="41" borderId="22" xfId="0" applyNumberFormat="1" applyFont="1" applyFill="1" applyBorder="1" applyAlignment="1" applyProtection="1">
      <alignment horizontal="center"/>
      <protection locked="0"/>
    </xf>
    <xf numFmtId="201" fontId="9" fillId="0" borderId="0" xfId="0" applyNumberFormat="1" applyFont="1" applyAlignment="1">
      <alignment horizontal="center"/>
    </xf>
    <xf numFmtId="2" fontId="7" fillId="0" borderId="0" xfId="0" applyNumberFormat="1" applyFont="1" applyAlignment="1" applyProtection="1">
      <alignment horizontal="center"/>
      <protection locked="0"/>
    </xf>
    <xf numFmtId="167" fontId="15" fillId="0" borderId="0" xfId="3" applyNumberFormat="1" applyAlignment="1" applyProtection="1">
      <alignment horizontal="center"/>
    </xf>
    <xf numFmtId="10" fontId="7" fillId="41" borderId="26" xfId="2" applyNumberFormat="1" applyFont="1" applyFill="1" applyBorder="1" applyAlignment="1" applyProtection="1">
      <alignment horizontal="center"/>
      <protection locked="0"/>
    </xf>
    <xf numFmtId="10" fontId="7" fillId="0" borderId="0" xfId="2" applyNumberFormat="1" applyFont="1" applyFill="1" applyBorder="1" applyAlignment="1" applyProtection="1">
      <alignment horizontal="center"/>
      <protection locked="0"/>
    </xf>
    <xf numFmtId="193" fontId="7" fillId="0" borderId="0" xfId="2" applyNumberFormat="1" applyFont="1" applyFill="1" applyBorder="1" applyAlignment="1" applyProtection="1">
      <alignment horizontal="center"/>
      <protection locked="0"/>
    </xf>
    <xf numFmtId="201" fontId="7" fillId="41" borderId="3" xfId="2" applyNumberFormat="1" applyFont="1" applyFill="1" applyBorder="1" applyAlignment="1" applyProtection="1">
      <alignment horizontal="center"/>
      <protection locked="0"/>
    </xf>
    <xf numFmtId="0" fontId="75" fillId="38" borderId="27" xfId="0" applyFont="1" applyFill="1" applyBorder="1"/>
    <xf numFmtId="201" fontId="19" fillId="0" borderId="0" xfId="0" applyNumberFormat="1" applyFont="1" applyAlignment="1">
      <alignment horizontal="center"/>
    </xf>
    <xf numFmtId="202" fontId="7" fillId="0" borderId="0" xfId="2" applyNumberFormat="1" applyFont="1" applyFill="1" applyBorder="1" applyAlignment="1" applyProtection="1">
      <alignment horizontal="center"/>
    </xf>
    <xf numFmtId="0" fontId="15" fillId="38" borderId="0" xfId="3" applyFill="1" applyBorder="1" applyAlignment="1">
      <alignment horizontal="right"/>
    </xf>
    <xf numFmtId="0" fontId="75" fillId="38" borderId="2" xfId="0" applyFont="1" applyFill="1" applyBorder="1" applyAlignment="1">
      <alignment horizontal="center"/>
    </xf>
    <xf numFmtId="0" fontId="7" fillId="0" borderId="3" xfId="0" applyFont="1" applyBorder="1" applyAlignment="1" applyProtection="1">
      <alignment horizontal="center"/>
      <protection locked="0"/>
    </xf>
    <xf numFmtId="1" fontId="7" fillId="0" borderId="3" xfId="0" applyNumberFormat="1" applyFont="1" applyBorder="1" applyAlignment="1" applyProtection="1">
      <alignment horizontal="center"/>
      <protection locked="0"/>
    </xf>
    <xf numFmtId="201" fontId="7" fillId="0" borderId="3" xfId="0" applyNumberFormat="1" applyFont="1" applyBorder="1" applyAlignment="1" applyProtection="1">
      <alignment horizontal="center"/>
      <protection locked="0"/>
    </xf>
    <xf numFmtId="2" fontId="13" fillId="0" borderId="4" xfId="5" applyNumberFormat="1" applyFont="1" applyBorder="1" applyAlignment="1" applyProtection="1">
      <alignment horizontal="center" vertical="center"/>
    </xf>
    <xf numFmtId="0" fontId="15" fillId="38" borderId="0" xfId="3" applyFill="1" applyBorder="1" applyAlignment="1" applyProtection="1">
      <alignment horizontal="right"/>
    </xf>
    <xf numFmtId="192" fontId="7" fillId="0" borderId="0" xfId="0" applyNumberFormat="1" applyFont="1" applyProtection="1">
      <protection locked="0"/>
    </xf>
    <xf numFmtId="192" fontId="9" fillId="0" borderId="0" xfId="0" applyNumberFormat="1" applyFont="1" applyProtection="1">
      <protection locked="0"/>
    </xf>
    <xf numFmtId="49" fontId="8" fillId="0" borderId="22" xfId="0" applyNumberFormat="1" applyFont="1" applyBorder="1" applyAlignment="1">
      <alignment horizontal="center"/>
    </xf>
    <xf numFmtId="201" fontId="8" fillId="0" borderId="22" xfId="0" applyNumberFormat="1" applyFont="1" applyBorder="1" applyAlignment="1">
      <alignment horizontal="center"/>
    </xf>
    <xf numFmtId="10" fontId="7" fillId="0" borderId="0" xfId="2" applyNumberFormat="1" applyFont="1" applyFill="1" applyBorder="1" applyAlignment="1" applyProtection="1">
      <alignment horizontal="center"/>
    </xf>
    <xf numFmtId="179" fontId="7" fillId="0" borderId="0" xfId="2" applyNumberFormat="1" applyFont="1" applyAlignment="1" applyProtection="1">
      <alignment horizontal="center"/>
      <protection locked="0"/>
    </xf>
    <xf numFmtId="171" fontId="13" fillId="0" borderId="0" xfId="5" applyNumberFormat="1" applyFont="1" applyBorder="1" applyAlignment="1">
      <alignment horizontal="center" vertical="center"/>
      <protection locked="0"/>
    </xf>
    <xf numFmtId="167" fontId="16" fillId="0" borderId="0" xfId="5" applyNumberFormat="1" applyBorder="1" applyAlignment="1">
      <alignment horizontal="center" vertical="center"/>
      <protection locked="0"/>
    </xf>
    <xf numFmtId="167" fontId="7" fillId="0" borderId="0" xfId="0" applyNumberFormat="1" applyFont="1" applyAlignment="1" applyProtection="1">
      <alignment horizontal="center"/>
      <protection locked="0"/>
    </xf>
    <xf numFmtId="49" fontId="7" fillId="0" borderId="3" xfId="0" applyNumberFormat="1" applyFont="1" applyBorder="1" applyAlignment="1" applyProtection="1">
      <alignment horizontal="left" indent="1"/>
      <protection locked="0"/>
    </xf>
    <xf numFmtId="201" fontId="7" fillId="0" borderId="0" xfId="2" applyNumberFormat="1" applyFont="1" applyFill="1" applyBorder="1" applyAlignment="1" applyProtection="1">
      <alignment horizontal="center"/>
      <protection locked="0"/>
    </xf>
    <xf numFmtId="179" fontId="7" fillId="0" borderId="0" xfId="2" applyNumberFormat="1" applyFont="1" applyFill="1" applyBorder="1" applyAlignment="1" applyProtection="1">
      <alignment horizontal="center"/>
      <protection locked="0"/>
    </xf>
    <xf numFmtId="201" fontId="8" fillId="0" borderId="22" xfId="0" applyNumberFormat="1" applyFont="1" applyBorder="1" applyAlignment="1" applyProtection="1">
      <alignment horizontal="center"/>
      <protection locked="0"/>
    </xf>
    <xf numFmtId="167" fontId="8" fillId="0" borderId="0" xfId="0" applyNumberFormat="1" applyFont="1" applyAlignment="1" applyProtection="1">
      <alignment horizontal="center"/>
      <protection locked="0"/>
    </xf>
    <xf numFmtId="201" fontId="20" fillId="8" borderId="9" xfId="0" applyNumberFormat="1" applyFont="1" applyFill="1" applyBorder="1" applyAlignment="1" applyProtection="1">
      <alignment horizontal="center"/>
      <protection locked="0"/>
    </xf>
    <xf numFmtId="203" fontId="7" fillId="0" borderId="0" xfId="0" applyNumberFormat="1" applyFont="1" applyProtection="1">
      <protection locked="0"/>
    </xf>
    <xf numFmtId="10" fontId="7" fillId="0" borderId="0" xfId="2" applyNumberFormat="1" applyFont="1" applyProtection="1">
      <protection locked="0"/>
    </xf>
    <xf numFmtId="201" fontId="16" fillId="8" borderId="9" xfId="0" applyNumberFormat="1" applyFont="1" applyFill="1" applyBorder="1" applyAlignment="1" applyProtection="1">
      <alignment horizontal="center"/>
      <protection locked="0"/>
    </xf>
    <xf numFmtId="191" fontId="9" fillId="8" borderId="28" xfId="0" applyNumberFormat="1" applyFont="1" applyFill="1" applyBorder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201" fontId="7" fillId="0" borderId="0" xfId="0" applyNumberFormat="1" applyFont="1" applyAlignment="1" applyProtection="1">
      <alignment horizontal="center"/>
      <protection locked="0"/>
    </xf>
    <xf numFmtId="167" fontId="8" fillId="41" borderId="3" xfId="0" applyNumberFormat="1" applyFont="1" applyFill="1" applyBorder="1" applyAlignment="1">
      <alignment horizontal="center"/>
    </xf>
    <xf numFmtId="201" fontId="8" fillId="41" borderId="3" xfId="0" applyNumberFormat="1" applyFont="1" applyFill="1" applyBorder="1" applyAlignment="1">
      <alignment horizontal="center"/>
    </xf>
    <xf numFmtId="0" fontId="73" fillId="38" borderId="0" xfId="3" applyFont="1" applyFill="1" applyBorder="1" applyAlignment="1" applyProtection="1"/>
    <xf numFmtId="10" fontId="7" fillId="41" borderId="3" xfId="2" applyNumberFormat="1" applyFont="1" applyFill="1" applyBorder="1" applyAlignment="1" applyProtection="1">
      <alignment horizontal="center"/>
    </xf>
    <xf numFmtId="201" fontId="75" fillId="39" borderId="4" xfId="0" applyNumberFormat="1" applyFont="1" applyFill="1" applyBorder="1" applyAlignment="1">
      <alignment horizontal="center" vertical="center" wrapText="1"/>
    </xf>
    <xf numFmtId="191" fontId="7" fillId="8" borderId="0" xfId="0" applyNumberFormat="1" applyFont="1" applyFill="1" applyAlignment="1">
      <alignment horizontal="left" indent="1"/>
    </xf>
    <xf numFmtId="10" fontId="7" fillId="0" borderId="0" xfId="2" applyNumberFormat="1" applyFont="1" applyProtection="1"/>
    <xf numFmtId="204" fontId="7" fillId="0" borderId="0" xfId="2" applyNumberFormat="1" applyFont="1" applyProtection="1"/>
    <xf numFmtId="208" fontId="7" fillId="0" borderId="0" xfId="6" applyNumberFormat="1" applyFont="1" applyAlignment="1" applyProtection="1">
      <alignment horizontal="center"/>
      <protection locked="0"/>
    </xf>
    <xf numFmtId="10" fontId="7" fillId="0" borderId="0" xfId="2" applyNumberFormat="1" applyFont="1" applyFill="1" applyAlignment="1" applyProtection="1">
      <alignment horizontal="center"/>
    </xf>
    <xf numFmtId="2" fontId="7" fillId="50" borderId="0" xfId="0" applyNumberFormat="1" applyFont="1" applyFill="1" applyAlignment="1" applyProtection="1">
      <alignment horizontal="center"/>
      <protection locked="0"/>
    </xf>
    <xf numFmtId="2" fontId="7" fillId="50" borderId="0" xfId="0" applyNumberFormat="1" applyFont="1" applyFill="1" applyAlignment="1" applyProtection="1">
      <alignment horizontal="left"/>
      <protection locked="0"/>
    </xf>
    <xf numFmtId="167" fontId="7" fillId="50" borderId="0" xfId="0" applyNumberFormat="1" applyFont="1" applyFill="1" applyAlignment="1">
      <alignment horizontal="left"/>
    </xf>
    <xf numFmtId="166" fontId="7" fillId="0" borderId="0" xfId="0" applyNumberFormat="1" applyFont="1"/>
    <xf numFmtId="166" fontId="13" fillId="0" borderId="0" xfId="5" applyNumberFormat="1" applyFont="1" applyBorder="1" applyAlignment="1" applyProtection="1">
      <alignment horizontal="center" vertical="center"/>
    </xf>
    <xf numFmtId="209" fontId="7" fillId="0" borderId="0" xfId="0" applyNumberFormat="1" applyFont="1"/>
    <xf numFmtId="210" fontId="7" fillId="0" borderId="0" xfId="0" applyNumberFormat="1" applyFont="1"/>
    <xf numFmtId="9" fontId="7" fillId="0" borderId="0" xfId="2" applyFont="1" applyProtection="1">
      <protection locked="0"/>
    </xf>
    <xf numFmtId="10" fontId="13" fillId="0" borderId="0" xfId="2" applyNumberFormat="1" applyFont="1" applyFill="1" applyBorder="1" applyAlignment="1" applyProtection="1">
      <alignment horizontal="center" vertical="center"/>
    </xf>
    <xf numFmtId="179" fontId="7" fillId="0" borderId="0" xfId="2" applyNumberFormat="1" applyFont="1" applyProtection="1"/>
    <xf numFmtId="211" fontId="7" fillId="0" borderId="0" xfId="0" applyNumberFormat="1" applyFont="1" applyAlignment="1">
      <alignment horizontal="center"/>
    </xf>
    <xf numFmtId="43" fontId="7" fillId="0" borderId="0" xfId="6" applyFont="1" applyFill="1" applyBorder="1" applyAlignment="1" applyProtection="1">
      <alignment horizontal="center" vertical="center"/>
      <protection locked="0"/>
    </xf>
    <xf numFmtId="2" fontId="7" fillId="0" borderId="0" xfId="0" applyNumberFormat="1" applyFont="1" applyAlignment="1" applyProtection="1">
      <alignment horizontal="left"/>
      <protection locked="0"/>
    </xf>
    <xf numFmtId="3" fontId="7" fillId="50" borderId="0" xfId="6" applyNumberFormat="1" applyFont="1" applyFill="1" applyAlignment="1" applyProtection="1">
      <alignment horizontal="center"/>
      <protection locked="0"/>
    </xf>
    <xf numFmtId="167" fontId="101" fillId="0" borderId="0" xfId="0" applyNumberFormat="1" applyFont="1"/>
    <xf numFmtId="10" fontId="7" fillId="59" borderId="34" xfId="2" applyNumberFormat="1" applyFont="1" applyFill="1" applyBorder="1"/>
    <xf numFmtId="192" fontId="7" fillId="0" borderId="0" xfId="0" quotePrefix="1" applyNumberFormat="1" applyFont="1" applyProtection="1">
      <protection locked="0"/>
    </xf>
    <xf numFmtId="167" fontId="7" fillId="0" borderId="0" xfId="0" applyNumberFormat="1" applyFont="1" applyAlignment="1">
      <alignment horizontal="left"/>
    </xf>
    <xf numFmtId="179" fontId="7" fillId="0" borderId="0" xfId="2" applyNumberFormat="1" applyFont="1" applyFill="1" applyAlignment="1" applyProtection="1">
      <alignment horizontal="left"/>
      <protection locked="0"/>
    </xf>
    <xf numFmtId="179" fontId="7" fillId="0" borderId="0" xfId="2" applyNumberFormat="1" applyFont="1" applyFill="1" applyAlignment="1" applyProtection="1">
      <alignment horizontal="center"/>
      <protection locked="0"/>
    </xf>
    <xf numFmtId="167" fontId="16" fillId="0" borderId="0" xfId="0" applyNumberFormat="1" applyFont="1"/>
    <xf numFmtId="167" fontId="7" fillId="50" borderId="0" xfId="0" applyNumberFormat="1" applyFont="1" applyFill="1"/>
    <xf numFmtId="3" fontId="7" fillId="50" borderId="35" xfId="6" applyNumberFormat="1" applyFont="1" applyFill="1" applyBorder="1" applyAlignment="1" applyProtection="1">
      <alignment horizontal="center"/>
      <protection locked="0"/>
    </xf>
    <xf numFmtId="3" fontId="7" fillId="50" borderId="36" xfId="6" applyNumberFormat="1" applyFont="1" applyFill="1" applyBorder="1" applyAlignment="1" applyProtection="1">
      <alignment horizontal="center"/>
      <protection locked="0"/>
    </xf>
    <xf numFmtId="3" fontId="7" fillId="50" borderId="37" xfId="6" applyNumberFormat="1" applyFont="1" applyFill="1" applyBorder="1" applyAlignment="1" applyProtection="1">
      <alignment horizontal="center"/>
      <protection locked="0"/>
    </xf>
    <xf numFmtId="3" fontId="7" fillId="50" borderId="38" xfId="6" applyNumberFormat="1" applyFont="1" applyFill="1" applyBorder="1" applyAlignment="1" applyProtection="1">
      <alignment horizontal="center"/>
      <protection locked="0"/>
    </xf>
    <xf numFmtId="167" fontId="7" fillId="0" borderId="39" xfId="0" applyNumberFormat="1" applyFont="1" applyBorder="1" applyAlignment="1" applyProtection="1">
      <alignment horizontal="center"/>
      <protection locked="0"/>
    </xf>
    <xf numFmtId="167" fontId="7" fillId="0" borderId="40" xfId="0" applyNumberFormat="1" applyFont="1" applyBorder="1" applyAlignment="1" applyProtection="1">
      <alignment horizontal="center"/>
      <protection locked="0"/>
    </xf>
    <xf numFmtId="10" fontId="7" fillId="50" borderId="0" xfId="2" applyNumberFormat="1" applyFont="1" applyFill="1" applyProtection="1"/>
    <xf numFmtId="167" fontId="7" fillId="50" borderId="0" xfId="0" applyNumberFormat="1" applyFont="1" applyFill="1" applyAlignment="1" applyProtection="1">
      <alignment horizontal="center"/>
      <protection locked="0"/>
    </xf>
    <xf numFmtId="167" fontId="7" fillId="60" borderId="0" xfId="0" applyNumberFormat="1" applyFont="1" applyFill="1"/>
    <xf numFmtId="1" fontId="7" fillId="0" borderId="0" xfId="6" applyNumberFormat="1" applyFont="1"/>
    <xf numFmtId="10" fontId="7" fillId="50" borderId="0" xfId="2" applyNumberFormat="1" applyFont="1" applyFill="1" applyAlignment="1" applyProtection="1">
      <alignment horizontal="center"/>
    </xf>
    <xf numFmtId="3" fontId="7" fillId="61" borderId="0" xfId="6" applyNumberFormat="1" applyFont="1" applyFill="1" applyAlignment="1" applyProtection="1">
      <alignment horizontal="center"/>
      <protection locked="0"/>
    </xf>
    <xf numFmtId="9" fontId="0" fillId="0" borderId="0" xfId="2" applyFont="1"/>
    <xf numFmtId="179" fontId="0" fillId="0" borderId="0" xfId="2" applyNumberFormat="1" applyFont="1"/>
    <xf numFmtId="190" fontId="0" fillId="0" borderId="0" xfId="0" applyNumberFormat="1"/>
    <xf numFmtId="0" fontId="75" fillId="38" borderId="2" xfId="0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201" fontId="9" fillId="0" borderId="30" xfId="0" applyNumberFormat="1" applyFont="1" applyBorder="1" applyAlignment="1">
      <alignment horizontal="center"/>
    </xf>
    <xf numFmtId="167" fontId="9" fillId="0" borderId="30" xfId="0" applyNumberFormat="1" applyFont="1" applyBorder="1"/>
    <xf numFmtId="167" fontId="7" fillId="0" borderId="30" xfId="0" applyNumberFormat="1" applyFont="1" applyBorder="1"/>
    <xf numFmtId="167" fontId="8" fillId="0" borderId="30" xfId="0" applyNumberFormat="1" applyFont="1" applyBorder="1" applyAlignment="1">
      <alignment horizontal="center"/>
    </xf>
    <xf numFmtId="167" fontId="9" fillId="0" borderId="30" xfId="0" applyNumberFormat="1" applyFont="1" applyBorder="1" applyAlignment="1">
      <alignment horizontal="left" indent="1"/>
    </xf>
    <xf numFmtId="201" fontId="8" fillId="0" borderId="30" xfId="0" applyNumberFormat="1" applyFont="1" applyBorder="1" applyAlignment="1">
      <alignment horizontal="center"/>
    </xf>
  </cellXfs>
  <cellStyles count="397">
    <cellStyle name=" 1" xfId="10" xr:uid="{00000000-0005-0000-0000-000000000000}"/>
    <cellStyle name=" 1 2" xfId="11" xr:uid="{00000000-0005-0000-0000-000001000000}"/>
    <cellStyle name=" 1 2 2" xfId="279" xr:uid="{23DCD9E9-FFB6-44CF-A825-5024BB1AE983}"/>
    <cellStyle name=" 1 2 3" xfId="353" xr:uid="{8DCD2AAC-0DB4-4083-A0AC-B9951B2475DB}"/>
    <cellStyle name=" 1 3" xfId="280" xr:uid="{C01B878E-8268-4FBE-B2DF-3DE3120DEB7C}"/>
    <cellStyle name=" 1 3 2" xfId="281" xr:uid="{963895BE-FA62-47E3-99DF-5070DC19CDBD}"/>
    <cellStyle name=" 1 4" xfId="282" xr:uid="{286CA12D-FE31-4288-9CB9-60A0D493A962}"/>
    <cellStyle name=" 1_29(d) - Gas extensions -tariffs" xfId="12" xr:uid="{00000000-0005-0000-0000-000002000000}"/>
    <cellStyle name="_3GIS model v2.77_Distribution Business_Retail Fin Perform " xfId="284" xr:uid="{CD9969B3-8468-4BC0-B257-EC9A7FD26FC5}"/>
    <cellStyle name="_3GIS model v2.77_Fleet Overhead Costs 2_Retail Fin Perform " xfId="285" xr:uid="{909DCD35-B9EB-4252-AD94-CF7D4A0EC8CE}"/>
    <cellStyle name="_3GIS model v2.77_Fleet Overhead Costs_Retail Fin Perform " xfId="286" xr:uid="{7AAD0451-7837-4351-A7BB-A6818CEEC784}"/>
    <cellStyle name="_3GIS model v2.77_Forecast 2_Retail Fin Perform " xfId="287" xr:uid="{6CDF0DDD-7412-41DF-B893-9D3696F21D12}"/>
    <cellStyle name="_3GIS model v2.77_Forecast_Retail Fin Perform " xfId="288" xr:uid="{353961C7-AAB9-4737-A396-99B827EC58A9}"/>
    <cellStyle name="_3GIS model v2.77_Funding &amp; Cashflow_1_Retail Fin Perform " xfId="289" xr:uid="{9F9C0EBB-8BC7-4022-890E-443C60FD7E69}"/>
    <cellStyle name="_3GIS model v2.77_Funding &amp; Cashflow_Retail Fin Perform " xfId="290" xr:uid="{A4C1059C-DE66-44AA-8C07-227D7646C3AD}"/>
    <cellStyle name="_3GIS model v2.77_Group P&amp;L_1_Retail Fin Perform " xfId="291" xr:uid="{8BE3C9D8-D8A7-4D70-B327-98FCACE44D7C}"/>
    <cellStyle name="_3GIS model v2.77_Group P&amp;L_Retail Fin Perform " xfId="292" xr:uid="{E1D704B2-0212-4A1A-A96C-4B304D4823B2}"/>
    <cellStyle name="_3GIS model v2.77_Opening  Detailed BS_Retail Fin Perform " xfId="293" xr:uid="{6639C1FF-CFBA-4432-AC80-5DC454A967B0}"/>
    <cellStyle name="_3GIS model v2.77_OUTPUT DB_Retail Fin Perform " xfId="294" xr:uid="{CE7132DC-6F87-4F25-ACFE-AA661D795E03}"/>
    <cellStyle name="_3GIS model v2.77_OUTPUT EB_Retail Fin Perform " xfId="295" xr:uid="{857DE853-A3E6-453D-A101-2A4E67607D31}"/>
    <cellStyle name="_3GIS model v2.77_Report_Retail Fin Perform " xfId="296" xr:uid="{B70CB660-C450-4B53-8D2D-60ED3F393F9A}"/>
    <cellStyle name="_3GIS model v2.77_Retail Fin Perform " xfId="297" xr:uid="{A48F6D3A-071A-4733-BB8B-CBFC7E4141DD}"/>
    <cellStyle name="_3GIS model v2.77_Sheet2 2_Retail Fin Perform " xfId="298" xr:uid="{FB34105C-A555-47D6-B966-09C2B7225D88}"/>
    <cellStyle name="_3GIS model v2.77_Sheet2_Retail Fin Perform " xfId="299" xr:uid="{F2F3C9E9-D69B-4243-90D9-79FDA1F0C032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ockout 2 2" xfId="301" xr:uid="{D568F5E4-7893-45C7-8CD8-D2B7C2BB9785}"/>
    <cellStyle name="Blockout 2 3" xfId="330" xr:uid="{D44CEA2C-5AE5-4D73-8798-1B42A0487E2E}"/>
    <cellStyle name="Blockout 3" xfId="300" xr:uid="{0FE4E819-A4FC-40CE-8155-A212CE29BE15}"/>
    <cellStyle name="Blockout 4" xfId="331" xr:uid="{7A53AC31-D802-4AE2-96B4-AAED36601E1F}"/>
    <cellStyle name="Blue" xfId="66" xr:uid="{00000000-0005-0000-0000-000039000000}"/>
    <cellStyle name="Calcs_Divider" xfId="244" xr:uid="{00000000-0005-0000-0000-00003A000000}"/>
    <cellStyle name="Calculation 2" xfId="67" xr:uid="{00000000-0005-0000-0000-00003B000000}"/>
    <cellStyle name="Check" xfId="245" xr:uid="{00000000-0005-0000-0000-00003C000000}"/>
    <cellStyle name="Check Cell 2" xfId="68" xr:uid="{00000000-0005-0000-0000-00003D000000}"/>
    <cellStyle name="Check Cell 2 2 2 2" xfId="360" xr:uid="{21486388-E4E7-44F5-AD87-7055EDA28C77}"/>
    <cellStyle name="Column_Heading_1" xfId="246" xr:uid="{00000000-0005-0000-0000-00003E000000}"/>
    <cellStyle name="Comma" xfId="6" builtinId="3"/>
    <cellStyle name="Comma [0]7Z_87C" xfId="69" xr:uid="{00000000-0005-0000-0000-000040000000}"/>
    <cellStyle name="Comma 0" xfId="70" xr:uid="{00000000-0005-0000-0000-000041000000}"/>
    <cellStyle name="Comma 1" xfId="71" xr:uid="{00000000-0005-0000-0000-000042000000}"/>
    <cellStyle name="Comma 1 2" xfId="72" xr:uid="{00000000-0005-0000-0000-000043000000}"/>
    <cellStyle name="Comma 10" xfId="267" xr:uid="{284873A2-D876-4615-8696-9BFA147EA47B}"/>
    <cellStyle name="Comma 11" xfId="340" xr:uid="{BC56E5E2-ADB3-4127-A6A1-8A85F1FAA331}"/>
    <cellStyle name="Comma 12" xfId="390" xr:uid="{315EDFBB-A169-4986-A0C5-CAB60568D5A3}"/>
    <cellStyle name="Comma 13" xfId="334" xr:uid="{E0D2FA41-E984-4C2C-BE1F-7F701AFD76D1}"/>
    <cellStyle name="Comma 2" xfId="8" xr:uid="{00000000-0005-0000-0000-000044000000}"/>
    <cellStyle name="Comma 2 2" xfId="73" xr:uid="{00000000-0005-0000-0000-000045000000}"/>
    <cellStyle name="Comma 2 2 2" xfId="303" xr:uid="{AA49FC46-D24C-4E11-9E99-71AE6E7CC3E1}"/>
    <cellStyle name="Comma 2 2 2 2" xfId="384" xr:uid="{C4AE2A88-594E-4527-8C64-DD658D3B0C66}"/>
    <cellStyle name="Comma 2 3" xfId="74" xr:uid="{00000000-0005-0000-0000-000046000000}"/>
    <cellStyle name="Comma 2 3 2" xfId="75" xr:uid="{00000000-0005-0000-0000-000047000000}"/>
    <cellStyle name="Comma 2 3 2 2" xfId="305" xr:uid="{E4846AC5-390C-454D-9D90-B7A318B890BF}"/>
    <cellStyle name="Comma 2 3 3" xfId="304" xr:uid="{35B5048B-44B4-4EAE-BE34-9383C7709295}"/>
    <cellStyle name="Comma 2 4" xfId="76" xr:uid="{00000000-0005-0000-0000-000048000000}"/>
    <cellStyle name="Comma 2 4 2" xfId="306" xr:uid="{345830D4-BD98-48C7-A867-357C184C7C36}"/>
    <cellStyle name="Comma 2 5" xfId="77" xr:uid="{00000000-0005-0000-0000-000049000000}"/>
    <cellStyle name="Comma 2 5 2" xfId="307" xr:uid="{1134D191-94EE-4D6E-9F7B-37EED9D57952}"/>
    <cellStyle name="Comma 2 5 3" xfId="325" xr:uid="{7EECDB17-8BAD-4C8D-99FE-82793116C4D4}"/>
    <cellStyle name="Comma 2 6" xfId="302" xr:uid="{967E56A3-4BE0-4FA7-8BB5-84FEEA8B0DF8}"/>
    <cellStyle name="Comma 2 7" xfId="392" xr:uid="{7A3F2E6B-4DE4-4DFC-B1A0-476943216DD1}"/>
    <cellStyle name="Comma 3" xfId="78" xr:uid="{00000000-0005-0000-0000-00004A000000}"/>
    <cellStyle name="Comma 3 2" xfId="79" xr:uid="{00000000-0005-0000-0000-00004B000000}"/>
    <cellStyle name="Comma 3 3" xfId="80" xr:uid="{00000000-0005-0000-0000-00004C000000}"/>
    <cellStyle name="Comma 3 3 2" xfId="309" xr:uid="{A0B1716F-A284-41D9-A3FF-432077894613}"/>
    <cellStyle name="Comma 3 3 3" xfId="324" xr:uid="{04B3354A-B47F-49E2-B373-A29F1A034AF5}"/>
    <cellStyle name="Comma 4" xfId="81" xr:uid="{00000000-0005-0000-0000-00004D000000}"/>
    <cellStyle name="Comma 4 2" xfId="310" xr:uid="{8E301D79-EDE3-4614-8062-755F01702B1D}"/>
    <cellStyle name="Comma 4 3" xfId="337" xr:uid="{837EACBF-B33A-4433-8FB2-B14E3B8A868E}"/>
    <cellStyle name="Comma 5" xfId="82" xr:uid="{00000000-0005-0000-0000-00004E000000}"/>
    <cellStyle name="Comma 5 2" xfId="311" xr:uid="{13878FC3-5E4B-4B3A-842E-709CCBFB6260}"/>
    <cellStyle name="Comma 5 3" xfId="323" xr:uid="{CCD40312-9A27-4767-B964-EC554FC98F88}"/>
    <cellStyle name="Comma 6" xfId="83" xr:uid="{00000000-0005-0000-0000-00004F000000}"/>
    <cellStyle name="Comma 6 2" xfId="312" xr:uid="{0CCF6EC0-69E3-47E9-B00A-91856C83574F}"/>
    <cellStyle name="Comma 6 2 2" xfId="383" xr:uid="{F989A07F-19F5-488A-9CA7-36F04EA2F712}"/>
    <cellStyle name="Comma 6 3" xfId="335" xr:uid="{A666EA98-F102-4AF6-94C2-9DD149FCADE9}"/>
    <cellStyle name="Comma 7" xfId="84" xr:uid="{00000000-0005-0000-0000-000050000000}"/>
    <cellStyle name="Comma 7 2" xfId="313" xr:uid="{2E71EACF-2ADC-4D36-BA7F-5DA106789260}"/>
    <cellStyle name="Comma 8" xfId="85" xr:uid="{00000000-0005-0000-0000-000051000000}"/>
    <cellStyle name="Comma 8 2" xfId="314" xr:uid="{0BF7F85E-4EC2-4B2A-97D2-6231F73D3151}"/>
    <cellStyle name="Comma 9" xfId="264" xr:uid="{00000000-0005-0000-0000-000052000000}"/>
    <cellStyle name="Comma 9 2" xfId="378" xr:uid="{18CFAEFD-5D2A-4884-B59D-9BB09F38F01D}"/>
    <cellStyle name="Comma0" xfId="86" xr:uid="{00000000-0005-0000-0000-000053000000}"/>
    <cellStyle name="Currency 11" xfId="87" xr:uid="{00000000-0005-0000-0000-000054000000}"/>
    <cellStyle name="Currency 11 2" xfId="88" xr:uid="{00000000-0005-0000-0000-000055000000}"/>
    <cellStyle name="Currency 11 2 2" xfId="316" xr:uid="{9B9D8B6F-6D80-4A11-925E-731AAF9475D3}"/>
    <cellStyle name="Currency 11 3" xfId="315" xr:uid="{437843E5-E0BA-4BD2-8600-81A768D26BEB}"/>
    <cellStyle name="Currency 2" xfId="89" xr:uid="{00000000-0005-0000-0000-000056000000}"/>
    <cellStyle name="Currency 2 2" xfId="90" xr:uid="{00000000-0005-0000-0000-000057000000}"/>
    <cellStyle name="Currency 2 2 2" xfId="344" xr:uid="{8AF41CE8-DB44-47AD-B3EF-55B91977A16C}"/>
    <cellStyle name="Currency 2 2 3" xfId="272" xr:uid="{BE13BEE4-BEF2-473A-80C9-F77A8AC74D1D}"/>
    <cellStyle name="Currency 2 3" xfId="273" xr:uid="{19CF9C98-78CD-4DD4-B4DC-F4CD36FA3A46}"/>
    <cellStyle name="Currency 2 4" xfId="317" xr:uid="{51807F58-9D23-4C30-9997-86A83CB6C404}"/>
    <cellStyle name="Currency 3" xfId="91" xr:uid="{00000000-0005-0000-0000-000058000000}"/>
    <cellStyle name="Currency 3 2" xfId="92" xr:uid="{00000000-0005-0000-0000-000059000000}"/>
    <cellStyle name="Currency 3 2 2" xfId="319" xr:uid="{A67A245B-926F-48D8-A775-14D74C3E879F}"/>
    <cellStyle name="Currency 3 3" xfId="318" xr:uid="{F7B75305-C7B2-49CD-8F88-75B5315F768B}"/>
    <cellStyle name="Currency 4" xfId="93" xr:uid="{00000000-0005-0000-0000-00005A000000}"/>
    <cellStyle name="Currency 4 2" xfId="94" xr:uid="{00000000-0005-0000-0000-00005B000000}"/>
    <cellStyle name="Currency 4 2 2" xfId="321" xr:uid="{2E34F21A-FE89-42DC-9F80-49C00E9346E0}"/>
    <cellStyle name="Currency 4 3" xfId="320" xr:uid="{8B3DF1E1-9CA4-4245-8C0E-96BA071F432A}"/>
    <cellStyle name="Currency 5" xfId="243" xr:uid="{00000000-0005-0000-0000-00005C000000}"/>
    <cellStyle name="Currency 5 2" xfId="278" xr:uid="{0EC37345-6C90-4FEC-86DA-ED783A7E533F}"/>
    <cellStyle name="Currency 6" xfId="268" xr:uid="{78C2A7DA-0065-4821-B2EE-5AE8832003DC}"/>
    <cellStyle name="Currency 7" xfId="393" xr:uid="{DA1A4747-054A-4BA0-B7ED-3AF28CB2DBD7}"/>
    <cellStyle name="Currency 7 2" xfId="395" xr:uid="{7449EE2C-AF5D-47F4-A04F-EA73A851E339}"/>
    <cellStyle name="D4_B8B1_005004B79812_.wvu.PrintTitlest" xfId="95" xr:uid="{00000000-0005-0000-0000-00005D000000}"/>
    <cellStyle name="Date" xfId="96" xr:uid="{00000000-0005-0000-0000-00005E000000}"/>
    <cellStyle name="Date 2" xfId="97" xr:uid="{00000000-0005-0000-0000-00005F000000}"/>
    <cellStyle name="dms_NUM" xfId="391" xr:uid="{8CB9E5C0-F6EB-41E1-841C-54642922273F}"/>
    <cellStyle name="Emphasis 1" xfId="98" xr:uid="{00000000-0005-0000-0000-000060000000}"/>
    <cellStyle name="Emphasis 2" xfId="99" xr:uid="{00000000-0005-0000-0000-000061000000}"/>
    <cellStyle name="Emphasis 3" xfId="100" xr:uid="{00000000-0005-0000-0000-000062000000}"/>
    <cellStyle name="Empty_Cell" xfId="247" xr:uid="{00000000-0005-0000-0000-000063000000}"/>
    <cellStyle name="Euro" xfId="101" xr:uid="{00000000-0005-0000-0000-000064000000}"/>
    <cellStyle name="Explanatory Text 2" xfId="102" xr:uid="{00000000-0005-0000-0000-000065000000}"/>
    <cellStyle name="Fixed" xfId="103" xr:uid="{00000000-0005-0000-0000-000066000000}"/>
    <cellStyle name="Fixed 2" xfId="104" xr:uid="{00000000-0005-0000-0000-000067000000}"/>
    <cellStyle name="Gilsans" xfId="105" xr:uid="{00000000-0005-0000-0000-000068000000}"/>
    <cellStyle name="Gilsansl" xfId="106" xr:uid="{00000000-0005-0000-0000-000069000000}"/>
    <cellStyle name="Good 2" xfId="107" xr:uid="{00000000-0005-0000-0000-00006A000000}"/>
    <cellStyle name="Header1" xfId="248" xr:uid="{00000000-0005-0000-0000-00006B000000}"/>
    <cellStyle name="Header2" xfId="249" xr:uid="{00000000-0005-0000-0000-00006C000000}"/>
    <cellStyle name="Header3" xfId="250" xr:uid="{00000000-0005-0000-0000-00006D000000}"/>
    <cellStyle name="Header4" xfId="251" xr:uid="{00000000-0005-0000-0000-00006E000000}"/>
    <cellStyle name="Header5" xfId="252" xr:uid="{00000000-0005-0000-0000-00006F000000}"/>
    <cellStyle name="Heading 1 2" xfId="108" xr:uid="{00000000-0005-0000-0000-000070000000}"/>
    <cellStyle name="Heading 1 2 2" xfId="109" xr:uid="{00000000-0005-0000-0000-000071000000}"/>
    <cellStyle name="Heading 1 3" xfId="110" xr:uid="{00000000-0005-0000-0000-000072000000}"/>
    <cellStyle name="Heading 2 2" xfId="111" xr:uid="{00000000-0005-0000-0000-000073000000}"/>
    <cellStyle name="Heading 2 2 2" xfId="112" xr:uid="{00000000-0005-0000-0000-000074000000}"/>
    <cellStyle name="Heading 2 3" xfId="113" xr:uid="{00000000-0005-0000-0000-000075000000}"/>
    <cellStyle name="Heading 3 2" xfId="114" xr:uid="{00000000-0005-0000-0000-000076000000}"/>
    <cellStyle name="Heading 3 2 2" xfId="115" xr:uid="{00000000-0005-0000-0000-000077000000}"/>
    <cellStyle name="Heading 3 2 2 2" xfId="346" xr:uid="{EC511320-2C6E-4EE0-B393-723C891B3482}"/>
    <cellStyle name="Heading 3 2 3" xfId="322" xr:uid="{40A029BB-CA81-4DB1-B294-DDFFB1FB0D8F}"/>
    <cellStyle name="Heading 3 2 4" xfId="345" xr:uid="{5EBED28C-00C7-4DFC-B2F6-8E9E983F4DE6}"/>
    <cellStyle name="Heading 3 3" xfId="116" xr:uid="{00000000-0005-0000-0000-000078000000}"/>
    <cellStyle name="Heading 4 2" xfId="117" xr:uid="{00000000-0005-0000-0000-000079000000}"/>
    <cellStyle name="Heading 4 2 2" xfId="118" xr:uid="{00000000-0005-0000-0000-00007A000000}"/>
    <cellStyle name="Heading 4 3" xfId="119" xr:uid="{00000000-0005-0000-0000-00007B000000}"/>
    <cellStyle name="Heading(4)" xfId="120" xr:uid="{00000000-0005-0000-0000-00007C000000}"/>
    <cellStyle name="Hyperlink" xfId="3" builtinId="8"/>
    <cellStyle name="Hyperlink 2" xfId="121" xr:uid="{00000000-0005-0000-0000-00007E000000}"/>
    <cellStyle name="Hyperlink 2 2" xfId="366" xr:uid="{231FC51C-43C9-4F87-B44D-D07E673BE8CF}"/>
    <cellStyle name="Hyperlink Arrow" xfId="122" xr:uid="{00000000-0005-0000-0000-00007F000000}"/>
    <cellStyle name="Hyperlink Text" xfId="123" xr:uid="{00000000-0005-0000-0000-000080000000}"/>
    <cellStyle name="import" xfId="367" xr:uid="{BF13BB84-E74A-41CB-AF27-530F90BBD8AE}"/>
    <cellStyle name="import%" xfId="368" xr:uid="{E3919F55-D45F-43DE-A4AA-958694B68C23}"/>
    <cellStyle name="import_ICRC Electricity model 1-1  (1 Feb 2003) " xfId="326" xr:uid="{E7538388-A7DF-4EC7-B5AD-D20060D71663}"/>
    <cellStyle name="Input 2" xfId="124" xr:uid="{00000000-0005-0000-0000-000081000000}"/>
    <cellStyle name="Input|Date" xfId="1" xr:uid="{00000000-0005-0000-0000-000082000000}"/>
    <cellStyle name="Input1" xfId="125" xr:uid="{00000000-0005-0000-0000-000083000000}"/>
    <cellStyle name="Input1 2" xfId="126" xr:uid="{00000000-0005-0000-0000-000084000000}"/>
    <cellStyle name="Input1 2 2" xfId="327" xr:uid="{CD8A5771-385C-455E-B5D2-68D95F8E894F}"/>
    <cellStyle name="Input1 2 3" xfId="386" xr:uid="{21643BD5-9D1D-4E4D-8267-077E60AB1101}"/>
    <cellStyle name="Input1 3" xfId="369" xr:uid="{4B8F2E8F-C12E-40E5-850E-4C0A11DA4277}"/>
    <cellStyle name="Input1 4" xfId="269" xr:uid="{565AC074-99C4-4D10-96A2-478F0F208186}"/>
    <cellStyle name="Input1 5" xfId="388" xr:uid="{38B088F5-1647-407A-BEB0-0FD08FA6FED7}"/>
    <cellStyle name="Input1%" xfId="370" xr:uid="{52942E67-E822-4418-B156-96AD7B8ED9DD}"/>
    <cellStyle name="Input1_ICRC Electricity model 1-1  (1 Feb 2003) " xfId="328" xr:uid="{289B380D-95C8-4679-8BF6-403B30FAFBC2}"/>
    <cellStyle name="Input1default" xfId="371" xr:uid="{78C09515-23D3-493F-B467-FE1E00B5DDB9}"/>
    <cellStyle name="Input1default%" xfId="372" xr:uid="{8E7F2AE8-EDBE-4794-BFB6-72564E0B42FE}"/>
    <cellStyle name="Input2" xfId="127" xr:uid="{00000000-0005-0000-0000-000085000000}"/>
    <cellStyle name="Input2 2" xfId="128" xr:uid="{00000000-0005-0000-0000-000086000000}"/>
    <cellStyle name="Input3" xfId="129" xr:uid="{00000000-0005-0000-0000-000087000000}"/>
    <cellStyle name="Input3 2" xfId="130" xr:uid="{00000000-0005-0000-0000-000088000000}"/>
    <cellStyle name="Input3 2 2" xfId="329" xr:uid="{224855D6-9E60-4FF6-AE98-933F9298F036}"/>
    <cellStyle name="Input3 2 3" xfId="336" xr:uid="{9CB849B5-9990-49F4-8AE8-DA0546B2FE67}"/>
    <cellStyle name="Input3 3" xfId="270" xr:uid="{875A1386-82D6-45D1-818E-95CFD734FE9E}"/>
    <cellStyle name="Input3 4" xfId="308" xr:uid="{079B3FD4-2C78-42AF-BBF7-3F00E224FA15}"/>
    <cellStyle name="InputCell" xfId="355" xr:uid="{50F67A2B-4BA2-4189-9F5B-88352A9EA00A}"/>
    <cellStyle name="Inputs_Divider" xfId="253" xr:uid="{00000000-0005-0000-0000-000089000000}"/>
    <cellStyle name="InSheet" xfId="254" xr:uid="{00000000-0005-0000-0000-00008A000000}"/>
    <cellStyle name="key result" xfId="373" xr:uid="{135C73CA-D7AB-4A87-B247-3A42AAA9C7CB}"/>
    <cellStyle name="Lines" xfId="131" xr:uid="{00000000-0005-0000-0000-00008B000000}"/>
    <cellStyle name="Linked Cell 2" xfId="132" xr:uid="{00000000-0005-0000-0000-00008C000000}"/>
    <cellStyle name="Local import" xfId="374" xr:uid="{9C0EAF58-4200-4FF2-86AF-AB372D3E241C}"/>
    <cellStyle name="Local import %" xfId="375" xr:uid="{19D22A10-71CA-4EC5-B079-0D9AF5891BC8}"/>
    <cellStyle name="Mine" xfId="133" xr:uid="{00000000-0005-0000-0000-00008D000000}"/>
    <cellStyle name="Model Name" xfId="134" xr:uid="{00000000-0005-0000-0000-00008E000000}"/>
    <cellStyle name="Neutral 2" xfId="135" xr:uid="{00000000-0005-0000-0000-00008F000000}"/>
    <cellStyle name="NonInputCell" xfId="356" xr:uid="{8768D021-B409-4E2F-801B-D14645CD1EB5}"/>
    <cellStyle name="Normal" xfId="0" builtinId="0"/>
    <cellStyle name="Normal - Style1" xfId="136" xr:uid="{00000000-0005-0000-0000-000091000000}"/>
    <cellStyle name="Normal 10" xfId="241" xr:uid="{00000000-0005-0000-0000-000092000000}"/>
    <cellStyle name="Normal 10 2" xfId="343" xr:uid="{DA297E49-491F-4E42-BF8C-09B3CA37589C}"/>
    <cellStyle name="Normal 10 3" xfId="338" xr:uid="{69213188-07BB-4AC7-814C-7A351831D814}"/>
    <cellStyle name="Normal 11" xfId="265" xr:uid="{00000000-0005-0000-0000-000093000000}"/>
    <cellStyle name="Normal 11 2" xfId="342" xr:uid="{1E350868-8FEC-469F-BD0A-20484EBB5E1A}"/>
    <cellStyle name="Normal 11 3" xfId="377" xr:uid="{60FAB1CB-8C40-437F-B038-83754FC94AF0}"/>
    <cellStyle name="Normal 114" xfId="277" xr:uid="{77055D5B-A7FA-4BDD-80AC-DA5D64AF0BCF}"/>
    <cellStyle name="Normal 12" xfId="266" xr:uid="{97A36A18-19F0-4A4B-8844-D4DDFBD6F212}"/>
    <cellStyle name="Normal 13" xfId="137" xr:uid="{00000000-0005-0000-0000-000094000000}"/>
    <cellStyle name="Normal 13 2" xfId="7" xr:uid="{00000000-0005-0000-0000-000095000000}"/>
    <cellStyle name="Normal 13_29(d) - Gas extensions -tariffs" xfId="138" xr:uid="{00000000-0005-0000-0000-000096000000}"/>
    <cellStyle name="Normal 14" xfId="361" xr:uid="{F146CB2B-BD64-44DB-8EED-3B269047BA6A}"/>
    <cellStyle name="Normal 15" xfId="139" xr:uid="{00000000-0005-0000-0000-000097000000}"/>
    <cellStyle name="Normal 16" xfId="140" xr:uid="{00000000-0005-0000-0000-000098000000}"/>
    <cellStyle name="Normal 17" xfId="341" xr:uid="{FB22ECD0-9A0C-4964-B806-D152C11E3F96}"/>
    <cellStyle name="Normal 18" xfId="389" xr:uid="{B92F6EC6-A404-4B07-A3C8-25D7AB74FC81}"/>
    <cellStyle name="Normal 2" xfId="141" xr:uid="{00000000-0005-0000-0000-000099000000}"/>
    <cellStyle name="Normal 2 2" xfId="142" xr:uid="{00000000-0005-0000-0000-00009A000000}"/>
    <cellStyle name="Normal 2 2 2" xfId="143" xr:uid="{00000000-0005-0000-0000-00009B000000}"/>
    <cellStyle name="Normal 2 2 3" xfId="347" xr:uid="{17853752-81A3-49E3-8365-F1647AB0024B}"/>
    <cellStyle name="Normal 2 3" xfId="144" xr:uid="{00000000-0005-0000-0000-00009C000000}"/>
    <cellStyle name="Normal 2 3 2" xfId="145" xr:uid="{00000000-0005-0000-0000-00009D000000}"/>
    <cellStyle name="Normal 2 3 3" xfId="376" xr:uid="{5A0B3834-48EA-4C45-8327-9D16EB26B2B9}"/>
    <cellStyle name="Normal 2 3_29(d) - Gas extensions -tariffs" xfId="146" xr:uid="{00000000-0005-0000-0000-00009E000000}"/>
    <cellStyle name="Normal 2 4" xfId="147" xr:uid="{00000000-0005-0000-0000-00009F000000}"/>
    <cellStyle name="Normal 2 5" xfId="148" xr:uid="{00000000-0005-0000-0000-0000A0000000}"/>
    <cellStyle name="Normal 2 6" xfId="354" xr:uid="{D4F8446F-0113-453A-BC50-53F7DFFFCAB5}"/>
    <cellStyle name="Normal 2 6 2" xfId="380" xr:uid="{D18303B6-A203-4247-A99E-6A5117BEDAB5}"/>
    <cellStyle name="Normal 2 8" xfId="385" xr:uid="{52A47E3A-DA21-4C01-8402-EA8D7A29937A}"/>
    <cellStyle name="Normal 2_29(d) - Gas extensions -tariffs" xfId="149" xr:uid="{00000000-0005-0000-0000-0000A1000000}"/>
    <cellStyle name="Normal 3" xfId="150" xr:uid="{00000000-0005-0000-0000-0000A2000000}"/>
    <cellStyle name="Normal 3 2" xfId="151" xr:uid="{00000000-0005-0000-0000-0000A3000000}"/>
    <cellStyle name="Normal 3 3" xfId="362" xr:uid="{3D52CDF8-DB41-4CF3-8C37-36920FCBD45D}"/>
    <cellStyle name="Normal 3 5" xfId="357" xr:uid="{552E6820-DC17-4B41-B176-73F5B92E8439}"/>
    <cellStyle name="Normal 3_29(d) - Gas extensions -tariffs" xfId="152" xr:uid="{00000000-0005-0000-0000-0000A4000000}"/>
    <cellStyle name="Normal 38" xfId="153" xr:uid="{00000000-0005-0000-0000-0000A5000000}"/>
    <cellStyle name="Normal 38 2" xfId="154" xr:uid="{00000000-0005-0000-0000-0000A6000000}"/>
    <cellStyle name="Normal 38_29(d) - Gas extensions -tariffs" xfId="155" xr:uid="{00000000-0005-0000-0000-0000A7000000}"/>
    <cellStyle name="Normal 4" xfId="156" xr:uid="{00000000-0005-0000-0000-0000A8000000}"/>
    <cellStyle name="Normal 4 2" xfId="157" xr:uid="{00000000-0005-0000-0000-0000A9000000}"/>
    <cellStyle name="Normal 4 2 2" xfId="381" xr:uid="{C206B74F-99C3-4C0A-946C-0EF0652882A6}"/>
    <cellStyle name="Normal 4 3" xfId="158" xr:uid="{00000000-0005-0000-0000-0000AA000000}"/>
    <cellStyle name="Normal 4 3 2" xfId="348" xr:uid="{98C7B1BB-2F8E-41D8-B016-6C50F90C9142}"/>
    <cellStyle name="Normal 4 3 3" xfId="332" xr:uid="{AA2AD52E-6675-4154-A692-45B47EBFB240}"/>
    <cellStyle name="Normal 4 4" xfId="363" xr:uid="{3D72AD96-699B-4336-832C-28955F7F923B}"/>
    <cellStyle name="Normal 4 4 2" xfId="379" xr:uid="{D74051F6-BF1E-4C11-8102-474894D046B9}"/>
    <cellStyle name="Normal 4 5" xfId="274" xr:uid="{8F3AD05B-735E-4292-835C-F0BA93737B04}"/>
    <cellStyle name="Normal 4_29(d) - Gas extensions -tariffs" xfId="159" xr:uid="{00000000-0005-0000-0000-0000AB000000}"/>
    <cellStyle name="Normal 40" xfId="160" xr:uid="{00000000-0005-0000-0000-0000AC000000}"/>
    <cellStyle name="Normal 40 2" xfId="161" xr:uid="{00000000-0005-0000-0000-0000AD000000}"/>
    <cellStyle name="Normal 40_29(d) - Gas extensions -tariffs" xfId="162" xr:uid="{00000000-0005-0000-0000-0000AE000000}"/>
    <cellStyle name="Normal 5" xfId="163" xr:uid="{00000000-0005-0000-0000-0000AF000000}"/>
    <cellStyle name="Normal 5 2" xfId="164" xr:uid="{00000000-0005-0000-0000-0000B0000000}"/>
    <cellStyle name="Normal 5 3" xfId="358" xr:uid="{B48BACA3-4FDB-4AD9-B63C-9B4E5FC584F6}"/>
    <cellStyle name="Normal 6" xfId="165" xr:uid="{00000000-0005-0000-0000-0000B1000000}"/>
    <cellStyle name="Normal 6 2" xfId="166" xr:uid="{00000000-0005-0000-0000-0000B2000000}"/>
    <cellStyle name="Normal 7" xfId="9" xr:uid="{00000000-0005-0000-0000-0000B3000000}"/>
    <cellStyle name="Normal 7 2" xfId="167" xr:uid="{00000000-0005-0000-0000-0000B4000000}"/>
    <cellStyle name="Normal 7 2 2" xfId="349" xr:uid="{84E0012A-7C9B-4CC3-9023-9A47A8571274}"/>
    <cellStyle name="Normal 7 2 3" xfId="333" xr:uid="{DC8AAC40-2220-4E6F-BB2B-C612F5B575D6}"/>
    <cellStyle name="Normal 7 3" xfId="382" xr:uid="{2FBEF7AD-ECB6-454B-B04E-3581D30F4810}"/>
    <cellStyle name="Normal 8" xfId="168" xr:uid="{00000000-0005-0000-0000-0000B5000000}"/>
    <cellStyle name="Normal 8 2" xfId="364" xr:uid="{612E2655-056E-4CC8-BC75-C4F2592BFA03}"/>
    <cellStyle name="Normal 9" xfId="169" xr:uid="{00000000-0005-0000-0000-0000B6000000}"/>
    <cellStyle name="Note 2" xfId="170" xr:uid="{00000000-0005-0000-0000-0000B7000000}"/>
    <cellStyle name="OffSheet" xfId="255" xr:uid="{00000000-0005-0000-0000-0000B8000000}"/>
    <cellStyle name="Output 2" xfId="171" xr:uid="{00000000-0005-0000-0000-0000B9000000}"/>
    <cellStyle name="Percent" xfId="2" builtinId="5"/>
    <cellStyle name="Percent [2]" xfId="172" xr:uid="{00000000-0005-0000-0000-0000BB000000}"/>
    <cellStyle name="Percent [2] 2" xfId="173" xr:uid="{00000000-0005-0000-0000-0000BC000000}"/>
    <cellStyle name="Percent [2]_29(d) - Gas extensions -tariffs" xfId="174" xr:uid="{00000000-0005-0000-0000-0000BD000000}"/>
    <cellStyle name="Percent 10" xfId="394" xr:uid="{0F188D6A-8A0D-4959-A9B1-BF1074A41D62}"/>
    <cellStyle name="Percent 10 2" xfId="396" xr:uid="{92CDF03F-3D7C-499E-8C74-74A9B0C84D1D}"/>
    <cellStyle name="Percent 2" xfId="4" xr:uid="{00000000-0005-0000-0000-0000BE000000}"/>
    <cellStyle name="Percent 2 2" xfId="175" xr:uid="{00000000-0005-0000-0000-0000BF000000}"/>
    <cellStyle name="Percent 3" xfId="176" xr:uid="{00000000-0005-0000-0000-0000C0000000}"/>
    <cellStyle name="Percent 3 2" xfId="177" xr:uid="{00000000-0005-0000-0000-0000C1000000}"/>
    <cellStyle name="Percent 3 4" xfId="359" xr:uid="{78A99505-EC67-4206-B2C9-1819EDBB0FC9}"/>
    <cellStyle name="Percent 4" xfId="178" xr:uid="{00000000-0005-0000-0000-0000C2000000}"/>
    <cellStyle name="Percent 5" xfId="242" xr:uid="{00000000-0005-0000-0000-0000C3000000}"/>
    <cellStyle name="Percent 5 2" xfId="283" xr:uid="{EE306330-9B32-4F9B-B4D4-9365BF2D5E91}"/>
    <cellStyle name="Percent 6" xfId="271" xr:uid="{F171ED30-C811-4F79-BA29-016AA3F81E81}"/>
    <cellStyle name="Percent 7" xfId="179" xr:uid="{00000000-0005-0000-0000-0000C4000000}"/>
    <cellStyle name="Percent 8" xfId="339" xr:uid="{3F3F137D-3A05-4EED-ADD9-505381EF2194}"/>
    <cellStyle name="Percent 9" xfId="387" xr:uid="{29A4EBBD-8CBF-4DEB-82DB-8801C55E7B06}"/>
    <cellStyle name="Percentage" xfId="180" xr:uid="{00000000-0005-0000-0000-0000C5000000}"/>
    <cellStyle name="Period Title" xfId="181" xr:uid="{00000000-0005-0000-0000-0000C6000000}"/>
    <cellStyle name="PSChar" xfId="182" xr:uid="{00000000-0005-0000-0000-0000C7000000}"/>
    <cellStyle name="PSDate" xfId="183" xr:uid="{00000000-0005-0000-0000-0000C8000000}"/>
    <cellStyle name="PSDec" xfId="184" xr:uid="{00000000-0005-0000-0000-0000C9000000}"/>
    <cellStyle name="PSDetail" xfId="185" xr:uid="{00000000-0005-0000-0000-0000CA000000}"/>
    <cellStyle name="PSHeading" xfId="186" xr:uid="{00000000-0005-0000-0000-0000CB000000}"/>
    <cellStyle name="PSInt" xfId="187" xr:uid="{00000000-0005-0000-0000-0000CC000000}"/>
    <cellStyle name="PSSpacer" xfId="188" xr:uid="{00000000-0005-0000-0000-0000CD000000}"/>
    <cellStyle name="Ratio" xfId="189" xr:uid="{00000000-0005-0000-0000-0000CE000000}"/>
    <cellStyle name="Ratio 2" xfId="190" xr:uid="{00000000-0005-0000-0000-0000CF000000}"/>
    <cellStyle name="Ratio_29(d) - Gas extensions -tariffs" xfId="191" xr:uid="{00000000-0005-0000-0000-0000D0000000}"/>
    <cellStyle name="Right Date" xfId="192" xr:uid="{00000000-0005-0000-0000-0000D1000000}"/>
    <cellStyle name="Right Number" xfId="193" xr:uid="{00000000-0005-0000-0000-0000D2000000}"/>
    <cellStyle name="Right Year" xfId="194" xr:uid="{00000000-0005-0000-0000-0000D3000000}"/>
    <cellStyle name="RIN_TB2" xfId="365" xr:uid="{DEC8EE20-4671-496B-88FC-5D5E8DA5BA9E}"/>
    <cellStyle name="SAPError" xfId="195" xr:uid="{00000000-0005-0000-0000-0000D4000000}"/>
    <cellStyle name="SAPError 2" xfId="196" xr:uid="{00000000-0005-0000-0000-0000D5000000}"/>
    <cellStyle name="SAPKey" xfId="197" xr:uid="{00000000-0005-0000-0000-0000D6000000}"/>
    <cellStyle name="SAPKey 2" xfId="198" xr:uid="{00000000-0005-0000-0000-0000D7000000}"/>
    <cellStyle name="SAPLocked" xfId="199" xr:uid="{00000000-0005-0000-0000-0000D8000000}"/>
    <cellStyle name="SAPLocked 2" xfId="200" xr:uid="{00000000-0005-0000-0000-0000D9000000}"/>
    <cellStyle name="SAPOutput" xfId="201" xr:uid="{00000000-0005-0000-0000-0000DA000000}"/>
    <cellStyle name="SAPOutput 2" xfId="202" xr:uid="{00000000-0005-0000-0000-0000DB000000}"/>
    <cellStyle name="SAPSpace" xfId="203" xr:uid="{00000000-0005-0000-0000-0000DC000000}"/>
    <cellStyle name="SAPSpace 2" xfId="204" xr:uid="{00000000-0005-0000-0000-0000DD000000}"/>
    <cellStyle name="SAPText" xfId="205" xr:uid="{00000000-0005-0000-0000-0000DE000000}"/>
    <cellStyle name="SAPText 2" xfId="206" xr:uid="{00000000-0005-0000-0000-0000DF000000}"/>
    <cellStyle name="SAPUnLocked" xfId="207" xr:uid="{00000000-0005-0000-0000-0000E0000000}"/>
    <cellStyle name="SAPUnLocked 2" xfId="208" xr:uid="{00000000-0005-0000-0000-0000E1000000}"/>
    <cellStyle name="Sheet Title" xfId="209" xr:uid="{00000000-0005-0000-0000-0000E2000000}"/>
    <cellStyle name="SheetHeader1" xfId="256" xr:uid="{00000000-0005-0000-0000-0000E3000000}"/>
    <cellStyle name="SheetHeader2" xfId="257" xr:uid="{00000000-0005-0000-0000-0000E4000000}"/>
    <cellStyle name="SheetHeader3" xfId="258" xr:uid="{00000000-0005-0000-0000-0000E5000000}"/>
    <cellStyle name="Style 1" xfId="210" xr:uid="{00000000-0005-0000-0000-0000E6000000}"/>
    <cellStyle name="Style 1 2" xfId="211" xr:uid="{00000000-0005-0000-0000-0000E7000000}"/>
    <cellStyle name="Style 1_29(d) - Gas extensions -tariffs" xfId="212" xr:uid="{00000000-0005-0000-0000-0000E8000000}"/>
    <cellStyle name="Style2" xfId="213" xr:uid="{00000000-0005-0000-0000-0000E9000000}"/>
    <cellStyle name="Style3" xfId="214" xr:uid="{00000000-0005-0000-0000-0000EA000000}"/>
    <cellStyle name="Style4" xfId="215" xr:uid="{00000000-0005-0000-0000-0000EB000000}"/>
    <cellStyle name="Style4 2" xfId="216" xr:uid="{00000000-0005-0000-0000-0000EC000000}"/>
    <cellStyle name="Style4_29(d) - Gas extensions -tariffs" xfId="217" xr:uid="{00000000-0005-0000-0000-0000ED000000}"/>
    <cellStyle name="Style5" xfId="218" xr:uid="{00000000-0005-0000-0000-0000EE000000}"/>
    <cellStyle name="Style5 2" xfId="219" xr:uid="{00000000-0005-0000-0000-0000EF000000}"/>
    <cellStyle name="Style5_29(d) - Gas extensions -tariffs" xfId="220" xr:uid="{00000000-0005-0000-0000-0000F0000000}"/>
    <cellStyle name="Table Head Green" xfId="221" xr:uid="{00000000-0005-0000-0000-0000F1000000}"/>
    <cellStyle name="Table Head Green 2" xfId="350" xr:uid="{96B1A910-FC7C-4A8B-AC17-E7991FE58C03}"/>
    <cellStyle name="Table Head_pldt" xfId="222" xr:uid="{00000000-0005-0000-0000-0000F2000000}"/>
    <cellStyle name="Table Source" xfId="223" xr:uid="{00000000-0005-0000-0000-0000F3000000}"/>
    <cellStyle name="Table Units" xfId="224" xr:uid="{00000000-0005-0000-0000-0000F4000000}"/>
    <cellStyle name="Table_Heading" xfId="259" xr:uid="{00000000-0005-0000-0000-0000F5000000}"/>
    <cellStyle name="TableLvl2" xfId="275" xr:uid="{B5BD0719-D568-4DFD-A244-319985B525F1}"/>
    <cellStyle name="TableLvl3" xfId="276" xr:uid="{5410381B-AE5A-4E41-A698-2D7BDA770ABB}"/>
    <cellStyle name="Technical_Input" xfId="260" xr:uid="{00000000-0005-0000-0000-0000F6000000}"/>
    <cellStyle name="Text" xfId="225" xr:uid="{00000000-0005-0000-0000-0000F7000000}"/>
    <cellStyle name="Text 2" xfId="226" xr:uid="{00000000-0005-0000-0000-0000F8000000}"/>
    <cellStyle name="Text 3" xfId="227" xr:uid="{00000000-0005-0000-0000-0000F9000000}"/>
    <cellStyle name="Text Head 1" xfId="228" xr:uid="{00000000-0005-0000-0000-0000FA000000}"/>
    <cellStyle name="Text Head 2" xfId="229" xr:uid="{00000000-0005-0000-0000-0000FB000000}"/>
    <cellStyle name="Text Indent 2" xfId="230" xr:uid="{00000000-0005-0000-0000-0000FC000000}"/>
    <cellStyle name="Theirs" xfId="231" xr:uid="{00000000-0005-0000-0000-0000FD000000}"/>
    <cellStyle name="Title 2" xfId="232" xr:uid="{00000000-0005-0000-0000-0000FE000000}"/>
    <cellStyle name="TOC 1" xfId="233" xr:uid="{00000000-0005-0000-0000-0000FF000000}"/>
    <cellStyle name="TOC 2" xfId="234" xr:uid="{00000000-0005-0000-0000-000000010000}"/>
    <cellStyle name="TOC 3" xfId="235" xr:uid="{00000000-0005-0000-0000-000001010000}"/>
    <cellStyle name="Total 2" xfId="236" xr:uid="{00000000-0005-0000-0000-000002010000}"/>
    <cellStyle name="Totals" xfId="261" xr:uid="{00000000-0005-0000-0000-000003010000}"/>
    <cellStyle name="unit" xfId="262" xr:uid="{00000000-0005-0000-0000-000004010000}"/>
    <cellStyle name="User_Input" xfId="263" xr:uid="{00000000-0005-0000-0000-000005010000}"/>
    <cellStyle name="Warning Text 2" xfId="237" xr:uid="{00000000-0005-0000-0000-000006010000}"/>
    <cellStyle name="year" xfId="238" xr:uid="{00000000-0005-0000-0000-000007010000}"/>
    <cellStyle name="year 2" xfId="239" xr:uid="{00000000-0005-0000-0000-000008010000}"/>
    <cellStyle name="year 2 2" xfId="352" xr:uid="{80688001-1324-48B6-9C55-A538BC4160FC}"/>
    <cellStyle name="year 3" xfId="351" xr:uid="{2B4C7264-512D-459A-B601-96E42781C7F7}"/>
    <cellStyle name="year_29(d) - Gas extensions -tariffs" xfId="240" xr:uid="{00000000-0005-0000-0000-000009010000}"/>
  </cellStyles>
  <dxfs count="16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856C"/>
      <color rgb="FF263A69"/>
      <color rgb="FF4FBDE0"/>
      <color rgb="FF0F90C0"/>
      <color rgb="FF185CAA"/>
      <color rgb="FF3EB08E"/>
      <color rgb="FF4BACC6"/>
      <color rgb="FFCDDC29"/>
      <color rgb="FF031F73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U66" dT="2024-07-25T23:06:08.87" personId="{00000000-0000-0000-0000-000000000000}" id="{87A420D2-7C2A-4465-A027-0163F76F8333}">
    <text>Due to error in final decision - have back calculated a value here - this does not reflect out actual forecast.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AD31"/>
  <sheetViews>
    <sheetView tabSelected="1" workbookViewId="0">
      <selection activeCell="D15" sqref="D15"/>
    </sheetView>
  </sheetViews>
  <sheetFormatPr defaultColWidth="0" defaultRowHeight="11.25" zeroHeight="1"/>
  <cols>
    <col min="1" max="2" width="1.5" style="8" customWidth="1"/>
    <col min="3" max="3" width="30.6640625" style="8" customWidth="1"/>
    <col min="4" max="4" width="163.6640625" style="8" customWidth="1"/>
    <col min="5" max="5" width="6.5" style="8" customWidth="1"/>
    <col min="6" max="6" width="9.33203125" style="8" hidden="1" customWidth="1"/>
    <col min="7" max="14" width="9.66406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30" s="1" customFormat="1" ht="15.75" customHeight="1">
      <c r="A1" s="32"/>
      <c r="B1" s="29" t="s">
        <v>0</v>
      </c>
      <c r="C1" s="29"/>
      <c r="D1" s="32"/>
      <c r="E1" s="32"/>
      <c r="G1" s="2"/>
      <c r="H1" s="3"/>
      <c r="I1" s="4"/>
    </row>
    <row r="2" spans="1:30" s="5" customFormat="1" ht="13.5" customHeight="1" thickBot="1">
      <c r="A2" s="36"/>
      <c r="B2" s="35" t="s">
        <v>1</v>
      </c>
      <c r="C2" s="35"/>
      <c r="D2" s="36"/>
      <c r="E2" s="36"/>
    </row>
    <row r="3" spans="1:30" s="6" customFormat="1" ht="3" customHeight="1"/>
    <row r="4" spans="1:30" customFormat="1" ht="12.75">
      <c r="A4" s="37"/>
      <c r="B4" s="43" t="s">
        <v>2</v>
      </c>
      <c r="C4" s="37"/>
      <c r="D4" s="37"/>
      <c r="E4" s="37"/>
      <c r="F4" s="38"/>
      <c r="G4" s="38"/>
      <c r="H4" s="38"/>
      <c r="I4" s="38"/>
      <c r="J4" s="39"/>
      <c r="K4" s="40"/>
      <c r="L4" s="39"/>
      <c r="M4" s="40"/>
      <c r="N4" s="39"/>
      <c r="O4" s="39"/>
      <c r="P4" s="39"/>
      <c r="Q4" s="39"/>
      <c r="R4" s="39"/>
      <c r="S4" s="39"/>
      <c r="T4" s="39"/>
      <c r="U4" s="39"/>
      <c r="V4" s="40"/>
      <c r="W4" s="40"/>
      <c r="X4" s="41"/>
      <c r="Y4" s="41"/>
      <c r="Z4" s="41"/>
      <c r="AA4" s="41"/>
      <c r="AB4" s="41"/>
      <c r="AC4" s="42"/>
      <c r="AD4" s="42"/>
    </row>
    <row r="5" spans="1:30"/>
    <row r="6" spans="1:30">
      <c r="C6" s="9" t="s">
        <v>3</v>
      </c>
      <c r="D6" s="9" t="s">
        <v>4</v>
      </c>
    </row>
    <row r="7" spans="1:30">
      <c r="C7" s="19" t="s">
        <v>5</v>
      </c>
      <c r="D7" s="7" t="s">
        <v>6</v>
      </c>
    </row>
    <row r="8" spans="1:30">
      <c r="C8" s="19" t="s">
        <v>7</v>
      </c>
      <c r="D8" s="7" t="s">
        <v>8</v>
      </c>
    </row>
    <row r="9" spans="1:30">
      <c r="C9" s="19" t="s">
        <v>9</v>
      </c>
      <c r="D9" s="7" t="s">
        <v>10</v>
      </c>
    </row>
    <row r="10" spans="1:30">
      <c r="C10" s="19" t="s">
        <v>11</v>
      </c>
      <c r="D10" s="7" t="s">
        <v>12</v>
      </c>
    </row>
    <row r="11" spans="1:30">
      <c r="C11" s="19" t="s">
        <v>13</v>
      </c>
      <c r="D11" s="7" t="s">
        <v>14</v>
      </c>
    </row>
    <row r="12" spans="1:30">
      <c r="C12" s="19" t="s">
        <v>15</v>
      </c>
      <c r="D12" s="7" t="s">
        <v>16</v>
      </c>
    </row>
    <row r="13" spans="1:30">
      <c r="C13" s="19" t="s">
        <v>17</v>
      </c>
      <c r="D13" s="7" t="s">
        <v>18</v>
      </c>
    </row>
    <row r="14" spans="1:30">
      <c r="C14" s="19" t="s">
        <v>19</v>
      </c>
      <c r="D14" s="7" t="s">
        <v>20</v>
      </c>
    </row>
    <row r="15" spans="1:30">
      <c r="C15" s="19" t="s">
        <v>21</v>
      </c>
      <c r="D15" s="7" t="s">
        <v>22</v>
      </c>
    </row>
    <row r="16" spans="1:30" ht="12.75">
      <c r="C16" s="10"/>
      <c r="D16" s="7"/>
    </row>
    <row r="17" spans="1:30" customFormat="1" ht="12.75">
      <c r="A17" s="37"/>
      <c r="B17" s="43" t="s">
        <v>23</v>
      </c>
      <c r="C17" s="37"/>
      <c r="D17" s="37"/>
      <c r="E17" s="37"/>
      <c r="F17" s="38"/>
      <c r="G17" s="38"/>
      <c r="H17" s="38"/>
      <c r="I17" s="38"/>
      <c r="J17" s="39"/>
      <c r="K17" s="40"/>
      <c r="L17" s="39"/>
      <c r="M17" s="40"/>
      <c r="N17" s="39"/>
      <c r="O17" s="39"/>
      <c r="P17" s="39"/>
      <c r="Q17" s="39"/>
      <c r="R17" s="39"/>
      <c r="S17" s="39"/>
      <c r="T17" s="39"/>
      <c r="U17" s="39"/>
      <c r="V17" s="40"/>
      <c r="W17" s="40"/>
      <c r="X17" s="41"/>
      <c r="Y17" s="41"/>
      <c r="Z17" s="41"/>
      <c r="AA17" s="41"/>
      <c r="AB17" s="41"/>
      <c r="AC17" s="42"/>
      <c r="AD17" s="42"/>
    </row>
    <row r="18" spans="1:30" hidden="1">
      <c r="D18" s="7"/>
      <c r="F18" s="25"/>
    </row>
    <row r="19" spans="1:30" hidden="1">
      <c r="D19" s="7"/>
      <c r="F19" s="25"/>
    </row>
    <row r="20" spans="1:30" hidden="1">
      <c r="D20" s="7"/>
      <c r="F20" s="25"/>
    </row>
    <row r="21" spans="1:30" hidden="1">
      <c r="D21" s="7"/>
      <c r="F21" s="25"/>
    </row>
    <row r="22" spans="1:30" hidden="1">
      <c r="D22" s="7"/>
      <c r="F22" s="25"/>
    </row>
    <row r="23" spans="1:30" hidden="1">
      <c r="C23" s="7"/>
      <c r="D23" s="7"/>
      <c r="F23" s="25"/>
    </row>
    <row r="24" spans="1:30" hidden="1">
      <c r="C24" s="7"/>
      <c r="D24" s="7"/>
      <c r="F24" s="25"/>
    </row>
    <row r="25" spans="1:30" hidden="1">
      <c r="C25" s="7"/>
      <c r="D25" s="7"/>
    </row>
    <row r="26" spans="1:30" hidden="1">
      <c r="D26" s="7"/>
    </row>
    <row r="27" spans="1:30" hidden="1">
      <c r="D27" s="7"/>
    </row>
    <row r="28" spans="1:30" hidden="1">
      <c r="D28" s="7"/>
    </row>
    <row r="29" spans="1:30" hidden="1">
      <c r="D29" s="7"/>
    </row>
    <row r="30" spans="1:30" hidden="1">
      <c r="D30" s="7"/>
    </row>
    <row r="31" spans="1:30" ht="12.75" hidden="1">
      <c r="C31" s="10"/>
      <c r="D31" s="7"/>
    </row>
  </sheetData>
  <hyperlinks>
    <hyperlink ref="C12" location="'Calc|Opex forecast'!A1" display="Calc | Opex Forecast_final" xr:uid="{00000000-0004-0000-0000-000000000000}"/>
    <hyperlink ref="C14" location="'Lookup|Tables'!A1" display="Lookup | Tables" xr:uid="{00000000-0004-0000-0000-000001000000}"/>
    <hyperlink ref="C15" location="'Check|List'!A1" display="Check | List" xr:uid="{00000000-0004-0000-0000-000002000000}"/>
    <hyperlink ref="C7" location="'Input|General'!A1" display="Input | General" xr:uid="{00000000-0004-0000-0000-000003000000}"/>
    <hyperlink ref="C9" location="'Input|Reported opex'!A1" display="Input | Reported opex" xr:uid="{00000000-0004-0000-0000-000004000000}"/>
    <hyperlink ref="C10" location="'Input|Rate of change'!A1" display="Input | Rate of change_final" xr:uid="{00000000-0004-0000-0000-000005000000}"/>
    <hyperlink ref="C11" location="'Input|Step changes'!A1" display="Input | Step changes" xr:uid="{00000000-0004-0000-0000-000006000000}"/>
    <hyperlink ref="C8" location="'Input|Inflation'!A1" display="Input | Inflation" xr:uid="{00000000-0004-0000-0000-000007000000}"/>
    <hyperlink ref="C13" location="'Output|Models'!A1" display="Output | Models" xr:uid="{00000000-0004-0000-0000-000008000000}"/>
  </hyperlinks>
  <pageMargins left="0.7" right="0.7" top="0.75" bottom="0.75" header="0.3" footer="0.3"/>
  <pageSetup paperSize="9" orientation="portrait" verticalDpi="4" r:id="rId1"/>
  <headerFooter>
    <oddFooter>&amp;C_x000D_&amp;1#&amp;"Century Gothic"&amp;7&amp;K7F7F7F BUSINESS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AD28"/>
  <sheetViews>
    <sheetView zoomScaleNormal="100" workbookViewId="0">
      <selection activeCell="G9" sqref="G9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1.1640625" style="16" customWidth="1"/>
    <col min="5" max="6" width="3.33203125" style="16" customWidth="1"/>
    <col min="7" max="7" width="16.1640625" style="16" bestFit="1" customWidth="1"/>
    <col min="8" max="9" width="3.33203125" style="16" customWidth="1"/>
    <col min="10" max="23" width="10.6640625" style="8" customWidth="1"/>
    <col min="24" max="38" width="10.5" style="8" hidden="1" customWidth="1"/>
    <col min="39" max="16384" width="10.5" style="8" hidden="1"/>
  </cols>
  <sheetData>
    <row r="1" spans="1:30" s="32" customFormat="1" ht="15.75">
      <c r="B1" s="29" t="str">
        <f>Index!$B$1</f>
        <v>AER opex model v1.9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33" t="s">
        <v>29</v>
      </c>
      <c r="S1" s="34" t="str">
        <f>IF(COUNTA($S$5:$S$17)=COUNTIF($S5:$S18,"OK"),"OK","Check")</f>
        <v>OK</v>
      </c>
      <c r="U1" s="129" t="s">
        <v>30</v>
      </c>
      <c r="V1" s="34" t="str">
        <f>'Check|List'!$S$1</f>
        <v>Ok</v>
      </c>
    </row>
    <row r="2" spans="1:30" s="36" customFormat="1" ht="13.5" thickBot="1">
      <c r="B2" s="35" t="str">
        <f>Index!$C$7</f>
        <v>Input | General</v>
      </c>
      <c r="C2" s="35"/>
      <c r="D2" s="35"/>
      <c r="E2" s="35"/>
      <c r="F2" s="59"/>
      <c r="G2" s="59"/>
      <c r="H2" s="59"/>
      <c r="I2" s="59"/>
    </row>
    <row r="3" spans="1:30" s="6" customFormat="1" ht="3" customHeight="1">
      <c r="D3" s="27"/>
      <c r="E3" s="27"/>
      <c r="F3" s="27"/>
      <c r="G3" s="27"/>
      <c r="H3" s="27"/>
      <c r="I3" s="27"/>
    </row>
    <row r="4" spans="1:30" customFormat="1" ht="12.75">
      <c r="A4" s="37"/>
      <c r="B4" s="43" t="s">
        <v>31</v>
      </c>
      <c r="C4" s="37"/>
      <c r="D4" s="37"/>
      <c r="E4" s="37"/>
      <c r="F4" s="38"/>
      <c r="G4" s="38"/>
      <c r="H4" s="38"/>
      <c r="I4" s="38"/>
      <c r="J4" s="39"/>
      <c r="K4" s="40"/>
      <c r="L4" s="39"/>
      <c r="M4" s="40"/>
      <c r="N4" s="39"/>
      <c r="O4" s="39"/>
      <c r="P4" s="39"/>
      <c r="Q4" s="39"/>
      <c r="R4" s="39"/>
      <c r="S4" s="39"/>
      <c r="T4" s="39"/>
      <c r="U4" s="39"/>
      <c r="V4" s="40"/>
      <c r="W4" s="40"/>
      <c r="X4" s="41"/>
      <c r="Y4" s="41"/>
      <c r="Z4" s="41"/>
      <c r="AA4" s="41"/>
      <c r="AB4" s="41"/>
      <c r="AC4" s="42"/>
      <c r="AD4" s="42"/>
    </row>
    <row r="5" spans="1:30"/>
    <row r="6" spans="1:30">
      <c r="C6" s="13" t="s">
        <v>32</v>
      </c>
      <c r="D6" s="21" t="s">
        <v>33</v>
      </c>
      <c r="E6" s="21"/>
      <c r="F6" s="14"/>
      <c r="G6" s="14" t="s">
        <v>34</v>
      </c>
      <c r="H6" s="14"/>
      <c r="I6" s="8"/>
    </row>
    <row r="7" spans="1:30">
      <c r="C7" s="8" t="s">
        <v>35</v>
      </c>
      <c r="D7" s="16" t="s">
        <v>36</v>
      </c>
      <c r="E7" s="8"/>
      <c r="F7" s="8"/>
      <c r="G7" s="44" t="s">
        <v>37</v>
      </c>
      <c r="H7" s="8"/>
      <c r="I7" s="8"/>
      <c r="S7" s="89" t="str">
        <f>IF(COUNTBLANK($G7),"Check","Ok")</f>
        <v>Ok</v>
      </c>
    </row>
    <row r="8" spans="1:30">
      <c r="C8" s="8" t="s">
        <v>38</v>
      </c>
      <c r="D8" s="16" t="s">
        <v>39</v>
      </c>
      <c r="E8" s="8"/>
      <c r="F8" s="8"/>
      <c r="G8" s="44" t="s">
        <v>40</v>
      </c>
      <c r="H8" s="8"/>
      <c r="I8" s="8"/>
      <c r="S8" s="89" t="str">
        <f>IF(COUNTBLANK($G8),"Check","Ok")</f>
        <v>Ok</v>
      </c>
    </row>
    <row r="9" spans="1:30">
      <c r="C9" s="8" t="s">
        <v>41</v>
      </c>
      <c r="D9" s="16" t="s">
        <v>36</v>
      </c>
      <c r="E9" s="8"/>
      <c r="F9" s="8"/>
      <c r="G9" s="105">
        <v>36861</v>
      </c>
      <c r="H9" s="8"/>
      <c r="I9" s="8"/>
      <c r="S9" s="89" t="str">
        <f>IF(COUNTBLANK($G9),"Check","Ok")</f>
        <v>Ok</v>
      </c>
    </row>
    <row r="10" spans="1:30">
      <c r="C10" s="8" t="s">
        <v>42</v>
      </c>
      <c r="D10" s="16" t="s">
        <v>36</v>
      </c>
      <c r="E10" s="8"/>
      <c r="F10" s="8"/>
      <c r="G10" s="105">
        <v>36678</v>
      </c>
      <c r="H10" s="8"/>
      <c r="I10" s="8"/>
      <c r="S10" s="89" t="str">
        <f>IF(COUNTBLANK($G10),"Check","Ok")</f>
        <v>Ok</v>
      </c>
    </row>
    <row r="11" spans="1:30">
      <c r="C11" s="8" t="s">
        <v>43</v>
      </c>
      <c r="D11" s="16" t="s">
        <v>36</v>
      </c>
      <c r="E11" s="8"/>
      <c r="F11" s="8"/>
      <c r="G11" s="106">
        <v>2018</v>
      </c>
      <c r="H11" s="8"/>
      <c r="I11" s="8"/>
      <c r="S11" s="89" t="str">
        <f>IF(COUNTBLANK($G11),"Check","Ok")</f>
        <v>Ok</v>
      </c>
    </row>
    <row r="12" spans="1:30">
      <c r="C12" s="8" t="s">
        <v>44</v>
      </c>
      <c r="D12" s="16" t="s">
        <v>36</v>
      </c>
      <c r="E12" s="8"/>
      <c r="F12" s="8"/>
      <c r="G12" s="106">
        <v>2021</v>
      </c>
      <c r="H12" s="8"/>
      <c r="I12" s="8"/>
      <c r="S12" s="89" t="str">
        <f t="shared" ref="S12:S16" si="0">IF(COUNTBLANK($G12),"Check","Ok")</f>
        <v>Ok</v>
      </c>
    </row>
    <row r="13" spans="1:30">
      <c r="C13" s="8" t="s">
        <v>45</v>
      </c>
      <c r="D13" s="16" t="s">
        <v>36</v>
      </c>
      <c r="E13" s="8"/>
      <c r="F13" s="8"/>
      <c r="G13" s="106">
        <v>2022</v>
      </c>
      <c r="H13" s="8"/>
      <c r="I13" s="8"/>
      <c r="S13" s="89" t="str">
        <f t="shared" si="0"/>
        <v>Ok</v>
      </c>
    </row>
    <row r="14" spans="1:30">
      <c r="C14" s="8" t="s">
        <v>46</v>
      </c>
      <c r="D14" s="16" t="s">
        <v>36</v>
      </c>
      <c r="E14" s="8"/>
      <c r="F14" s="8"/>
      <c r="G14" s="106">
        <v>2023</v>
      </c>
      <c r="H14" s="8"/>
      <c r="I14" s="8"/>
      <c r="S14" s="89" t="str">
        <f>IF(COUNTBLANK($G14),"Check","Ok")</f>
        <v>Ok</v>
      </c>
    </row>
    <row r="15" spans="1:30">
      <c r="C15" s="8" t="s">
        <v>47</v>
      </c>
      <c r="D15" s="16" t="s">
        <v>36</v>
      </c>
      <c r="E15" s="8"/>
      <c r="F15" s="8"/>
      <c r="G15" s="106">
        <v>2024</v>
      </c>
      <c r="H15" s="8"/>
      <c r="I15" s="8"/>
      <c r="S15" s="89" t="str">
        <f t="shared" si="0"/>
        <v>Ok</v>
      </c>
    </row>
    <row r="16" spans="1:30">
      <c r="C16" s="8" t="s">
        <v>48</v>
      </c>
      <c r="D16" s="16" t="s">
        <v>36</v>
      </c>
      <c r="E16" s="8"/>
      <c r="F16" s="8"/>
      <c r="G16" s="106">
        <v>2028</v>
      </c>
      <c r="H16" s="8"/>
      <c r="I16" s="8"/>
      <c r="S16" s="89" t="str">
        <f t="shared" si="0"/>
        <v>Ok</v>
      </c>
    </row>
    <row r="17" spans="1:30">
      <c r="D17" s="8"/>
      <c r="E17" s="8"/>
      <c r="F17" s="8"/>
      <c r="G17" s="8"/>
      <c r="H17" s="8"/>
      <c r="I17" s="8"/>
    </row>
    <row r="18" spans="1:30" customFormat="1" ht="12.75">
      <c r="A18" s="37"/>
      <c r="B18" s="43" t="s">
        <v>23</v>
      </c>
      <c r="C18" s="37"/>
      <c r="D18" s="37"/>
      <c r="E18" s="37"/>
      <c r="F18" s="38"/>
      <c r="G18" s="38"/>
      <c r="H18" s="38"/>
      <c r="I18" s="38"/>
      <c r="J18" s="39"/>
      <c r="K18" s="40"/>
      <c r="L18" s="39"/>
      <c r="M18" s="40"/>
      <c r="N18" s="39"/>
      <c r="O18" s="39"/>
      <c r="P18" s="39"/>
      <c r="Q18" s="39"/>
      <c r="R18" s="39"/>
      <c r="S18" s="39"/>
      <c r="T18" s="39"/>
      <c r="U18" s="39"/>
      <c r="V18" s="40"/>
      <c r="W18" s="40"/>
      <c r="X18" s="41"/>
      <c r="Y18" s="41"/>
      <c r="Z18" s="41"/>
      <c r="AA18" s="41"/>
      <c r="AB18" s="41"/>
      <c r="AC18" s="42"/>
      <c r="AD18" s="42"/>
    </row>
    <row r="19" spans="1:30" hidden="1">
      <c r="G19" s="21"/>
      <c r="H19" s="21"/>
    </row>
    <row r="20" spans="1:30" hidden="1">
      <c r="G20" s="21"/>
      <c r="H20" s="21"/>
    </row>
    <row r="21" spans="1:30" hidden="1">
      <c r="G21" s="21"/>
      <c r="H21" s="21"/>
    </row>
    <row r="22" spans="1:30" hidden="1">
      <c r="G22" s="21"/>
      <c r="H22" s="21"/>
    </row>
    <row r="23" spans="1:30" hidden="1">
      <c r="G23" s="21"/>
      <c r="H23" s="21"/>
    </row>
    <row r="24" spans="1:30" hidden="1">
      <c r="G24" s="21"/>
      <c r="H24" s="21"/>
    </row>
    <row r="25" spans="1:30" hidden="1">
      <c r="G25" s="21"/>
      <c r="H25" s="21"/>
    </row>
    <row r="26" spans="1:30" hidden="1">
      <c r="G26" s="21"/>
      <c r="H26" s="21"/>
    </row>
    <row r="27" spans="1:30" hidden="1">
      <c r="G27" s="21"/>
      <c r="H27" s="21"/>
    </row>
    <row r="28" spans="1:30" hidden="1">
      <c r="G28" s="21"/>
      <c r="H28" s="21"/>
    </row>
  </sheetData>
  <dataConsolidate/>
  <conditionalFormatting sqref="S1">
    <cfRule type="cellIs" dxfId="167" priority="1" operator="equal">
      <formula>"Check"</formula>
    </cfRule>
    <cfRule type="cellIs" dxfId="166" priority="2" operator="equal">
      <formula>"Ok"</formula>
    </cfRule>
  </conditionalFormatting>
  <conditionalFormatting sqref="S7:S16">
    <cfRule type="cellIs" dxfId="165" priority="5" operator="equal">
      <formula>"Check"</formula>
    </cfRule>
    <cfRule type="cellIs" dxfId="164" priority="6" operator="equal">
      <formula>"Ok"</formula>
    </cfRule>
  </conditionalFormatting>
  <conditionalFormatting sqref="V1">
    <cfRule type="cellIs" dxfId="163" priority="3" operator="equal">
      <formula>"Check"</formula>
    </cfRule>
    <cfRule type="cellIs" dxfId="162" priority="4" operator="equal">
      <formula>"Ok"</formula>
    </cfRule>
  </conditionalFormatting>
  <conditionalFormatting sqref="W16:W17">
    <cfRule type="cellIs" dxfId="161" priority="13" operator="equal">
      <formula>"Check"</formula>
    </cfRule>
    <cfRule type="cellIs" dxfId="160" priority="14" operator="equal">
      <formula>"Ok"</formula>
    </cfRule>
  </conditionalFormatting>
  <dataValidations count="3">
    <dataValidation type="list" allowBlank="1" showInputMessage="1" showErrorMessage="1" sqref="F13:F15 I13:I17" xr:uid="{00000000-0002-0000-0100-000000000000}">
      <formula1>#REF!</formula1>
    </dataValidation>
    <dataValidation type="list" allowBlank="1" showInputMessage="1" showErrorMessage="1" sqref="G8" xr:uid="{00000000-0002-0000-0100-000001000000}">
      <formula1>"draft,final"</formula1>
    </dataValidation>
    <dataValidation type="list" allowBlank="1" showInputMessage="1" showErrorMessage="1" sqref="F16:F17" xr:uid="{00000000-0002-0000-0100-000002000000}">
      <formula1>"Real 2010,Real 2011,Real 2012,Real 2013,Real 2014,Real 2015,Nominal"</formula1>
    </dataValidation>
  </dataValidations>
  <hyperlinks>
    <hyperlink ref="J1" location="Index!A1" display="Back to Index" xr:uid="{00000000-0004-0000-0100-000000000000}"/>
    <hyperlink ref="U1" location="'Check|List'!A1" display="Overall Check:" xr:uid="{00000000-0004-0000-0100-000001000000}"/>
  </hyperlinks>
  <pageMargins left="0.7" right="0.7" top="0.75" bottom="0.75" header="0.3" footer="0.3"/>
  <pageSetup paperSize="9" orientation="portrait" verticalDpi="4" r:id="rId1"/>
  <headerFooter>
    <oddFooter>&amp;C_x000D_&amp;1#&amp;"Century Gothic"&amp;7&amp;K7F7F7F BUSINESS USE ONLY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4000000}">
          <x14:formula1>
            <xm:f>'Lookup|Tables'!$G$25:$G$36</xm:f>
          </x14:formula1>
          <xm:sqref>G9:G10</xm:sqref>
        </x14:dataValidation>
        <x14:dataValidation type="list" allowBlank="1" showInputMessage="1" showErrorMessage="1" xr:uid="{00000000-0002-0000-0100-000005000000}">
          <x14:formula1>
            <xm:f>'Lookup|Tables'!$G$41:$G$60</xm:f>
          </x14:formula1>
          <xm:sqref>G11:G16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FF99"/>
  </sheetPr>
  <dimension ref="A1:AV96"/>
  <sheetViews>
    <sheetView workbookViewId="0">
      <selection activeCell="N74" sqref="N74"/>
    </sheetView>
  </sheetViews>
  <sheetFormatPr defaultColWidth="0" defaultRowHeight="11.25" customHeight="1" zeroHeight="1"/>
  <cols>
    <col min="1" max="2" width="1.5" style="8" customWidth="1"/>
    <col min="3" max="3" width="11.6640625" style="8" bestFit="1" customWidth="1"/>
    <col min="4" max="5" width="21.5" style="16" customWidth="1"/>
    <col min="6" max="7" width="15" style="16" customWidth="1"/>
    <col min="8" max="10" width="3.33203125" style="16" customWidth="1"/>
    <col min="11" max="11" width="10.6640625" style="8" customWidth="1"/>
    <col min="12" max="13" width="20.6640625" style="8" customWidth="1"/>
    <col min="14" max="24" width="10.6640625" style="8" customWidth="1"/>
    <col min="25" max="39" width="10.5" style="8" hidden="1" customWidth="1"/>
    <col min="40" max="16384" width="10.5" style="8" hidden="1"/>
  </cols>
  <sheetData>
    <row r="1" spans="1:31" s="32" customFormat="1" ht="15.75">
      <c r="B1" s="29" t="str">
        <f>Index!$B$1</f>
        <v>AER opex model v1.9</v>
      </c>
      <c r="C1" s="29"/>
      <c r="D1" s="29"/>
      <c r="E1" s="29"/>
      <c r="F1" s="29"/>
      <c r="G1" s="30"/>
      <c r="H1" s="30"/>
      <c r="I1" s="30"/>
      <c r="J1" s="30"/>
      <c r="K1" s="31" t="s">
        <v>24</v>
      </c>
      <c r="M1" s="33" t="s">
        <v>25</v>
      </c>
      <c r="N1" s="50" t="s">
        <v>26</v>
      </c>
      <c r="O1" s="11" t="s">
        <v>27</v>
      </c>
      <c r="P1" s="12" t="s">
        <v>28</v>
      </c>
      <c r="S1" s="33" t="s">
        <v>29</v>
      </c>
      <c r="T1" s="34" t="str">
        <f>IF(COUNTA($T$5:$T$85)=COUNTIF($T5:$T86,"OK"),"OK","Check")</f>
        <v>OK</v>
      </c>
      <c r="V1" s="129" t="s">
        <v>30</v>
      </c>
      <c r="W1" s="34" t="str">
        <f>'Check|List'!$S$1</f>
        <v>Ok</v>
      </c>
    </row>
    <row r="2" spans="1:31" s="36" customFormat="1" ht="13.5" thickBot="1">
      <c r="B2" s="35" t="str">
        <f>Index!$C$7</f>
        <v>Input | General</v>
      </c>
      <c r="C2" s="35"/>
      <c r="D2" s="35"/>
      <c r="E2" s="35"/>
      <c r="F2" s="35"/>
      <c r="G2" s="59"/>
      <c r="H2" s="59"/>
      <c r="I2" s="59"/>
      <c r="J2" s="59"/>
    </row>
    <row r="3" spans="1:31" s="6" customFormat="1" ht="3" customHeight="1">
      <c r="D3" s="27"/>
      <c r="E3" s="27"/>
      <c r="F3" s="27"/>
      <c r="G3" s="27"/>
      <c r="H3" s="27"/>
      <c r="I3" s="27"/>
      <c r="J3" s="27"/>
    </row>
    <row r="4" spans="1:31" customFormat="1" ht="12.75">
      <c r="A4" s="37"/>
      <c r="B4" s="43" t="s">
        <v>31</v>
      </c>
      <c r="C4" s="37"/>
      <c r="D4" s="37"/>
      <c r="E4" s="37"/>
      <c r="F4" s="37"/>
      <c r="G4" s="38"/>
      <c r="H4" s="38"/>
      <c r="I4" s="38"/>
      <c r="J4" s="38"/>
      <c r="K4" s="39"/>
      <c r="L4" s="40"/>
      <c r="M4" s="39"/>
      <c r="N4" s="40"/>
      <c r="O4" s="39"/>
      <c r="P4" s="39"/>
      <c r="Q4" s="39"/>
      <c r="R4" s="39"/>
      <c r="S4" s="39"/>
      <c r="T4" s="39"/>
      <c r="U4" s="39"/>
      <c r="V4" s="39"/>
      <c r="W4" s="40"/>
      <c r="X4" s="40"/>
      <c r="Y4" s="41"/>
      <c r="Z4" s="41"/>
      <c r="AA4" s="41"/>
      <c r="AB4" s="41"/>
      <c r="AC4" s="41"/>
      <c r="AD4" s="42"/>
      <c r="AE4" s="42"/>
    </row>
    <row r="5" spans="1:31" ht="11.25" customHeight="1"/>
    <row r="6" spans="1:31" ht="53.25">
      <c r="D6" s="53" t="s">
        <v>49</v>
      </c>
      <c r="E6" s="53" t="s">
        <v>50</v>
      </c>
      <c r="F6" s="53" t="s">
        <v>49</v>
      </c>
      <c r="G6" s="53" t="s">
        <v>50</v>
      </c>
      <c r="H6" s="53"/>
      <c r="I6" s="8"/>
      <c r="J6" s="8"/>
    </row>
    <row r="7" spans="1:31">
      <c r="C7" s="9" t="s">
        <v>33</v>
      </c>
      <c r="D7" s="57" t="s">
        <v>51</v>
      </c>
      <c r="E7" s="57" t="s">
        <v>52</v>
      </c>
      <c r="F7" s="57" t="s">
        <v>51</v>
      </c>
      <c r="G7" s="57" t="s">
        <v>52</v>
      </c>
      <c r="H7" s="57"/>
      <c r="I7" s="8"/>
      <c r="J7" s="8"/>
    </row>
    <row r="8" spans="1:31">
      <c r="C8" s="9" t="s">
        <v>53</v>
      </c>
      <c r="D8" s="57" t="s">
        <v>54</v>
      </c>
      <c r="E8" s="57" t="s">
        <v>55</v>
      </c>
      <c r="F8" s="57" t="s">
        <v>54</v>
      </c>
      <c r="G8" s="57" t="s">
        <v>55</v>
      </c>
      <c r="H8" s="57"/>
      <c r="I8" s="8"/>
      <c r="J8" s="8"/>
    </row>
    <row r="9" spans="1:31">
      <c r="C9" s="55">
        <v>39172</v>
      </c>
      <c r="D9" s="54">
        <v>155.6</v>
      </c>
      <c r="E9" s="8"/>
      <c r="F9" s="8"/>
      <c r="G9" s="8"/>
      <c r="H9" s="8"/>
      <c r="I9" s="8"/>
      <c r="J9" s="8"/>
      <c r="T9" s="89" t="str">
        <f>IF(C9&gt;EOMONTH(DATE('Input|General'!$G$13,MONTH('Input|General'!$G$9),1),0),"Ok",IF(ISBLANK($D9),"Check","Ok"))</f>
        <v>Ok</v>
      </c>
    </row>
    <row r="10" spans="1:31">
      <c r="C10" s="55">
        <v>39263</v>
      </c>
      <c r="D10" s="54">
        <v>157.5</v>
      </c>
      <c r="E10" s="8"/>
      <c r="F10" s="8"/>
      <c r="G10" s="8"/>
      <c r="H10" s="8"/>
      <c r="I10" s="8"/>
      <c r="J10" s="8"/>
      <c r="T10" s="89" t="str">
        <f>IF(C10&gt;EOMONTH(DATE('Input|General'!$G$13,MONTH('Input|General'!$G$9),1),0),"Ok",IF(ISBLANK($D10),"Check","Ok"))</f>
        <v>Ok</v>
      </c>
    </row>
    <row r="11" spans="1:31">
      <c r="C11" s="55">
        <v>39355</v>
      </c>
      <c r="D11" s="54">
        <v>158.6</v>
      </c>
      <c r="E11" s="8"/>
      <c r="F11" s="8"/>
      <c r="G11" s="8"/>
      <c r="H11" s="8"/>
      <c r="I11" s="8"/>
      <c r="J11" s="8"/>
      <c r="T11" s="89" t="str">
        <f>IF(C11&gt;EOMONTH(DATE('Input|General'!$G$13,MONTH('Input|General'!$G$9),1),0),"Ok",IF(ISBLANK($D11),"Check","Ok"))</f>
        <v>Ok</v>
      </c>
    </row>
    <row r="12" spans="1:31">
      <c r="C12" s="55">
        <v>39447</v>
      </c>
      <c r="D12" s="54">
        <v>160.1</v>
      </c>
      <c r="E12" s="8"/>
      <c r="F12" s="8"/>
      <c r="G12" s="56"/>
      <c r="H12" s="8"/>
      <c r="I12" s="8"/>
      <c r="J12" s="8"/>
      <c r="T12" s="89" t="str">
        <f>IF(C12&gt;EOMONTH(DATE('Input|General'!$G$13,MONTH('Input|General'!$G$9),1),0),"Ok",IF(ISBLANK($D12),"Check","Ok"))</f>
        <v>Ok</v>
      </c>
    </row>
    <row r="13" spans="1:31">
      <c r="C13" s="55">
        <v>39538</v>
      </c>
      <c r="D13" s="54">
        <v>162.19999999999999</v>
      </c>
      <c r="E13" s="78">
        <f>D13/D9-1</f>
        <v>4.2416452442159303E-2</v>
      </c>
      <c r="F13" s="8"/>
      <c r="G13" s="56"/>
      <c r="H13" s="8"/>
      <c r="I13" s="8"/>
      <c r="J13" s="8"/>
      <c r="T13" s="89" t="str">
        <f>IF(C13&gt;EOMONTH(DATE('Input|General'!$G$13,MONTH('Input|General'!$G$9),1),0),"Ok",IF(ISBLANK($D13),"Check","Ok"))</f>
        <v>Ok</v>
      </c>
    </row>
    <row r="14" spans="1:31">
      <c r="C14" s="55">
        <v>39629</v>
      </c>
      <c r="D14" s="54">
        <v>164.6</v>
      </c>
      <c r="E14" s="78">
        <f t="shared" ref="E14:E29" si="0">D14/D10-1</f>
        <v>4.5079365079365052E-2</v>
      </c>
      <c r="F14" s="8"/>
      <c r="G14" s="56"/>
      <c r="H14" s="8"/>
      <c r="I14" s="8"/>
      <c r="J14" s="8"/>
      <c r="T14" s="89" t="str">
        <f>IF(C14&gt;EOMONTH(DATE('Input|General'!$G$13,MONTH('Input|General'!$G$9),1),0),"Ok",IF(ISBLANK($D14),"Check","Ok"))</f>
        <v>Ok</v>
      </c>
    </row>
    <row r="15" spans="1:31">
      <c r="C15" s="55">
        <v>39721</v>
      </c>
      <c r="D15" s="54">
        <v>166.5</v>
      </c>
      <c r="E15" s="78">
        <f t="shared" si="0"/>
        <v>4.9810844892812067E-2</v>
      </c>
      <c r="F15" s="8"/>
      <c r="G15" s="56"/>
      <c r="H15" s="8"/>
      <c r="I15" s="8"/>
      <c r="J15" s="8"/>
      <c r="T15" s="89" t="str">
        <f>IF(C15&gt;EOMONTH(DATE('Input|General'!$G$13,MONTH('Input|General'!$G$9),1),0),"Ok",IF(ISBLANK($D15),"Check","Ok"))</f>
        <v>Ok</v>
      </c>
    </row>
    <row r="16" spans="1:31">
      <c r="C16" s="55">
        <v>39813</v>
      </c>
      <c r="D16" s="54">
        <v>166</v>
      </c>
      <c r="E16" s="78">
        <f t="shared" si="0"/>
        <v>3.6851967520299844E-2</v>
      </c>
      <c r="F16" s="8"/>
      <c r="G16" s="56"/>
      <c r="H16" s="8"/>
      <c r="I16" s="8"/>
      <c r="J16" s="8"/>
      <c r="T16" s="89" t="str">
        <f>IF(C16&gt;EOMONTH(DATE('Input|General'!$G$13,MONTH('Input|General'!$G$9),1),0),"Ok",IF(ISBLANK($D16),"Check","Ok"))</f>
        <v>Ok</v>
      </c>
    </row>
    <row r="17" spans="3:20">
      <c r="C17" s="55">
        <v>39903</v>
      </c>
      <c r="D17" s="54">
        <v>166.2</v>
      </c>
      <c r="E17" s="78">
        <f t="shared" si="0"/>
        <v>2.4660912453760897E-2</v>
      </c>
      <c r="F17" s="8"/>
      <c r="G17" s="56"/>
      <c r="H17" s="8"/>
      <c r="I17" s="8"/>
      <c r="J17" s="8"/>
      <c r="T17" s="89" t="str">
        <f>IF(C17&gt;EOMONTH(DATE('Input|General'!$G$13,MONTH('Input|General'!$G$9),1),0),"Ok",IF(ISBLANK($D17),"Check","Ok"))</f>
        <v>Ok</v>
      </c>
    </row>
    <row r="18" spans="3:20">
      <c r="C18" s="55">
        <v>39994</v>
      </c>
      <c r="D18" s="54">
        <v>167</v>
      </c>
      <c r="E18" s="78">
        <f t="shared" si="0"/>
        <v>1.4580801944106936E-2</v>
      </c>
      <c r="F18" s="8"/>
      <c r="G18" s="56"/>
      <c r="H18" s="8"/>
      <c r="I18" s="8"/>
      <c r="J18" s="8"/>
      <c r="T18" s="89" t="str">
        <f>IF(C18&gt;EOMONTH(DATE('Input|General'!$G$13,MONTH('Input|General'!$G$9),1),0),"Ok",IF(ISBLANK($D18),"Check","Ok"))</f>
        <v>Ok</v>
      </c>
    </row>
    <row r="19" spans="3:20">
      <c r="C19" s="55">
        <v>40086</v>
      </c>
      <c r="D19" s="54">
        <v>168.6</v>
      </c>
      <c r="E19" s="78">
        <f t="shared" si="0"/>
        <v>1.2612612612612484E-2</v>
      </c>
      <c r="F19" s="8"/>
      <c r="G19" s="56"/>
      <c r="H19" s="8"/>
      <c r="I19" s="8"/>
      <c r="J19" s="8"/>
      <c r="T19" s="89" t="str">
        <f>IF(C19&gt;EOMONTH(DATE('Input|General'!$G$13,MONTH('Input|General'!$G$9),1),0),"Ok",IF(ISBLANK($D19),"Check","Ok"))</f>
        <v>Ok</v>
      </c>
    </row>
    <row r="20" spans="3:20">
      <c r="C20" s="55">
        <v>40178</v>
      </c>
      <c r="D20" s="54">
        <v>169.5</v>
      </c>
      <c r="E20" s="78">
        <f t="shared" si="0"/>
        <v>2.108433734939763E-2</v>
      </c>
      <c r="F20" s="8"/>
      <c r="G20" s="56"/>
      <c r="H20" s="8"/>
      <c r="I20" s="8"/>
      <c r="J20" s="8"/>
      <c r="T20" s="89" t="str">
        <f>IF(C20&gt;EOMONTH(DATE('Input|General'!$G$13,MONTH('Input|General'!$G$9),1),0),"Ok",IF(ISBLANK($D20),"Check","Ok"))</f>
        <v>Ok</v>
      </c>
    </row>
    <row r="21" spans="3:20">
      <c r="C21" s="55">
        <v>40268</v>
      </c>
      <c r="D21" s="54">
        <v>171</v>
      </c>
      <c r="E21" s="78">
        <f t="shared" si="0"/>
        <v>2.8880866425992746E-2</v>
      </c>
      <c r="F21" s="54">
        <v>95.2</v>
      </c>
      <c r="G21" s="56"/>
      <c r="H21" s="130"/>
      <c r="I21" s="8"/>
      <c r="J21" s="8"/>
      <c r="T21" s="89" t="str">
        <f>IF(C21&gt;EOMONTH(DATE('Input|General'!$G$13,MONTH('Input|General'!$G$9),1),0),"Ok",IF(ISBLANK($F21),"Check","Ok"))</f>
        <v>Ok</v>
      </c>
    </row>
    <row r="22" spans="3:20">
      <c r="C22" s="55">
        <v>40359</v>
      </c>
      <c r="D22" s="54">
        <v>172.1</v>
      </c>
      <c r="E22" s="78">
        <f t="shared" si="0"/>
        <v>3.0538922155688653E-2</v>
      </c>
      <c r="F22" s="54">
        <v>95.8</v>
      </c>
      <c r="G22" s="56"/>
      <c r="H22" s="130"/>
      <c r="I22" s="8"/>
      <c r="J22" s="8"/>
      <c r="T22" s="89" t="str">
        <f>IF(C22&gt;EOMONTH(DATE('Input|General'!$G$13,MONTH('Input|General'!$G$9),1),0),"Ok",IF(ISBLANK($F22),"Check","Ok"))</f>
        <v>Ok</v>
      </c>
    </row>
    <row r="23" spans="3:20">
      <c r="C23" s="55">
        <v>40451</v>
      </c>
      <c r="D23" s="54">
        <v>173.3</v>
      </c>
      <c r="E23" s="78">
        <f t="shared" si="0"/>
        <v>2.7876631079478242E-2</v>
      </c>
      <c r="F23" s="54">
        <v>96.5</v>
      </c>
      <c r="G23" s="56"/>
      <c r="H23" s="130"/>
      <c r="I23" s="8"/>
      <c r="J23" s="8"/>
      <c r="T23" s="89" t="str">
        <f>IF(C23&gt;EOMONTH(DATE('Input|General'!$G$13,MONTH('Input|General'!$G$9),1),0),"Ok",IF(ISBLANK($F23),"Check","Ok"))</f>
        <v>Ok</v>
      </c>
    </row>
    <row r="24" spans="3:20">
      <c r="C24" s="55">
        <v>40543</v>
      </c>
      <c r="D24" s="54">
        <v>174</v>
      </c>
      <c r="E24" s="78">
        <f t="shared" si="0"/>
        <v>2.6548672566371723E-2</v>
      </c>
      <c r="F24" s="54">
        <v>96.9</v>
      </c>
      <c r="G24" s="56"/>
      <c r="H24" s="130"/>
      <c r="I24" s="8"/>
      <c r="J24" s="8"/>
      <c r="T24" s="89" t="str">
        <f>IF(C24&gt;EOMONTH(DATE('Input|General'!$G$13,MONTH('Input|General'!$G$9),1),0),"Ok",IF(ISBLANK($F24),"Check","Ok"))</f>
        <v>Ok</v>
      </c>
    </row>
    <row r="25" spans="3:20">
      <c r="C25" s="55">
        <v>40633</v>
      </c>
      <c r="D25" s="54">
        <v>176.7</v>
      </c>
      <c r="E25" s="78">
        <f t="shared" si="0"/>
        <v>3.3333333333333215E-2</v>
      </c>
      <c r="F25" s="54">
        <v>98.3</v>
      </c>
      <c r="G25" s="78">
        <f>IF(ISBLANK(F25),"",F25/F21-1)</f>
        <v>3.2563025210083918E-2</v>
      </c>
      <c r="H25" s="130"/>
      <c r="I25" s="8"/>
      <c r="J25" s="8"/>
      <c r="T25" s="89" t="str">
        <f>IF(C25&gt;EOMONTH(DATE('Input|General'!$G$13,MONTH('Input|General'!$G$9),1),0),"Ok",IF(ISBLANK($F25),"Check","Ok"))</f>
        <v>Ok</v>
      </c>
    </row>
    <row r="26" spans="3:20">
      <c r="C26" s="55">
        <v>40724</v>
      </c>
      <c r="D26" s="54">
        <v>178.3</v>
      </c>
      <c r="E26" s="78">
        <f t="shared" si="0"/>
        <v>3.6025566531086683E-2</v>
      </c>
      <c r="F26" s="54">
        <v>99.2</v>
      </c>
      <c r="G26" s="78">
        <f t="shared" ref="G26:G64" si="1">IF(ISBLANK(F26),"",F26/F22-1)</f>
        <v>3.5490605427975108E-2</v>
      </c>
      <c r="H26" s="130"/>
      <c r="I26" s="8"/>
      <c r="J26" s="8"/>
      <c r="T26" s="89" t="str">
        <f>IF(C26&gt;EOMONTH(DATE('Input|General'!$G$13,MONTH('Input|General'!$G$9),1),0),"Ok",IF(ISBLANK($F26),"Check","Ok"))</f>
        <v>Ok</v>
      </c>
    </row>
    <row r="27" spans="3:20">
      <c r="C27" s="55">
        <v>40816</v>
      </c>
      <c r="D27" s="54">
        <v>179.4</v>
      </c>
      <c r="E27" s="78">
        <f t="shared" si="0"/>
        <v>3.5199076745527913E-2</v>
      </c>
      <c r="F27" s="54">
        <v>99.8</v>
      </c>
      <c r="G27" s="78">
        <f t="shared" si="1"/>
        <v>3.4196891191709877E-2</v>
      </c>
      <c r="H27" s="130"/>
      <c r="I27" s="8"/>
      <c r="J27" s="8"/>
      <c r="T27" s="89" t="str">
        <f>IF(C27&gt;EOMONTH(DATE('Input|General'!$G$13,MONTH('Input|General'!$G$9),1),0),"Ok",IF(ISBLANK($F27),"Check","Ok"))</f>
        <v>Ok</v>
      </c>
    </row>
    <row r="28" spans="3:20">
      <c r="C28" s="55">
        <v>40908</v>
      </c>
      <c r="D28" s="54">
        <v>179.4</v>
      </c>
      <c r="E28" s="78">
        <f t="shared" si="0"/>
        <v>3.1034482758620641E-2</v>
      </c>
      <c r="F28" s="54">
        <v>99.8</v>
      </c>
      <c r="G28" s="78">
        <f t="shared" si="1"/>
        <v>2.9927760577915352E-2</v>
      </c>
      <c r="H28" s="130"/>
      <c r="I28" s="8"/>
      <c r="J28" s="8"/>
      <c r="T28" s="89" t="str">
        <f>IF(C28&gt;EOMONTH(DATE('Input|General'!$G$13,MONTH('Input|General'!$G$9),1),0),"Ok",IF(ISBLANK($F28),"Check","Ok"))</f>
        <v>Ok</v>
      </c>
    </row>
    <row r="29" spans="3:20">
      <c r="C29" s="55">
        <v>40999</v>
      </c>
      <c r="D29" s="54">
        <v>179.5</v>
      </c>
      <c r="E29" s="78">
        <f t="shared" si="0"/>
        <v>1.5846066779853007E-2</v>
      </c>
      <c r="F29" s="54">
        <v>99.9</v>
      </c>
      <c r="G29" s="78">
        <f t="shared" si="1"/>
        <v>1.6276703967446737E-2</v>
      </c>
      <c r="H29" s="130"/>
      <c r="I29" s="8"/>
      <c r="J29" s="8"/>
      <c r="T29" s="89" t="str">
        <f>IF(C29&gt;EOMONTH(DATE('Input|General'!$G$13,MONTH('Input|General'!$G$9),1),0),"Ok",IF(ISBLANK($F29),"Check","Ok"))</f>
        <v>Ok</v>
      </c>
    </row>
    <row r="30" spans="3:20">
      <c r="C30" s="55">
        <v>41090</v>
      </c>
      <c r="D30" s="8"/>
      <c r="E30" s="8"/>
      <c r="F30" s="54">
        <v>100.4</v>
      </c>
      <c r="G30" s="78">
        <f t="shared" si="1"/>
        <v>1.2096774193548487E-2</v>
      </c>
      <c r="H30" s="130"/>
      <c r="I30" s="8"/>
      <c r="J30" s="8"/>
      <c r="T30" s="89" t="str">
        <f>IF(C30&gt;EOMONTH(DATE('Input|General'!$G$13,MONTH('Input|General'!$G$9),1),0),"Ok",IF(ISBLANK($F30),"Check","Ok"))</f>
        <v>Ok</v>
      </c>
    </row>
    <row r="31" spans="3:20">
      <c r="C31" s="55">
        <v>41182</v>
      </c>
      <c r="D31" s="8"/>
      <c r="E31" s="8"/>
      <c r="F31" s="54">
        <v>101.8</v>
      </c>
      <c r="G31" s="78">
        <f t="shared" si="1"/>
        <v>2.0040080160320661E-2</v>
      </c>
      <c r="H31" s="130"/>
      <c r="I31" s="8"/>
      <c r="J31" s="8"/>
      <c r="T31" s="89" t="str">
        <f>IF(C31&gt;EOMONTH(DATE('Input|General'!$G$13,MONTH('Input|General'!$G$9),1),0),"Ok",IF(ISBLANK($F31),"Check","Ok"))</f>
        <v>Ok</v>
      </c>
    </row>
    <row r="32" spans="3:20">
      <c r="C32" s="55">
        <v>41274</v>
      </c>
      <c r="D32" s="8"/>
      <c r="E32" s="8"/>
      <c r="F32" s="54">
        <v>102</v>
      </c>
      <c r="G32" s="78">
        <f t="shared" si="1"/>
        <v>2.2044088176352838E-2</v>
      </c>
      <c r="H32" s="130"/>
      <c r="I32" s="8"/>
      <c r="J32" s="8"/>
      <c r="T32" s="89" t="str">
        <f>IF(C32&gt;EOMONTH(DATE('Input|General'!$G$13,MONTH('Input|General'!$G$9),1),0),"Ok",IF(ISBLANK($F32),"Check","Ok"))</f>
        <v>Ok</v>
      </c>
    </row>
    <row r="33" spans="3:20">
      <c r="C33" s="55">
        <v>41364</v>
      </c>
      <c r="D33" s="8"/>
      <c r="E33" s="8"/>
      <c r="F33" s="54">
        <v>102.4</v>
      </c>
      <c r="G33" s="78">
        <f t="shared" si="1"/>
        <v>2.5025025025025016E-2</v>
      </c>
      <c r="H33" s="130"/>
      <c r="I33" s="8"/>
      <c r="J33" s="8"/>
      <c r="T33" s="89" t="str">
        <f>IF(C33&gt;EOMONTH(DATE('Input|General'!$G$13,MONTH('Input|General'!$G$9),1),0),"Ok",IF(ISBLANK($F33),"Check","Ok"))</f>
        <v>Ok</v>
      </c>
    </row>
    <row r="34" spans="3:20">
      <c r="C34" s="55">
        <v>41455</v>
      </c>
      <c r="D34" s="8"/>
      <c r="E34" s="8"/>
      <c r="F34" s="54">
        <v>102.8</v>
      </c>
      <c r="G34" s="78">
        <f t="shared" si="1"/>
        <v>2.3904382470119501E-2</v>
      </c>
      <c r="H34" s="130"/>
      <c r="I34" s="8"/>
      <c r="J34" s="8"/>
      <c r="T34" s="89" t="str">
        <f>IF(C34&gt;EOMONTH(DATE('Input|General'!$G$13,MONTH('Input|General'!$G$9),1),0),"Ok",IF(ISBLANK($F34),"Check","Ok"))</f>
        <v>Ok</v>
      </c>
    </row>
    <row r="35" spans="3:20">
      <c r="C35" s="55">
        <v>41547</v>
      </c>
      <c r="D35" s="8"/>
      <c r="E35" s="8"/>
      <c r="F35" s="54">
        <v>104</v>
      </c>
      <c r="G35" s="78">
        <f t="shared" si="1"/>
        <v>2.16110019646365E-2</v>
      </c>
      <c r="H35" s="130"/>
      <c r="I35" s="8"/>
      <c r="J35" s="8"/>
      <c r="T35" s="89" t="str">
        <f>IF(C35&gt;EOMONTH(DATE('Input|General'!$G$13,MONTH('Input|General'!$G$9),1),0),"Ok",IF(ISBLANK($F35),"Check","Ok"))</f>
        <v>Ok</v>
      </c>
    </row>
    <row r="36" spans="3:20">
      <c r="C36" s="55">
        <v>41639</v>
      </c>
      <c r="D36" s="8"/>
      <c r="E36" s="8"/>
      <c r="F36" s="54">
        <v>104.8</v>
      </c>
      <c r="G36" s="78">
        <f t="shared" si="1"/>
        <v>2.7450980392156765E-2</v>
      </c>
      <c r="H36" s="130"/>
      <c r="I36" s="8"/>
      <c r="J36" s="8"/>
      <c r="T36" s="89" t="str">
        <f>IF(C36&gt;EOMONTH(DATE('Input|General'!$G$13,MONTH('Input|General'!$G$9),1),0),"Ok",IF(ISBLANK($F36),"Check","Ok"))</f>
        <v>Ok</v>
      </c>
    </row>
    <row r="37" spans="3:20">
      <c r="C37" s="55">
        <v>41729</v>
      </c>
      <c r="D37" s="8"/>
      <c r="E37" s="8"/>
      <c r="F37" s="54">
        <v>105.4</v>
      </c>
      <c r="G37" s="78">
        <f t="shared" si="1"/>
        <v>2.9296875E-2</v>
      </c>
      <c r="H37" s="130"/>
      <c r="I37" s="8"/>
      <c r="J37" s="8"/>
      <c r="T37" s="89" t="str">
        <f>IF(C37&gt;EOMONTH(DATE('Input|General'!$G$13,MONTH('Input|General'!$G$9),1),0),"Ok",IF(ISBLANK($F37),"Check","Ok"))</f>
        <v>Ok</v>
      </c>
    </row>
    <row r="38" spans="3:20">
      <c r="C38" s="55">
        <v>41820</v>
      </c>
      <c r="D38" s="8"/>
      <c r="E38" s="8"/>
      <c r="F38" s="54">
        <v>105.9</v>
      </c>
      <c r="G38" s="78">
        <f t="shared" si="1"/>
        <v>3.0155642023346418E-2</v>
      </c>
      <c r="H38" s="130"/>
      <c r="I38" s="8"/>
      <c r="J38" s="8"/>
      <c r="T38" s="89" t="str">
        <f>IF(C38&gt;EOMONTH(DATE('Input|General'!$G$13,MONTH('Input|General'!$G$9),1),0),"Ok",IF(ISBLANK($F38),"Check","Ok"))</f>
        <v>Ok</v>
      </c>
    </row>
    <row r="39" spans="3:20">
      <c r="C39" s="55">
        <v>41912</v>
      </c>
      <c r="D39" s="8"/>
      <c r="E39" s="8"/>
      <c r="F39" s="54">
        <v>106.4</v>
      </c>
      <c r="G39" s="78">
        <f t="shared" si="1"/>
        <v>2.3076923076923217E-2</v>
      </c>
      <c r="H39" s="130"/>
      <c r="I39" s="8"/>
      <c r="J39" s="8"/>
      <c r="T39" s="89" t="str">
        <f>IF(C39&gt;EOMONTH(DATE('Input|General'!$G$13,MONTH('Input|General'!$G$9),1),0),"Ok",IF(ISBLANK($F39),"Check","Ok"))</f>
        <v>Ok</v>
      </c>
    </row>
    <row r="40" spans="3:20">
      <c r="C40" s="55">
        <v>42004</v>
      </c>
      <c r="D40" s="8"/>
      <c r="E40" s="8"/>
      <c r="F40" s="54">
        <v>106.6</v>
      </c>
      <c r="G40" s="78">
        <f t="shared" si="1"/>
        <v>1.7175572519083859E-2</v>
      </c>
      <c r="H40" s="130"/>
      <c r="I40" s="8"/>
      <c r="J40" s="8"/>
      <c r="T40" s="89" t="str">
        <f>IF(C40&gt;EOMONTH(DATE('Input|General'!$G$13,MONTH('Input|General'!$G$9),1),0),"Ok",IF(ISBLANK($F40),"Check","Ok"))</f>
        <v>Ok</v>
      </c>
    </row>
    <row r="41" spans="3:20">
      <c r="C41" s="55">
        <v>42094</v>
      </c>
      <c r="D41" s="8"/>
      <c r="E41" s="8"/>
      <c r="F41" s="54">
        <v>106.8</v>
      </c>
      <c r="G41" s="78">
        <f t="shared" si="1"/>
        <v>1.3282732447817747E-2</v>
      </c>
      <c r="H41" s="130"/>
      <c r="I41" s="8"/>
      <c r="J41" s="8"/>
      <c r="T41" s="89" t="str">
        <f>IF(C41&gt;EOMONTH(DATE('Input|General'!$G$13,MONTH('Input|General'!$G$9),1),0),"Ok",IF(ISBLANK($F41),"Check","Ok"))</f>
        <v>Ok</v>
      </c>
    </row>
    <row r="42" spans="3:20">
      <c r="C42" s="55">
        <v>42185</v>
      </c>
      <c r="D42" s="8"/>
      <c r="E42" s="8"/>
      <c r="F42" s="54">
        <v>107.5</v>
      </c>
      <c r="G42" s="78">
        <f t="shared" si="1"/>
        <v>1.5108593012275628E-2</v>
      </c>
      <c r="H42" s="130"/>
      <c r="I42" s="8"/>
      <c r="J42" s="8"/>
      <c r="T42" s="89" t="str">
        <f>IF(C42&gt;EOMONTH(DATE('Input|General'!$G$13,MONTH('Input|General'!$G$9),1),0),"Ok",IF(ISBLANK($F42),"Check","Ok"))</f>
        <v>Ok</v>
      </c>
    </row>
    <row r="43" spans="3:20">
      <c r="C43" s="55">
        <v>42277</v>
      </c>
      <c r="D43" s="8"/>
      <c r="E43" s="8"/>
      <c r="F43" s="54">
        <v>108</v>
      </c>
      <c r="G43" s="78">
        <f t="shared" si="1"/>
        <v>1.5037593984962294E-2</v>
      </c>
      <c r="H43" s="130"/>
      <c r="I43" s="8"/>
      <c r="J43" s="8"/>
      <c r="T43" s="89" t="str">
        <f>IF(C43&gt;EOMONTH(DATE('Input|General'!$G$13,MONTH('Input|General'!$G$9),1),0),"Ok",IF(ISBLANK($F43),"Check","Ok"))</f>
        <v>Ok</v>
      </c>
    </row>
    <row r="44" spans="3:20">
      <c r="C44" s="55">
        <v>42369</v>
      </c>
      <c r="D44" s="8"/>
      <c r="E44" s="8"/>
      <c r="F44" s="54">
        <v>108.4</v>
      </c>
      <c r="G44" s="78">
        <f t="shared" si="1"/>
        <v>1.6885553470919357E-2</v>
      </c>
      <c r="H44" s="130"/>
      <c r="I44" s="8"/>
      <c r="J44" s="8"/>
      <c r="T44" s="89" t="str">
        <f>IF(C44&gt;EOMONTH(DATE('Input|General'!$G$13,MONTH('Input|General'!$G$9),1),0),"Ok",IF(ISBLANK($F44),"Check","Ok"))</f>
        <v>Ok</v>
      </c>
    </row>
    <row r="45" spans="3:20">
      <c r="C45" s="55">
        <v>42460</v>
      </c>
      <c r="D45" s="8"/>
      <c r="E45" s="8"/>
      <c r="F45" s="54">
        <v>108.2</v>
      </c>
      <c r="G45" s="78">
        <f t="shared" si="1"/>
        <v>1.3108614232209881E-2</v>
      </c>
      <c r="H45" s="130"/>
      <c r="I45" s="8"/>
      <c r="J45" s="8"/>
      <c r="T45" s="89" t="str">
        <f>IF(C45&gt;EOMONTH(DATE('Input|General'!$G$13,MONTH('Input|General'!$G$9),1),0),"Ok",IF(ISBLANK($F45),"Check","Ok"))</f>
        <v>Ok</v>
      </c>
    </row>
    <row r="46" spans="3:20">
      <c r="C46" s="55">
        <v>42551</v>
      </c>
      <c r="D46" s="8"/>
      <c r="E46" s="8"/>
      <c r="F46" s="54">
        <v>108.6</v>
      </c>
      <c r="G46" s="78">
        <f t="shared" si="1"/>
        <v>1.0232558139534831E-2</v>
      </c>
      <c r="H46" s="130"/>
      <c r="I46" s="8"/>
      <c r="J46" s="8"/>
      <c r="T46" s="89" t="str">
        <f>IF(C46&gt;EOMONTH(DATE('Input|General'!$G$13,MONTH('Input|General'!$G$9),1),0),"Ok",IF(ISBLANK($F46),"Check","Ok"))</f>
        <v>Ok</v>
      </c>
    </row>
    <row r="47" spans="3:20">
      <c r="C47" s="55">
        <v>42643</v>
      </c>
      <c r="D47" s="8"/>
      <c r="E47" s="8"/>
      <c r="F47" s="54">
        <v>109.4</v>
      </c>
      <c r="G47" s="78">
        <f t="shared" si="1"/>
        <v>1.2962962962963065E-2</v>
      </c>
      <c r="H47" s="130"/>
      <c r="I47" s="8"/>
      <c r="J47" s="8"/>
      <c r="T47" s="89" t="str">
        <f>IF(C47&gt;EOMONTH(DATE('Input|General'!$G$13,MONTH('Input|General'!$G$9),1),0),"Ok",IF(ISBLANK($F47),"Check","Ok"))</f>
        <v>Ok</v>
      </c>
    </row>
    <row r="48" spans="3:20">
      <c r="C48" s="55">
        <v>42735</v>
      </c>
      <c r="D48" s="8"/>
      <c r="E48" s="8"/>
      <c r="F48" s="54">
        <v>110</v>
      </c>
      <c r="G48" s="78">
        <f t="shared" si="1"/>
        <v>1.4760147601476037E-2</v>
      </c>
      <c r="H48" s="130"/>
      <c r="I48" s="8"/>
      <c r="J48" s="8"/>
      <c r="T48" s="89" t="str">
        <f>IF(C48&gt;EOMONTH(DATE('Input|General'!$G$13,MONTH('Input|General'!$G$9),1),0),"Ok",IF(ISBLANK($F48),"Check","Ok"))</f>
        <v>Ok</v>
      </c>
    </row>
    <row r="49" spans="3:20">
      <c r="C49" s="55">
        <v>42825</v>
      </c>
      <c r="D49" s="8"/>
      <c r="E49" s="8"/>
      <c r="F49" s="54">
        <v>110.5</v>
      </c>
      <c r="G49" s="78">
        <f t="shared" si="1"/>
        <v>2.1256931608133023E-2</v>
      </c>
      <c r="H49" s="130"/>
      <c r="I49" s="8"/>
      <c r="J49" s="8"/>
      <c r="T49" s="89" t="str">
        <f>IF(C49&gt;EOMONTH(DATE('Input|General'!$G$13,MONTH('Input|General'!$G$9),1),0),"Ok",IF(ISBLANK($F49),"Check","Ok"))</f>
        <v>Ok</v>
      </c>
    </row>
    <row r="50" spans="3:20">
      <c r="C50" s="55">
        <v>42916</v>
      </c>
      <c r="D50" s="8"/>
      <c r="E50" s="8"/>
      <c r="F50" s="54">
        <v>110.7</v>
      </c>
      <c r="G50" s="78">
        <f t="shared" si="1"/>
        <v>1.9337016574585641E-2</v>
      </c>
      <c r="H50" s="131"/>
      <c r="I50" s="8"/>
      <c r="J50" s="8"/>
      <c r="T50" s="89" t="str">
        <f>IF(C50&gt;EOMONTH(DATE('Input|General'!$G$13,MONTH('Input|General'!$G$9),1),0),"Ok",IF(ISBLANK($F50),"Check","Ok"))</f>
        <v>Ok</v>
      </c>
    </row>
    <row r="51" spans="3:20">
      <c r="C51" s="55">
        <v>43008</v>
      </c>
      <c r="D51" s="8"/>
      <c r="E51" s="8"/>
      <c r="F51" s="54">
        <v>111.4</v>
      </c>
      <c r="G51" s="78">
        <f t="shared" si="1"/>
        <v>1.8281535648994485E-2</v>
      </c>
      <c r="H51" s="130"/>
      <c r="I51" s="8"/>
      <c r="J51" s="8"/>
      <c r="T51" s="89" t="str">
        <f>IF(C51&gt;EOMONTH(DATE('Input|General'!$G$13,MONTH('Input|General'!$G$9),1),0),"Ok",IF(ISBLANK($F51),"Check","Ok"))</f>
        <v>Ok</v>
      </c>
    </row>
    <row r="52" spans="3:20">
      <c r="C52" s="55">
        <v>43100</v>
      </c>
      <c r="D52" s="8"/>
      <c r="E52" s="8"/>
      <c r="F52" s="54">
        <v>112.1</v>
      </c>
      <c r="G52" s="78">
        <f t="shared" si="1"/>
        <v>1.9090909090909047E-2</v>
      </c>
      <c r="H52" s="130"/>
      <c r="I52" s="8"/>
      <c r="J52" s="8"/>
      <c r="T52" s="89" t="str">
        <f>IF(C52&gt;EOMONTH(DATE('Input|General'!$G$13,MONTH('Input|General'!$G$9),1),0),"Ok",IF(ISBLANK($F52),"Check","Ok"))</f>
        <v>Ok</v>
      </c>
    </row>
    <row r="53" spans="3:20">
      <c r="C53" s="55">
        <v>43190</v>
      </c>
      <c r="D53" s="8"/>
      <c r="E53" s="8"/>
      <c r="F53" s="54">
        <v>112.6</v>
      </c>
      <c r="G53" s="78">
        <f t="shared" si="1"/>
        <v>1.9004524886877761E-2</v>
      </c>
      <c r="H53" s="130"/>
      <c r="I53" s="8"/>
      <c r="J53" s="8"/>
      <c r="T53" s="89" t="str">
        <f>IF(C53&gt;EOMONTH(DATE('Input|General'!$G$13,MONTH('Input|General'!$G$9),1),0),"Ok",IF(ISBLANK($F53),"Check","Ok"))</f>
        <v>Ok</v>
      </c>
    </row>
    <row r="54" spans="3:20">
      <c r="C54" s="55">
        <v>43281</v>
      </c>
      <c r="D54" s="8"/>
      <c r="E54" s="8"/>
      <c r="F54" s="54">
        <v>113</v>
      </c>
      <c r="G54" s="78">
        <f t="shared" si="1"/>
        <v>2.0776874435411097E-2</v>
      </c>
      <c r="H54" s="130"/>
      <c r="I54" s="8"/>
      <c r="J54" s="8"/>
      <c r="T54" s="89" t="str">
        <f>IF(C54&gt;EOMONTH(DATE('Input|General'!$G$13,MONTH('Input|General'!$G$9),1),0),"Ok",IF(ISBLANK($F54),"Check","Ok"))</f>
        <v>Ok</v>
      </c>
    </row>
    <row r="55" spans="3:20">
      <c r="C55" s="55">
        <v>43373</v>
      </c>
      <c r="D55" s="8"/>
      <c r="E55" s="8"/>
      <c r="F55" s="54">
        <v>113.53087500000001</v>
      </c>
      <c r="G55" s="78">
        <f t="shared" si="1"/>
        <v>1.9128141831238787E-2</v>
      </c>
      <c r="H55" s="130"/>
      <c r="I55" s="8"/>
      <c r="J55" s="8"/>
      <c r="T55" s="89" t="str">
        <f>IF(C55&gt;EOMONTH(DATE('Input|General'!$G$13,MONTH('Input|General'!$G$9),1),0),"Ok",IF(ISBLANK($F55),"Check","Ok"))</f>
        <v>Ok</v>
      </c>
    </row>
    <row r="56" spans="3:20">
      <c r="C56" s="55">
        <v>43465</v>
      </c>
      <c r="D56" s="8"/>
      <c r="E56" s="8"/>
      <c r="F56" s="54">
        <v>114.1</v>
      </c>
      <c r="G56" s="78">
        <f t="shared" si="1"/>
        <v>1.7841213202497874E-2</v>
      </c>
      <c r="H56" s="130"/>
      <c r="I56" s="8"/>
      <c r="J56" s="8"/>
      <c r="T56" s="89" t="str">
        <f>IF(C56&gt;EOMONTH(DATE('Input|General'!$G$13,MONTH('Input|General'!$G$9),1),0),"Ok",IF(ISBLANK($F56),"Check","Ok"))</f>
        <v>Ok</v>
      </c>
    </row>
    <row r="57" spans="3:20">
      <c r="C57" s="55">
        <v>43555</v>
      </c>
      <c r="D57" s="8"/>
      <c r="E57" s="8"/>
      <c r="F57" s="54">
        <v>114.1</v>
      </c>
      <c r="G57" s="78">
        <f t="shared" si="1"/>
        <v>1.3321492007104752E-2</v>
      </c>
      <c r="H57" s="130"/>
      <c r="I57" s="8"/>
      <c r="J57" s="8"/>
      <c r="T57" s="89" t="str">
        <f>IF(C57&gt;EOMONTH(DATE('Input|General'!$G$13,MONTH('Input|General'!$G$9),1),0),"Ok",IF(ISBLANK($F57),"Check","Ok"))</f>
        <v>Ok</v>
      </c>
    </row>
    <row r="58" spans="3:20">
      <c r="C58" s="55">
        <v>43646</v>
      </c>
      <c r="D58" s="8"/>
      <c r="E58" s="8"/>
      <c r="F58" s="54">
        <v>114.8</v>
      </c>
      <c r="G58" s="78">
        <f t="shared" si="1"/>
        <v>1.5929203539823078E-2</v>
      </c>
      <c r="H58" s="130"/>
      <c r="I58" s="8"/>
      <c r="J58" s="8"/>
      <c r="T58" s="89" t="str">
        <f>IF(C58&gt;EOMONTH(DATE('Input|General'!$G$13,MONTH('Input|General'!$G$9),1),0),"Ok",IF(ISBLANK($F58),"Check","Ok"))</f>
        <v>Ok</v>
      </c>
    </row>
    <row r="59" spans="3:20">
      <c r="C59" s="55">
        <v>43738</v>
      </c>
      <c r="D59" s="8"/>
      <c r="E59" s="8"/>
      <c r="F59" s="54">
        <v>115.4</v>
      </c>
      <c r="G59" s="78">
        <f t="shared" si="1"/>
        <v>1.6463583144232796E-2</v>
      </c>
      <c r="H59" s="130"/>
      <c r="I59" s="8"/>
      <c r="J59" s="8"/>
      <c r="T59" s="89" t="str">
        <f>IF(C59&gt;EOMONTH(DATE('Input|General'!$G$13,MONTH('Input|General'!$G$9),1),0),"Ok",IF(ISBLANK($F59),"Check","Ok"))</f>
        <v>Ok</v>
      </c>
    </row>
    <row r="60" spans="3:20">
      <c r="C60" s="55">
        <v>43830</v>
      </c>
      <c r="D60" s="8"/>
      <c r="E60" s="8"/>
      <c r="F60" s="54">
        <v>116.2</v>
      </c>
      <c r="G60" s="78">
        <f t="shared" si="1"/>
        <v>1.8404907975460238E-2</v>
      </c>
      <c r="H60" s="130"/>
      <c r="I60" s="8"/>
      <c r="J60" s="8"/>
      <c r="T60" s="89" t="str">
        <f>IF(C60&gt;EOMONTH(DATE('Input|General'!$G$13,MONTH('Input|General'!$G$9),1),0),"Ok",IF(ISBLANK($F60),"Check","Ok"))</f>
        <v>Ok</v>
      </c>
    </row>
    <row r="61" spans="3:20">
      <c r="C61" s="55">
        <v>43921</v>
      </c>
      <c r="D61" s="8"/>
      <c r="E61" s="8"/>
      <c r="F61" s="54">
        <v>116.6</v>
      </c>
      <c r="G61" s="78">
        <f t="shared" si="1"/>
        <v>2.1910604732690686E-2</v>
      </c>
      <c r="H61" s="130"/>
      <c r="I61" s="8"/>
      <c r="J61" s="8"/>
      <c r="T61" s="89" t="str">
        <f>IF(C61&gt;EOMONTH(DATE('Input|General'!$G$13,MONTH('Input|General'!$G$9),1),0),"Ok",IF(ISBLANK($F61),"Check","Ok"))</f>
        <v>Ok</v>
      </c>
    </row>
    <row r="62" spans="3:20">
      <c r="C62" s="55">
        <v>44012</v>
      </c>
      <c r="D62" s="8"/>
      <c r="E62" s="8"/>
      <c r="F62" s="54">
        <v>114.4</v>
      </c>
      <c r="G62" s="78">
        <f t="shared" si="1"/>
        <v>-3.4843205574912606E-3</v>
      </c>
      <c r="H62" s="130"/>
      <c r="I62" s="8"/>
      <c r="J62" s="8"/>
      <c r="T62" s="89" t="str">
        <f>IF(C62&gt;EOMONTH(DATE('Input|General'!$G$13,MONTH('Input|General'!$G$9),1),0),"Ok",IF(ISBLANK($F62),"Check","Ok"))</f>
        <v>Ok</v>
      </c>
    </row>
    <row r="63" spans="3:20">
      <c r="C63" s="55">
        <v>44104</v>
      </c>
      <c r="D63" s="8"/>
      <c r="E63" s="8"/>
      <c r="F63" s="54">
        <v>116.2</v>
      </c>
      <c r="G63" s="78">
        <f t="shared" si="1"/>
        <v>6.9324090121316573E-3</v>
      </c>
      <c r="H63" s="130"/>
      <c r="I63" s="8"/>
      <c r="J63" s="8"/>
      <c r="T63" s="89" t="str">
        <f>IF(C63&gt;EOMONTH(DATE('Input|General'!$G$13,MONTH('Input|General'!$G$9),1),0),"Ok",IF(ISBLANK($F63),"Check","Ok"))</f>
        <v>Ok</v>
      </c>
    </row>
    <row r="64" spans="3:20">
      <c r="C64" s="55">
        <v>44196</v>
      </c>
      <c r="D64" s="8"/>
      <c r="E64" s="8"/>
      <c r="F64" s="54">
        <v>117.2</v>
      </c>
      <c r="G64" s="78">
        <f t="shared" si="1"/>
        <v>8.6058519793459354E-3</v>
      </c>
      <c r="H64" s="130"/>
      <c r="I64" s="8"/>
      <c r="J64" s="8"/>
      <c r="T64" s="89" t="str">
        <f>IF(C64&gt;EOMONTH(DATE('Input|General'!$G$13,MONTH('Input|General'!$G$9),1),0),"Ok",IF(ISBLANK($F64),"Check","Ok"))</f>
        <v>Ok</v>
      </c>
    </row>
    <row r="65" spans="3:20">
      <c r="C65" s="55">
        <v>44286</v>
      </c>
      <c r="D65" s="8"/>
      <c r="E65" s="8"/>
      <c r="F65" s="54">
        <v>117.9</v>
      </c>
      <c r="G65" s="78">
        <f>IF(ISBLANK(F65),"",F65/F61-1)</f>
        <v>1.1149228130360234E-2</v>
      </c>
      <c r="H65" s="130"/>
      <c r="I65" s="8"/>
      <c r="J65" s="8"/>
      <c r="T65" s="89" t="str">
        <f>IF(C65&gt;EOMONTH(DATE('Input|General'!$G$13,MONTH('Input|General'!$G$9),1),0),"Ok",IF(ISBLANK($F65),"Check","Ok"))</f>
        <v>Ok</v>
      </c>
    </row>
    <row r="66" spans="3:20">
      <c r="C66" s="55">
        <v>44377</v>
      </c>
      <c r="D66" s="8"/>
      <c r="E66" s="8"/>
      <c r="F66" s="54">
        <v>118.8</v>
      </c>
      <c r="G66" s="78">
        <f>IF(ISBLANK(F66),"",F66/F62-1)</f>
        <v>3.8461538461538325E-2</v>
      </c>
      <c r="H66" s="130"/>
      <c r="I66" s="8"/>
      <c r="J66" s="8"/>
      <c r="T66" s="89" t="str">
        <f>IF(C66&gt;EOMONTH(DATE('Input|General'!$G$13,MONTH('Input|General'!$G$9),1),0),"Ok",IF(ISBLANK($F66),"Check","Ok"))</f>
        <v>Ok</v>
      </c>
    </row>
    <row r="67" spans="3:20">
      <c r="C67" s="55">
        <v>44469</v>
      </c>
      <c r="D67" s="8"/>
      <c r="E67" s="8"/>
      <c r="F67" s="54">
        <v>119.7</v>
      </c>
      <c r="G67" s="78">
        <f t="shared" ref="G67:G70" si="2">IF(ISBLANK(F67),"",F67/F63-1)</f>
        <v>3.0120481927710774E-2</v>
      </c>
      <c r="H67" s="130"/>
      <c r="I67" s="8"/>
      <c r="J67" s="8"/>
      <c r="T67" s="89" t="str">
        <f>IF(C67&gt;EOMONTH(DATE('Input|General'!$G$13,MONTH('Input|General'!$G$9),1),0),"Ok",IF(ISBLANK($F67),"Check","Ok"))</f>
        <v>Ok</v>
      </c>
    </row>
    <row r="68" spans="3:20">
      <c r="C68" s="55">
        <v>44561</v>
      </c>
      <c r="D68" s="8"/>
      <c r="E68" s="8"/>
      <c r="F68" s="54">
        <v>121.3</v>
      </c>
      <c r="G68" s="78">
        <f t="shared" si="2"/>
        <v>3.4982935153583528E-2</v>
      </c>
      <c r="H68" s="130"/>
      <c r="I68" s="8"/>
      <c r="J68" s="8"/>
      <c r="T68" s="89" t="str">
        <f>IF(C68&gt;EOMONTH(DATE('Input|General'!$G$13,MONTH('Input|General'!$G$9),1),0),"Ok",IF(ISBLANK($F68),"Check","Ok"))</f>
        <v>Ok</v>
      </c>
    </row>
    <row r="69" spans="3:20">
      <c r="C69" s="55">
        <v>44651</v>
      </c>
      <c r="D69" s="8"/>
      <c r="E69" s="8"/>
      <c r="F69" s="54">
        <v>123.9</v>
      </c>
      <c r="G69" s="78">
        <f t="shared" si="2"/>
        <v>5.0890585241730291E-2</v>
      </c>
      <c r="H69" s="130"/>
      <c r="I69" s="8"/>
      <c r="J69" s="8"/>
      <c r="T69" s="89" t="str">
        <f>IF(C69&gt;EOMONTH(DATE('Input|General'!$G$13,MONTH('Input|General'!$G$9),1),0),"Ok",IF(ISBLANK($F69),"Check","Ok"))</f>
        <v>Ok</v>
      </c>
    </row>
    <row r="70" spans="3:20" ht="13.5">
      <c r="C70" s="55">
        <v>44742</v>
      </c>
      <c r="D70" s="8"/>
      <c r="E70" s="8"/>
      <c r="F70" s="54">
        <v>126.1</v>
      </c>
      <c r="G70" s="78">
        <f t="shared" si="2"/>
        <v>6.1447811447811418E-2</v>
      </c>
      <c r="H70" s="130"/>
      <c r="I70" s="8"/>
      <c r="J70" s="8"/>
      <c r="N70" s="175" t="s">
        <v>56</v>
      </c>
      <c r="T70" s="89" t="str">
        <f>IF(C70&gt;EOMONTH(DATE('Input|General'!$G$13,MONTH('Input|General'!$G$9),1),0),"Ok",IF(ISBLANK($F70),"Check","Ok"))</f>
        <v>Ok</v>
      </c>
    </row>
    <row r="71" spans="3:20" ht="12" thickBot="1">
      <c r="C71" s="55">
        <v>44834</v>
      </c>
      <c r="D71" s="8"/>
      <c r="E71" s="8"/>
      <c r="F71" s="54">
        <v>128.4</v>
      </c>
      <c r="G71" s="160">
        <f>IF(ISBLANK(F71),"",F71/F67-1)</f>
        <v>7.268170426065157E-2</v>
      </c>
      <c r="H71" s="130"/>
      <c r="I71" s="8"/>
      <c r="J71" s="8"/>
      <c r="T71" s="89" t="str">
        <f>IF(C71&gt;EOMONTH(DATE('Input|General'!$G$13,MONTH('Input|General'!$G$9),1),0),"Ok",IF(ISBLANK($F71),"Check","Ok"))</f>
        <v>Ok</v>
      </c>
    </row>
    <row r="72" spans="3:20" ht="12" thickBot="1">
      <c r="C72" s="55">
        <v>44926</v>
      </c>
      <c r="D72" s="8"/>
      <c r="E72" s="8"/>
      <c r="F72" s="54">
        <f>(F68*(1+G72))</f>
        <v>131.00400000000002</v>
      </c>
      <c r="G72" s="160">
        <f>N72</f>
        <v>0.08</v>
      </c>
      <c r="H72" s="130"/>
      <c r="I72" s="8"/>
      <c r="J72" s="8"/>
      <c r="M72" s="177" t="s">
        <v>57</v>
      </c>
      <c r="N72" s="176">
        <v>0.08</v>
      </c>
      <c r="T72" s="89" t="str">
        <f>IF(C72&gt;EOMONTH(DATE('Input|General'!$G$13,MONTH('Input|General'!$G$9),1),0),"Ok",IF(ISBLANK($F72),"Check","Ok"))</f>
        <v>Ok</v>
      </c>
    </row>
    <row r="73" spans="3:20" ht="12" thickBot="1">
      <c r="C73" s="55">
        <v>45016</v>
      </c>
      <c r="D73" s="8"/>
      <c r="E73" s="8"/>
      <c r="F73" s="54">
        <f>AVERAGE(F72,F74)</f>
        <v>132.52415000000002</v>
      </c>
      <c r="G73" s="160">
        <f t="shared" ref="G73:G79" si="3">IF(ISBLANK(F73),"",F73/F69-1)</f>
        <v>6.9605730427764412E-2</v>
      </c>
      <c r="H73" s="130"/>
      <c r="I73" s="8"/>
      <c r="J73" s="8"/>
      <c r="T73" s="89" t="str">
        <f>IF(C73&gt;EOMONTH(DATE('Input|General'!$G$13,MONTH('Input|General'!$G$9),1),0),"Ok",IF(ISBLANK($F73),"Check","Ok"))</f>
        <v>Ok</v>
      </c>
    </row>
    <row r="74" spans="3:20" ht="12" thickBot="1">
      <c r="C74" s="55">
        <v>45107</v>
      </c>
      <c r="D74" s="8"/>
      <c r="E74" s="8"/>
      <c r="F74" s="54">
        <f>F70*(1+N74)</f>
        <v>134.04429999999999</v>
      </c>
      <c r="G74" s="160">
        <f>IF(ISBLANK(F74),"",F74/F72-1)</f>
        <v>2.320768831486042E-2</v>
      </c>
      <c r="H74" s="130"/>
      <c r="I74" s="8"/>
      <c r="J74" s="8"/>
      <c r="N74" s="176">
        <v>6.3E-2</v>
      </c>
      <c r="T74" s="89" t="str">
        <f>IF(C74&gt;EOMONTH(DATE('Input|General'!$G$13,MONTH('Input|General'!$G$9),1),0),"Ok",IF(ISBLANK($F74),"Check","Ok"))</f>
        <v>Ok</v>
      </c>
    </row>
    <row r="75" spans="3:20">
      <c r="C75" s="55">
        <v>45199</v>
      </c>
      <c r="D75" s="8"/>
      <c r="E75" s="8"/>
      <c r="F75" s="54">
        <f>AVERAGE(F74,F76)</f>
        <v>135.63549499999999</v>
      </c>
      <c r="G75" s="160">
        <f t="shared" si="3"/>
        <v>5.6351207165108885E-2</v>
      </c>
      <c r="H75" s="130"/>
      <c r="I75" s="8"/>
      <c r="J75" s="8"/>
      <c r="T75" s="89" t="str">
        <f>IF(C75&gt;EOMONTH(DATE('Input|General'!$G$13,MONTH('Input|General'!$G$9),1),0),"Ok",IF(ISBLANK($F75),"Check","Ok"))</f>
        <v>Ok</v>
      </c>
    </row>
    <row r="76" spans="3:20">
      <c r="C76" s="55">
        <v>45291</v>
      </c>
      <c r="D76" s="8"/>
      <c r="E76" s="8"/>
      <c r="F76" s="54">
        <f>(F72*(1+G76))</f>
        <v>137.22669000000002</v>
      </c>
      <c r="G76" s="160">
        <v>4.7500000000000001E-2</v>
      </c>
      <c r="H76" s="130"/>
      <c r="I76" s="8"/>
      <c r="J76" s="8"/>
      <c r="T76" s="89" t="str">
        <f>IF(C76&gt;EOMONTH(DATE('Input|General'!$G$13,MONTH('Input|General'!$G$9),1),0),"Ok",IF(ISBLANK($F76),"Check","Ok"))</f>
        <v>Ok</v>
      </c>
    </row>
    <row r="77" spans="3:20">
      <c r="C77" s="55">
        <v>45382</v>
      </c>
      <c r="D77" s="8"/>
      <c r="E77" s="8"/>
      <c r="F77" s="54">
        <f>AVERAGE(F76,F78)</f>
        <v>138.48393637499998</v>
      </c>
      <c r="G77" s="160">
        <f t="shared" si="3"/>
        <v>4.4971323151289599E-2</v>
      </c>
      <c r="H77" s="130"/>
      <c r="I77" s="8"/>
      <c r="J77" s="8"/>
      <c r="T77" s="89" t="str">
        <f>IF(C77&gt;EOMONTH(DATE('Input|General'!$G$13,MONTH('Input|General'!$G$9),1),0),"Ok",IF(ISBLANK($F77),"Check","Ok"))</f>
        <v>Ok</v>
      </c>
    </row>
    <row r="78" spans="3:20">
      <c r="C78" s="55">
        <v>45473</v>
      </c>
      <c r="D78" s="8"/>
      <c r="E78" s="8"/>
      <c r="F78" s="54">
        <f>(F74*(1+G78))</f>
        <v>139.74118274999998</v>
      </c>
      <c r="G78" s="160">
        <v>4.2500000000000003E-2</v>
      </c>
      <c r="H78" s="130"/>
      <c r="I78" s="8"/>
      <c r="J78" s="8"/>
      <c r="T78" s="89" t="str">
        <f>IF(C78&gt;EOMONTH(DATE('Input|General'!$G$13,MONTH('Input|General'!$G$9),1),0),"Ok",IF(ISBLANK($F78),"Check","Ok"))</f>
        <v>Ok</v>
      </c>
    </row>
    <row r="79" spans="3:20">
      <c r="C79" s="55">
        <v>45565</v>
      </c>
      <c r="D79" s="8"/>
      <c r="E79" s="8"/>
      <c r="F79" s="54">
        <f>AVERAGE(F78,F80)</f>
        <v>140.7138700875</v>
      </c>
      <c r="G79" s="160">
        <f t="shared" si="3"/>
        <v>3.7441342972206471E-2</v>
      </c>
      <c r="H79" s="130"/>
      <c r="I79" s="8"/>
      <c r="J79" s="8"/>
      <c r="T79" s="89" t="str">
        <f>IF(C79&gt;EOMONTH(DATE('Input|General'!$G$13,MONTH('Input|General'!$G$9),1),0),"Ok",IF(ISBLANK($F79),"Check","Ok"))</f>
        <v>Ok</v>
      </c>
    </row>
    <row r="80" spans="3:20">
      <c r="C80" s="55">
        <v>45657</v>
      </c>
      <c r="D80" s="8"/>
      <c r="E80" s="8"/>
      <c r="F80" s="54">
        <f t="shared" ref="F80:F84" si="4">(F76*(1+G80))</f>
        <v>141.68655742500002</v>
      </c>
      <c r="G80" s="160">
        <v>3.2500000000000001E-2</v>
      </c>
      <c r="H80" s="130"/>
      <c r="I80" s="8"/>
      <c r="J80" s="8"/>
      <c r="T80" s="89" t="str">
        <f>IF(C80&gt;EOMONTH(DATE('Input|General'!$G$13,MONTH('Input|General'!$G$9),1),0),"Ok",IF(ISBLANK($F80),"Check","Ok"))</f>
        <v>Ok</v>
      </c>
    </row>
    <row r="81" spans="1:48">
      <c r="C81" s="55">
        <v>45747</v>
      </c>
      <c r="D81" s="8"/>
      <c r="E81" s="8"/>
      <c r="F81" s="54">
        <f>(F77*(1+G81))</f>
        <v>141.94603478437497</v>
      </c>
      <c r="G81" s="160">
        <v>2.5000000000000001E-2</v>
      </c>
      <c r="H81" s="130"/>
      <c r="I81" s="8"/>
      <c r="J81" s="8"/>
      <c r="T81" s="89" t="str">
        <f>IF(C81&gt;EOMONTH(DATE('Input|General'!$G$13,MONTH('Input|General'!$G$9),1),0),"Ok",IF(ISBLANK($F81),"Check","Ok"))</f>
        <v>Ok</v>
      </c>
    </row>
    <row r="82" spans="1:48">
      <c r="C82" s="55">
        <v>45838</v>
      </c>
      <c r="D82" s="8"/>
      <c r="E82" s="8"/>
      <c r="F82" s="54">
        <f t="shared" si="4"/>
        <v>143.23471231874996</v>
      </c>
      <c r="G82" s="160">
        <v>2.5000000000000001E-2</v>
      </c>
      <c r="H82" s="130"/>
      <c r="I82" s="8"/>
      <c r="J82" s="8"/>
      <c r="T82" s="89" t="str">
        <f>IF(C82&gt;EOMONTH(DATE('Input|General'!$G$13,MONTH('Input|General'!$G$9),1),0),"Ok",IF(ISBLANK($F82),"Check","Ok"))</f>
        <v>Ok</v>
      </c>
    </row>
    <row r="83" spans="1:48">
      <c r="C83" s="55">
        <v>45930</v>
      </c>
      <c r="D83" s="8"/>
      <c r="E83" s="8"/>
      <c r="F83" s="54">
        <f t="shared" si="4"/>
        <v>144.23171683968749</v>
      </c>
      <c r="G83" s="160">
        <v>2.5000000000000001E-2</v>
      </c>
      <c r="H83" s="130"/>
      <c r="I83" s="8"/>
      <c r="J83" s="8"/>
      <c r="T83" s="89" t="str">
        <f>IF(C83&gt;EOMONTH(DATE('Input|General'!$G$13,MONTH('Input|General'!$G$9),1),0),"Ok",IF(ISBLANK($F83),"Check","Ok"))</f>
        <v>Ok</v>
      </c>
    </row>
    <row r="84" spans="1:48">
      <c r="C84" s="55">
        <v>46022</v>
      </c>
      <c r="D84" s="8"/>
      <c r="E84" s="8"/>
      <c r="F84" s="54">
        <f t="shared" si="4"/>
        <v>145.228721360625</v>
      </c>
      <c r="G84" s="160">
        <v>2.5000000000000001E-2</v>
      </c>
      <c r="H84" s="130"/>
      <c r="I84" s="8"/>
      <c r="J84" s="8"/>
      <c r="T84" s="89" t="str">
        <f>IF(C84&gt;EOMONTH(DATE('Input|General'!$G$13,MONTH('Input|General'!$G$9),1),0),"Ok",IF(ISBLANK($F84),"Check","Ok"))</f>
        <v>Ok</v>
      </c>
    </row>
    <row r="85" spans="1:48">
      <c r="F85" s="8"/>
      <c r="G85" s="8"/>
      <c r="H85" s="8"/>
      <c r="I85" s="8"/>
      <c r="J85" s="8"/>
      <c r="T85" s="90"/>
    </row>
    <row r="86" spans="1:48" customFormat="1" ht="12.75">
      <c r="A86" s="37"/>
      <c r="B86" s="43" t="s">
        <v>23</v>
      </c>
      <c r="C86" s="37"/>
      <c r="D86" s="37"/>
      <c r="E86" s="37"/>
      <c r="F86" s="37"/>
      <c r="G86" s="38"/>
      <c r="H86" s="38"/>
      <c r="I86" s="38"/>
      <c r="J86" s="38"/>
      <c r="K86" s="39"/>
      <c r="L86" s="40"/>
      <c r="M86" s="39"/>
      <c r="N86" s="40"/>
      <c r="O86" s="39"/>
      <c r="P86" s="39"/>
      <c r="Q86" s="39"/>
      <c r="R86" s="39"/>
      <c r="S86" s="39"/>
      <c r="T86" s="39"/>
      <c r="U86" s="39"/>
      <c r="V86" s="39"/>
      <c r="W86" s="40"/>
      <c r="X86" s="40"/>
      <c r="Y86" s="41"/>
      <c r="Z86" s="41"/>
      <c r="AA86" s="41"/>
      <c r="AB86" s="41"/>
      <c r="AC86" s="41"/>
      <c r="AD86" s="42"/>
      <c r="AE86" s="42"/>
    </row>
    <row r="87" spans="1:48" hidden="1">
      <c r="H87" s="21"/>
      <c r="I87" s="21"/>
    </row>
    <row r="88" spans="1:48" hidden="1">
      <c r="H88" s="21"/>
      <c r="I88" s="21"/>
    </row>
    <row r="89" spans="1:48" s="16" customFormat="1" hidden="1">
      <c r="A89" s="8"/>
      <c r="B89" s="8"/>
      <c r="C89" s="8"/>
      <c r="H89" s="21"/>
      <c r="I89" s="21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</row>
    <row r="90" spans="1:48" s="16" customFormat="1" hidden="1">
      <c r="A90" s="8"/>
      <c r="B90" s="8"/>
      <c r="C90" s="8"/>
      <c r="H90" s="21"/>
      <c r="I90" s="21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</row>
    <row r="91" spans="1:48" s="16" customFormat="1" hidden="1">
      <c r="A91" s="8"/>
      <c r="B91" s="8"/>
      <c r="C91" s="8"/>
      <c r="H91" s="21"/>
      <c r="I91" s="21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</row>
    <row r="92" spans="1:48" s="16" customFormat="1" hidden="1">
      <c r="A92" s="8"/>
      <c r="B92" s="8"/>
      <c r="C92" s="8"/>
      <c r="H92" s="21"/>
      <c r="I92" s="21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</row>
    <row r="93" spans="1:48" s="16" customFormat="1" hidden="1">
      <c r="A93" s="8"/>
      <c r="B93" s="8"/>
      <c r="C93" s="8"/>
      <c r="H93" s="21"/>
      <c r="I93" s="21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</row>
    <row r="94" spans="1:48" s="16" customFormat="1" hidden="1">
      <c r="A94" s="8"/>
      <c r="B94" s="8"/>
      <c r="C94" s="8"/>
      <c r="H94" s="21"/>
      <c r="I94" s="21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</row>
    <row r="95" spans="1:48" s="16" customFormat="1" hidden="1">
      <c r="A95" s="8"/>
      <c r="B95" s="8"/>
      <c r="C95" s="8"/>
      <c r="H95" s="21"/>
      <c r="I95" s="21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</row>
    <row r="96" spans="1:48" s="16" customFormat="1" hidden="1">
      <c r="A96" s="8"/>
      <c r="B96" s="8"/>
      <c r="C96" s="8"/>
      <c r="H96" s="21"/>
      <c r="I96" s="21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</row>
  </sheetData>
  <conditionalFormatting sqref="T1">
    <cfRule type="cellIs" dxfId="159" priority="5" operator="equal">
      <formula>"Check"</formula>
    </cfRule>
    <cfRule type="cellIs" dxfId="158" priority="6" operator="equal">
      <formula>"Ok"</formula>
    </cfRule>
  </conditionalFormatting>
  <conditionalFormatting sqref="T9:T85 X14:X85">
    <cfRule type="cellIs" dxfId="157" priority="1" operator="equal">
      <formula>"Check"</formula>
    </cfRule>
    <cfRule type="cellIs" dxfId="156" priority="2" operator="equal">
      <formula>"Ok"</formula>
    </cfRule>
  </conditionalFormatting>
  <conditionalFormatting sqref="W1">
    <cfRule type="cellIs" dxfId="155" priority="7" operator="equal">
      <formula>"Check"</formula>
    </cfRule>
    <cfRule type="cellIs" dxfId="154" priority="8" operator="equal">
      <formula>"Ok"</formula>
    </cfRule>
  </conditionalFormatting>
  <dataValidations count="2">
    <dataValidation type="list" allowBlank="1" showInputMessage="1" showErrorMessage="1" sqref="G85" xr:uid="{00000000-0002-0000-0200-000000000000}">
      <formula1>"Real 2010,Real 2011,Real 2012,Real 2013,Real 2014,Real 2015,Nominal"</formula1>
    </dataValidation>
    <dataValidation type="list" allowBlank="1" showInputMessage="1" showErrorMessage="1" sqref="J12:J85" xr:uid="{00000000-0002-0000-0200-000001000000}">
      <formula1>#REF!</formula1>
    </dataValidation>
  </dataValidations>
  <hyperlinks>
    <hyperlink ref="K1" location="Index!A1" display="Back to Index" xr:uid="{00000000-0004-0000-0200-000000000000}"/>
    <hyperlink ref="V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headerFooter>
    <oddFooter>&amp;C_x000D_&amp;1#&amp;"Century Gothic"&amp;7&amp;K7F7F7F BUSINESS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tabColor rgb="FFFFFF99"/>
  </sheetPr>
  <dimension ref="A1:X101"/>
  <sheetViews>
    <sheetView zoomScaleNormal="100" workbookViewId="0">
      <selection activeCell="U87" sqref="U87"/>
    </sheetView>
  </sheetViews>
  <sheetFormatPr defaultColWidth="0" defaultRowHeight="11.25" zeroHeight="1"/>
  <cols>
    <col min="1" max="2" width="1.6640625" customWidth="1"/>
    <col min="3" max="3" width="32" customWidth="1"/>
    <col min="4" max="6" width="13.33203125" customWidth="1"/>
    <col min="7" max="9" width="3.33203125" customWidth="1"/>
    <col min="10" max="12" width="10.6640625" customWidth="1"/>
    <col min="13" max="13" width="12.5" customWidth="1"/>
    <col min="14" max="24" width="10.6640625" customWidth="1"/>
    <col min="25" max="16384" width="9.33203125" hidden="1"/>
  </cols>
  <sheetData>
    <row r="1" spans="1:24" ht="15.75">
      <c r="A1" s="32"/>
      <c r="B1" s="29"/>
      <c r="C1" s="29" t="str">
        <f>Index!$B$1</f>
        <v>AER opex model v1.9</v>
      </c>
      <c r="D1" s="29"/>
      <c r="E1" s="29"/>
      <c r="F1" s="30"/>
      <c r="G1" s="30"/>
      <c r="H1" s="30"/>
      <c r="I1" s="30"/>
      <c r="J1" s="153" t="s">
        <v>24</v>
      </c>
      <c r="K1" s="32"/>
      <c r="L1" s="33" t="s">
        <v>25</v>
      </c>
      <c r="M1" s="50" t="s">
        <v>26</v>
      </c>
      <c r="N1" s="11" t="s">
        <v>27</v>
      </c>
      <c r="O1" s="12" t="s">
        <v>28</v>
      </c>
      <c r="P1" s="32"/>
      <c r="Q1" s="32"/>
      <c r="R1" s="33" t="s">
        <v>29</v>
      </c>
      <c r="S1" s="34" t="str">
        <f>IF(COUNTA($X$29:$X$288)=COUNTIF($X$29:$X$288,"OK"),"OK","Check")</f>
        <v>OK</v>
      </c>
      <c r="T1" s="34"/>
      <c r="U1" s="32"/>
      <c r="V1" s="129" t="s">
        <v>30</v>
      </c>
      <c r="W1" s="34" t="str">
        <f>'Check|List'!$S$1</f>
        <v>Ok</v>
      </c>
      <c r="X1" s="32"/>
    </row>
    <row r="2" spans="1:24" ht="13.5" thickBot="1">
      <c r="A2" s="36"/>
      <c r="B2" s="35"/>
      <c r="C2" s="35" t="str">
        <f>Index!$C$9</f>
        <v>Input | Reported opex</v>
      </c>
      <c r="D2" s="35"/>
      <c r="E2" s="35"/>
      <c r="F2" s="59"/>
      <c r="G2" s="59"/>
      <c r="H2" s="59"/>
      <c r="I2" s="59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</row>
    <row r="3" spans="1:24">
      <c r="A3" s="91"/>
      <c r="B3" s="91"/>
      <c r="C3" s="91"/>
      <c r="D3" s="92"/>
      <c r="E3" s="92"/>
      <c r="F3" s="92"/>
      <c r="G3" s="92"/>
      <c r="H3" s="92"/>
      <c r="I3" s="92"/>
      <c r="J3" s="109" t="s">
        <v>58</v>
      </c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93"/>
      <c r="V3" s="93"/>
      <c r="W3" s="93"/>
      <c r="X3" s="93"/>
    </row>
    <row r="4" spans="1:24">
      <c r="A4" s="62"/>
      <c r="B4" s="62"/>
      <c r="C4" s="62"/>
      <c r="D4" s="63" t="s">
        <v>33</v>
      </c>
      <c r="E4" s="63" t="s">
        <v>53</v>
      </c>
      <c r="F4" s="64" t="s">
        <v>59</v>
      </c>
      <c r="G4" s="65"/>
      <c r="H4" s="65"/>
      <c r="I4" s="65"/>
      <c r="J4" s="155">
        <f>DATE(PPFirstYear,MONTH('Input|General'!$G$9),1)</f>
        <v>43435</v>
      </c>
      <c r="K4" s="155">
        <f>DATE(PPFirstYear+1,MONTH('Input|General'!$G$9),1)</f>
        <v>43800</v>
      </c>
      <c r="L4" s="155">
        <f>DATE(PPFirstYear+2,MONTH('Input|General'!$G$9),1)</f>
        <v>44166</v>
      </c>
      <c r="M4" s="155">
        <f>DATE(PPFirstYear+3,MONTH('Input|General'!$G$9),1)</f>
        <v>44531</v>
      </c>
      <c r="N4" s="155">
        <f>DATE(PPFirstYear+4,MONTH('Input|General'!$G$9),1)</f>
        <v>44896</v>
      </c>
      <c r="O4" s="155">
        <f>DATE(PPFirstYear+5,MONTH('Input|General'!$G$10),1)</f>
        <v>45078</v>
      </c>
      <c r="P4" s="155">
        <f>DATE(PPFirstYear+6,MONTH('Input|General'!$G$10),1)</f>
        <v>45444</v>
      </c>
      <c r="Q4" s="155">
        <f>DATE(PPFirstYear+7,MONTH('Input|General'!$G$10),1)</f>
        <v>45809</v>
      </c>
      <c r="R4" s="155">
        <f>DATE(PPFirstYear+8,MONTH('Input|General'!$G$10),1)</f>
        <v>46174</v>
      </c>
      <c r="S4" s="155">
        <f>DATE(PPFirstYear+9,MONTH('Input|General'!$G$10),1)</f>
        <v>46539</v>
      </c>
      <c r="T4" s="155">
        <f>DATE(PPFirstYear+10,MONTH('Input|General'!$G$10),1)</f>
        <v>46905</v>
      </c>
      <c r="U4" s="66"/>
      <c r="V4" s="66"/>
      <c r="W4" s="67"/>
      <c r="X4" s="67"/>
    </row>
    <row r="5" spans="1:24" ht="5.25" customHeight="1">
      <c r="A5" s="6"/>
      <c r="B5" s="6"/>
      <c r="C5" s="6"/>
      <c r="D5" s="27"/>
      <c r="E5" s="27"/>
      <c r="F5" s="27"/>
      <c r="G5" s="27"/>
      <c r="H5" s="27"/>
      <c r="I5" s="2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6.75" customHeight="1">
      <c r="A6" s="6"/>
      <c r="B6" s="6"/>
      <c r="C6" s="6"/>
      <c r="D6" s="27"/>
      <c r="E6" s="27"/>
      <c r="F6" s="27"/>
      <c r="G6" s="27"/>
      <c r="H6" s="27"/>
      <c r="I6" s="27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5.25" customHeight="1">
      <c r="A7" s="6"/>
      <c r="B7" s="6"/>
      <c r="C7" s="6"/>
      <c r="D7" s="27"/>
      <c r="E7" s="27"/>
      <c r="F7" s="27"/>
      <c r="G7" s="27"/>
      <c r="H7" s="27"/>
      <c r="I7" s="27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12.75">
      <c r="A8" s="37"/>
      <c r="B8" s="43" t="s">
        <v>60</v>
      </c>
      <c r="C8" s="37"/>
      <c r="D8" s="37"/>
      <c r="E8" s="37"/>
      <c r="F8" s="38"/>
      <c r="G8" s="38"/>
      <c r="H8" s="38"/>
      <c r="I8" s="38"/>
      <c r="J8" s="39"/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39"/>
      <c r="W8" s="40"/>
      <c r="X8" s="40"/>
    </row>
    <row r="9" spans="1:24">
      <c r="A9" s="8"/>
      <c r="B9" s="8"/>
      <c r="C9" s="8"/>
      <c r="D9" s="16"/>
      <c r="E9" s="16"/>
      <c r="F9" s="16"/>
      <c r="G9" s="21"/>
      <c r="H9" s="21"/>
      <c r="I9" s="16"/>
      <c r="J9" s="8"/>
      <c r="K9" s="8"/>
      <c r="L9" s="8"/>
      <c r="M9" s="167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>
      <c r="A10" s="8"/>
      <c r="B10" s="8"/>
      <c r="C10" s="9" t="s">
        <v>61</v>
      </c>
      <c r="D10" s="21" t="s">
        <v>33</v>
      </c>
      <c r="E10" s="21" t="s">
        <v>53</v>
      </c>
      <c r="F10" s="21" t="s">
        <v>59</v>
      </c>
      <c r="G10" s="21"/>
      <c r="H10" s="21"/>
      <c r="I10" s="16"/>
      <c r="J10" s="200">
        <f t="shared" ref="J10:T10" si="0">IF(YEAR(J$4)&lt;=PPLastYear,J$4,"")</f>
        <v>43435</v>
      </c>
      <c r="K10" s="200">
        <f t="shared" si="0"/>
        <v>43800</v>
      </c>
      <c r="L10" s="200">
        <f t="shared" si="0"/>
        <v>44166</v>
      </c>
      <c r="M10" s="200">
        <f t="shared" si="0"/>
        <v>44531</v>
      </c>
      <c r="N10" s="200">
        <f t="shared" si="0"/>
        <v>44896</v>
      </c>
      <c r="O10" s="200" t="str">
        <f t="shared" si="0"/>
        <v/>
      </c>
      <c r="P10" s="200" t="str">
        <f t="shared" si="0"/>
        <v/>
      </c>
      <c r="Q10" s="200" t="str">
        <f t="shared" si="0"/>
        <v/>
      </c>
      <c r="R10" s="200" t="str">
        <f t="shared" si="0"/>
        <v/>
      </c>
      <c r="S10" s="200" t="str">
        <f t="shared" si="0"/>
        <v/>
      </c>
      <c r="T10" s="200" t="str">
        <f t="shared" si="0"/>
        <v/>
      </c>
      <c r="U10" s="201" t="s">
        <v>62</v>
      </c>
      <c r="V10" s="202"/>
      <c r="W10" s="202"/>
      <c r="X10" s="8"/>
    </row>
    <row r="11" spans="1:24">
      <c r="A11" s="8"/>
      <c r="B11" s="8"/>
      <c r="C11" s="15"/>
      <c r="D11" s="16"/>
      <c r="E11" s="16"/>
      <c r="F11" s="16"/>
      <c r="G11" s="21"/>
      <c r="H11" s="21"/>
      <c r="I11" s="16"/>
      <c r="J11" s="23"/>
      <c r="K11" s="23"/>
      <c r="L11" s="23"/>
      <c r="M11" s="23"/>
      <c r="N11" s="23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4">
      <c r="A12" s="8"/>
      <c r="B12" s="8"/>
      <c r="C12" s="15"/>
      <c r="D12" s="16"/>
      <c r="E12" s="16"/>
      <c r="F12" s="16"/>
      <c r="G12" s="21"/>
      <c r="H12" s="21"/>
      <c r="I12" s="16"/>
      <c r="J12" s="169"/>
      <c r="K12" s="169"/>
      <c r="L12" s="169"/>
      <c r="M12" s="169"/>
      <c r="N12" s="169"/>
      <c r="O12" s="169"/>
      <c r="P12" s="8"/>
      <c r="Q12" s="8"/>
      <c r="R12" s="8"/>
      <c r="S12" s="8"/>
      <c r="T12" s="8"/>
      <c r="U12" s="8"/>
      <c r="V12" s="8"/>
      <c r="W12" s="8"/>
      <c r="X12" s="8"/>
    </row>
    <row r="13" spans="1:24">
      <c r="A13" s="8"/>
      <c r="B13" s="8"/>
      <c r="C13" s="52" t="s">
        <v>63</v>
      </c>
      <c r="D13" s="16" t="s">
        <v>39</v>
      </c>
      <c r="E13" s="119" t="s">
        <v>64</v>
      </c>
      <c r="F13" s="119">
        <v>43070</v>
      </c>
      <c r="G13" s="21"/>
      <c r="H13" s="21"/>
      <c r="I13" s="16"/>
      <c r="J13" s="114">
        <v>52.957611143130066</v>
      </c>
      <c r="K13" s="114">
        <v>53.628115090028857</v>
      </c>
      <c r="L13" s="114">
        <v>54.283368266048043</v>
      </c>
      <c r="M13" s="114">
        <v>55.346133774432417</v>
      </c>
      <c r="N13" s="114">
        <v>56.087063759587913</v>
      </c>
      <c r="O13" s="146"/>
      <c r="P13" s="104"/>
      <c r="Q13" s="104"/>
      <c r="R13" s="104"/>
      <c r="S13" s="104"/>
      <c r="T13" s="104"/>
      <c r="U13" s="8"/>
      <c r="V13" s="8"/>
      <c r="W13" s="8"/>
      <c r="X13" s="8"/>
    </row>
    <row r="14" spans="1:24">
      <c r="A14" s="8"/>
      <c r="B14" s="8"/>
      <c r="C14" s="15"/>
      <c r="D14" s="16"/>
      <c r="E14" s="16"/>
      <c r="F14" s="16"/>
      <c r="G14" s="21"/>
      <c r="H14" s="21"/>
      <c r="I14" s="16"/>
      <c r="J14" s="23"/>
      <c r="K14" s="23"/>
      <c r="L14" s="23"/>
      <c r="M14" s="23"/>
      <c r="N14" s="23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4">
      <c r="A15" s="8"/>
      <c r="B15" s="8"/>
      <c r="C15" s="94" t="s">
        <v>63</v>
      </c>
      <c r="D15" s="95" t="str">
        <f>D13</f>
        <v>AER</v>
      </c>
      <c r="E15" s="142" t="str">
        <f>E13</f>
        <v>$millions</v>
      </c>
      <c r="F15" s="142">
        <f>F13</f>
        <v>43070</v>
      </c>
      <c r="G15" s="21"/>
      <c r="H15" s="21"/>
      <c r="I15" s="16"/>
      <c r="J15" s="87">
        <f>J13</f>
        <v>52.957611143130066</v>
      </c>
      <c r="K15" s="87">
        <f t="shared" ref="K15:T15" si="1">K13</f>
        <v>53.628115090028857</v>
      </c>
      <c r="L15" s="87">
        <f t="shared" si="1"/>
        <v>54.283368266048043</v>
      </c>
      <c r="M15" s="87">
        <f t="shared" si="1"/>
        <v>55.346133774432417</v>
      </c>
      <c r="N15" s="87">
        <f t="shared" si="1"/>
        <v>56.087063759587913</v>
      </c>
      <c r="O15" s="87">
        <f>O13</f>
        <v>0</v>
      </c>
      <c r="P15" s="87">
        <f t="shared" si="1"/>
        <v>0</v>
      </c>
      <c r="Q15" s="87">
        <f t="shared" si="1"/>
        <v>0</v>
      </c>
      <c r="R15" s="87">
        <f t="shared" si="1"/>
        <v>0</v>
      </c>
      <c r="S15" s="87">
        <f t="shared" si="1"/>
        <v>0</v>
      </c>
      <c r="T15" s="87">
        <f t="shared" si="1"/>
        <v>0</v>
      </c>
      <c r="U15" s="8"/>
      <c r="V15" s="8"/>
      <c r="W15" s="8"/>
      <c r="X15" s="8"/>
    </row>
    <row r="16" spans="1:24">
      <c r="A16" s="8"/>
      <c r="B16" s="8"/>
      <c r="C16" s="15"/>
      <c r="D16" s="16"/>
      <c r="E16" s="16"/>
      <c r="F16" s="16"/>
      <c r="G16" s="21"/>
      <c r="H16" s="21"/>
      <c r="I16" s="16"/>
      <c r="J16" s="23"/>
      <c r="K16" s="23"/>
      <c r="L16" s="23"/>
      <c r="M16" s="23"/>
      <c r="N16" s="23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>
      <c r="A17" s="8"/>
      <c r="B17" s="8"/>
      <c r="C17" s="9" t="s">
        <v>65</v>
      </c>
      <c r="D17" s="16"/>
      <c r="E17" s="16"/>
      <c r="F17" s="16"/>
      <c r="G17" s="21"/>
      <c r="H17" s="21"/>
      <c r="I17" s="16"/>
      <c r="J17" s="23"/>
      <c r="K17" s="169"/>
      <c r="L17" s="169"/>
      <c r="M17" s="169"/>
      <c r="N17" s="169"/>
      <c r="O17" s="169"/>
      <c r="P17" s="8"/>
      <c r="Q17" s="8"/>
      <c r="R17" s="8"/>
      <c r="S17" s="8"/>
      <c r="T17" s="8"/>
      <c r="U17" s="8"/>
      <c r="V17" s="8"/>
      <c r="W17" s="8"/>
      <c r="X17" s="8"/>
    </row>
    <row r="18" spans="1:24">
      <c r="A18" s="8"/>
      <c r="B18" s="8"/>
      <c r="C18" s="15"/>
      <c r="D18" s="16"/>
      <c r="E18" s="16"/>
      <c r="F18" s="16"/>
      <c r="G18" s="21"/>
      <c r="H18" s="21"/>
      <c r="I18" s="16"/>
      <c r="J18" s="169"/>
      <c r="K18" s="169"/>
      <c r="L18" s="169"/>
      <c r="M18" s="169"/>
      <c r="N18" s="169"/>
      <c r="O18" s="169"/>
      <c r="P18" s="8"/>
      <c r="Q18" s="8"/>
      <c r="R18" s="8"/>
      <c r="S18" s="8"/>
      <c r="T18" s="8"/>
      <c r="U18" s="8"/>
      <c r="V18" s="8"/>
      <c r="W18" s="8"/>
      <c r="X18" s="8"/>
    </row>
    <row r="19" spans="1:24">
      <c r="A19" s="8"/>
      <c r="B19" s="8"/>
      <c r="C19" s="52" t="s">
        <v>66</v>
      </c>
      <c r="D19" s="16" t="s">
        <v>39</v>
      </c>
      <c r="E19" s="16" t="str">
        <f>$E$29</f>
        <v>$millions</v>
      </c>
      <c r="F19" s="111">
        <f t="shared" ref="F19:F27" si="2">$F$15</f>
        <v>43070</v>
      </c>
      <c r="G19" s="21"/>
      <c r="H19" s="21"/>
      <c r="I19" s="16"/>
      <c r="J19" s="114">
        <v>0.78822741351726799</v>
      </c>
      <c r="K19" s="114">
        <v>0.80193801336764337</v>
      </c>
      <c r="L19" s="114">
        <v>0.81923203776083497</v>
      </c>
      <c r="M19" s="114">
        <v>0.83351901912812987</v>
      </c>
      <c r="N19" s="114">
        <v>0.84312840680123524</v>
      </c>
      <c r="O19" s="104"/>
      <c r="P19" s="104"/>
      <c r="Q19" s="104"/>
      <c r="R19" s="104"/>
      <c r="S19" s="104"/>
      <c r="T19" s="104"/>
      <c r="U19" s="8"/>
      <c r="V19" s="8"/>
      <c r="W19" s="8"/>
      <c r="X19" s="8"/>
    </row>
    <row r="20" spans="1:24">
      <c r="A20" s="8"/>
      <c r="B20" s="8"/>
      <c r="C20" s="52" t="s">
        <v>67</v>
      </c>
      <c r="D20" s="16" t="s">
        <v>39</v>
      </c>
      <c r="E20" s="16" t="str">
        <f t="shared" ref="E20:E27" si="3">$E$15</f>
        <v>$millions</v>
      </c>
      <c r="F20" s="111">
        <f t="shared" si="2"/>
        <v>43070</v>
      </c>
      <c r="G20" s="21"/>
      <c r="H20" s="21"/>
      <c r="I20" s="16"/>
      <c r="J20" s="114">
        <v>2.71</v>
      </c>
      <c r="K20" s="114">
        <v>2.74</v>
      </c>
      <c r="L20" s="114">
        <v>2.78</v>
      </c>
      <c r="M20" s="114">
        <v>2.82</v>
      </c>
      <c r="N20" s="114">
        <v>2.85</v>
      </c>
      <c r="O20" s="104"/>
      <c r="P20" s="104"/>
      <c r="Q20" s="104"/>
      <c r="R20" s="104"/>
      <c r="S20" s="104"/>
      <c r="T20" s="104"/>
      <c r="U20" s="8"/>
      <c r="V20" s="8"/>
      <c r="W20" s="8"/>
      <c r="X20" s="8"/>
    </row>
    <row r="21" spans="1:24">
      <c r="A21" s="8"/>
      <c r="B21" s="8"/>
      <c r="C21" s="52"/>
      <c r="D21" s="16" t="s">
        <v>39</v>
      </c>
      <c r="E21" s="16" t="str">
        <f t="shared" si="3"/>
        <v>$millions</v>
      </c>
      <c r="F21" s="111">
        <f t="shared" si="2"/>
        <v>43070</v>
      </c>
      <c r="G21" s="21"/>
      <c r="H21" s="21"/>
      <c r="I21" s="16"/>
      <c r="J21" s="114"/>
      <c r="K21" s="114"/>
      <c r="L21" s="114"/>
      <c r="M21" s="114"/>
      <c r="N21" s="114"/>
      <c r="O21" s="104"/>
      <c r="P21" s="104"/>
      <c r="Q21" s="104"/>
      <c r="R21" s="104"/>
      <c r="S21" s="104"/>
      <c r="T21" s="104"/>
      <c r="U21" s="8"/>
      <c r="V21" s="8"/>
      <c r="W21" s="8"/>
      <c r="X21" s="8"/>
    </row>
    <row r="22" spans="1:24">
      <c r="A22" s="8"/>
      <c r="B22" s="8"/>
      <c r="C22" s="52"/>
      <c r="D22" s="16" t="s">
        <v>39</v>
      </c>
      <c r="E22" s="16" t="str">
        <f t="shared" si="3"/>
        <v>$millions</v>
      </c>
      <c r="F22" s="111">
        <f t="shared" si="2"/>
        <v>43070</v>
      </c>
      <c r="G22" s="21"/>
      <c r="H22" s="21"/>
      <c r="I22" s="16"/>
      <c r="J22" s="114"/>
      <c r="K22" s="114"/>
      <c r="L22" s="114"/>
      <c r="M22" s="114"/>
      <c r="N22" s="114"/>
      <c r="O22" s="104"/>
      <c r="P22" s="104"/>
      <c r="Q22" s="104"/>
      <c r="R22" s="104"/>
      <c r="S22" s="104"/>
      <c r="T22" s="104"/>
      <c r="U22" s="8"/>
      <c r="V22" s="8"/>
      <c r="W22" s="8"/>
      <c r="X22" s="8"/>
    </row>
    <row r="23" spans="1:24">
      <c r="A23" s="8"/>
      <c r="B23" s="8"/>
      <c r="C23" s="52"/>
      <c r="D23" s="16" t="s">
        <v>39</v>
      </c>
      <c r="E23" s="16" t="str">
        <f t="shared" si="3"/>
        <v>$millions</v>
      </c>
      <c r="F23" s="111">
        <f t="shared" si="2"/>
        <v>43070</v>
      </c>
      <c r="G23" s="21"/>
      <c r="H23" s="21"/>
      <c r="I23" s="16"/>
      <c r="J23" s="114"/>
      <c r="K23" s="114"/>
      <c r="L23" s="114"/>
      <c r="M23" s="114"/>
      <c r="N23" s="114"/>
      <c r="O23" s="104"/>
      <c r="P23" s="104"/>
      <c r="Q23" s="104"/>
      <c r="R23" s="104"/>
      <c r="S23" s="104"/>
      <c r="T23" s="104"/>
      <c r="U23" s="8"/>
      <c r="V23" s="8"/>
      <c r="W23" s="8"/>
      <c r="X23" s="8"/>
    </row>
    <row r="24" spans="1:24">
      <c r="A24" s="8"/>
      <c r="B24" s="8"/>
      <c r="C24" s="52"/>
      <c r="D24" s="16" t="s">
        <v>39</v>
      </c>
      <c r="E24" s="16" t="str">
        <f t="shared" si="3"/>
        <v>$millions</v>
      </c>
      <c r="F24" s="111">
        <f t="shared" si="2"/>
        <v>43070</v>
      </c>
      <c r="G24" s="21"/>
      <c r="H24" s="21"/>
      <c r="I24" s="16"/>
      <c r="J24" s="114"/>
      <c r="K24" s="114"/>
      <c r="L24" s="114"/>
      <c r="M24" s="114"/>
      <c r="N24" s="114"/>
      <c r="O24" s="104"/>
      <c r="P24" s="104"/>
      <c r="Q24" s="104"/>
      <c r="R24" s="104"/>
      <c r="S24" s="104"/>
      <c r="T24" s="104"/>
      <c r="U24" s="8"/>
      <c r="V24" s="8"/>
      <c r="W24" s="8"/>
      <c r="X24" s="8"/>
    </row>
    <row r="25" spans="1:24">
      <c r="A25" s="8"/>
      <c r="B25" s="8"/>
      <c r="C25" s="52"/>
      <c r="D25" s="16" t="s">
        <v>39</v>
      </c>
      <c r="E25" s="16" t="str">
        <f t="shared" si="3"/>
        <v>$millions</v>
      </c>
      <c r="F25" s="111">
        <f t="shared" si="2"/>
        <v>43070</v>
      </c>
      <c r="G25" s="21"/>
      <c r="H25" s="21"/>
      <c r="I25" s="16"/>
      <c r="J25" s="114"/>
      <c r="K25" s="114"/>
      <c r="L25" s="114"/>
      <c r="M25" s="114"/>
      <c r="N25" s="114"/>
      <c r="O25" s="104"/>
      <c r="P25" s="104"/>
      <c r="Q25" s="104"/>
      <c r="R25" s="104"/>
      <c r="S25" s="104"/>
      <c r="T25" s="104"/>
      <c r="U25" s="8"/>
      <c r="V25" s="8"/>
      <c r="W25" s="8"/>
      <c r="X25" s="8"/>
    </row>
    <row r="26" spans="1:24">
      <c r="A26" s="8"/>
      <c r="B26" s="8"/>
      <c r="C26" s="52"/>
      <c r="D26" s="16" t="s">
        <v>39</v>
      </c>
      <c r="E26" s="16" t="str">
        <f>$E$15</f>
        <v>$millions</v>
      </c>
      <c r="F26" s="111">
        <f t="shared" si="2"/>
        <v>43070</v>
      </c>
      <c r="G26" s="21"/>
      <c r="H26" s="21"/>
      <c r="I26" s="16"/>
      <c r="J26" s="114"/>
      <c r="K26" s="114"/>
      <c r="L26" s="114"/>
      <c r="M26" s="114"/>
      <c r="N26" s="114"/>
      <c r="O26" s="104"/>
      <c r="P26" s="104"/>
      <c r="Q26" s="104"/>
      <c r="R26" s="104"/>
      <c r="S26" s="104"/>
      <c r="T26" s="104"/>
      <c r="U26" s="8"/>
      <c r="V26" s="8"/>
      <c r="W26" s="8"/>
      <c r="X26" s="8"/>
    </row>
    <row r="27" spans="1:24">
      <c r="A27" s="8"/>
      <c r="B27" s="8"/>
      <c r="C27" s="52"/>
      <c r="D27" s="16" t="s">
        <v>39</v>
      </c>
      <c r="E27" s="16" t="str">
        <f t="shared" si="3"/>
        <v>$millions</v>
      </c>
      <c r="F27" s="111">
        <f t="shared" si="2"/>
        <v>43070</v>
      </c>
      <c r="G27" s="21"/>
      <c r="H27" s="21"/>
      <c r="I27" s="16"/>
      <c r="J27" s="114"/>
      <c r="K27" s="114"/>
      <c r="L27" s="114"/>
      <c r="M27" s="114"/>
      <c r="N27" s="114"/>
      <c r="O27" s="104"/>
      <c r="P27" s="104"/>
      <c r="Q27" s="104"/>
      <c r="R27" s="104"/>
      <c r="S27" s="104"/>
      <c r="T27" s="104"/>
      <c r="U27" s="8"/>
      <c r="V27" s="8"/>
      <c r="W27" s="8"/>
      <c r="X27" s="8"/>
    </row>
    <row r="28" spans="1:24">
      <c r="A28" s="8"/>
      <c r="B28" s="8"/>
      <c r="C28" s="15"/>
      <c r="D28" s="16"/>
      <c r="E28" s="16"/>
      <c r="F28" s="16"/>
      <c r="G28" s="21"/>
      <c r="H28" s="21"/>
      <c r="I28" s="16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8"/>
      <c r="V28" s="8"/>
      <c r="W28" s="8"/>
      <c r="X28" s="8"/>
    </row>
    <row r="29" spans="1:24">
      <c r="A29" s="8"/>
      <c r="B29" s="8"/>
      <c r="C29" s="94" t="s">
        <v>68</v>
      </c>
      <c r="D29" s="95" t="s">
        <v>52</v>
      </c>
      <c r="E29" s="88" t="s">
        <v>64</v>
      </c>
      <c r="F29" s="112">
        <f>F27</f>
        <v>43070</v>
      </c>
      <c r="G29" s="21"/>
      <c r="H29" s="21"/>
      <c r="I29" s="16"/>
      <c r="J29" s="87">
        <f>SUM(J19:J27)</f>
        <v>3.498227413517268</v>
      </c>
      <c r="K29" s="87">
        <f t="shared" ref="K29:S29" si="4">SUM(K19:K27)</f>
        <v>3.5419380133676435</v>
      </c>
      <c r="L29" s="87">
        <f t="shared" si="4"/>
        <v>3.5992320377608347</v>
      </c>
      <c r="M29" s="87">
        <f t="shared" si="4"/>
        <v>3.6535190191281295</v>
      </c>
      <c r="N29" s="87">
        <f>SUM(N19:N27)</f>
        <v>3.6931284068012351</v>
      </c>
      <c r="O29" s="87">
        <f t="shared" si="4"/>
        <v>0</v>
      </c>
      <c r="P29" s="87">
        <f t="shared" si="4"/>
        <v>0</v>
      </c>
      <c r="Q29" s="87">
        <f t="shared" si="4"/>
        <v>0</v>
      </c>
      <c r="R29" s="87">
        <f t="shared" si="4"/>
        <v>0</v>
      </c>
      <c r="S29" s="87">
        <f t="shared" si="4"/>
        <v>0</v>
      </c>
      <c r="T29" s="87"/>
      <c r="U29" s="8"/>
      <c r="V29" s="8"/>
      <c r="W29" s="8"/>
      <c r="X29" s="8" t="str">
        <f>IF(COUNTIF(J19:S27,"&lt;0")&gt;0,"Check","Ok")</f>
        <v>Ok</v>
      </c>
    </row>
    <row r="30" spans="1:24">
      <c r="A30" s="8"/>
      <c r="B30" s="8"/>
      <c r="C30" s="8"/>
      <c r="D30" s="16"/>
      <c r="E30" s="16"/>
      <c r="F30" s="16"/>
      <c r="G30" s="21"/>
      <c r="H30" s="21"/>
      <c r="I30" s="16"/>
      <c r="J30" s="164"/>
      <c r="K30" s="164"/>
      <c r="L30" s="164"/>
      <c r="M30" s="164"/>
      <c r="N30" s="164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spans="1:24" ht="12.75">
      <c r="A31" s="37"/>
      <c r="B31" s="43" t="s">
        <v>69</v>
      </c>
      <c r="C31" s="37"/>
      <c r="D31" s="37"/>
      <c r="E31" s="37"/>
      <c r="F31" s="38"/>
      <c r="G31" s="38"/>
      <c r="H31" s="38"/>
      <c r="I31" s="38"/>
      <c r="J31" s="39"/>
      <c r="K31" s="40"/>
      <c r="L31" s="39"/>
      <c r="M31" s="40"/>
      <c r="N31" s="39"/>
      <c r="O31" s="39"/>
      <c r="P31" s="39"/>
      <c r="Q31" s="39"/>
      <c r="R31" s="39"/>
      <c r="S31" s="39"/>
      <c r="T31" s="39"/>
      <c r="U31" s="39"/>
      <c r="V31" s="39"/>
      <c r="W31" s="40"/>
      <c r="X31" s="40"/>
    </row>
    <row r="32" spans="1:24">
      <c r="A32" s="8"/>
      <c r="B32" s="8"/>
      <c r="C32" s="8"/>
      <c r="D32" s="16"/>
      <c r="E32" s="16"/>
      <c r="F32" s="16"/>
      <c r="G32" s="21"/>
      <c r="H32" s="21"/>
      <c r="I32" s="16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1:24">
      <c r="A33" s="8"/>
      <c r="B33" s="8"/>
      <c r="C33" s="9" t="s">
        <v>61</v>
      </c>
      <c r="D33" s="21" t="s">
        <v>33</v>
      </c>
      <c r="E33" s="21" t="s">
        <v>53</v>
      </c>
      <c r="F33" s="21" t="s">
        <v>59</v>
      </c>
      <c r="G33" s="21"/>
      <c r="H33" s="21"/>
      <c r="I33" s="16"/>
      <c r="J33" s="200" t="str">
        <f t="shared" ref="J33:T33" si="5">IF(YEAR(J$4)=InterveningPeriod,J$4,"")</f>
        <v/>
      </c>
      <c r="K33" s="200" t="str">
        <f t="shared" si="5"/>
        <v/>
      </c>
      <c r="L33" s="200" t="str">
        <f t="shared" si="5"/>
        <v/>
      </c>
      <c r="M33" s="200" t="str">
        <f t="shared" si="5"/>
        <v/>
      </c>
      <c r="N33" s="200" t="str">
        <f t="shared" si="5"/>
        <v/>
      </c>
      <c r="O33" s="200">
        <f t="shared" si="5"/>
        <v>45078</v>
      </c>
      <c r="P33" s="200" t="str">
        <f t="shared" si="5"/>
        <v/>
      </c>
      <c r="Q33" s="200" t="str">
        <f t="shared" si="5"/>
        <v/>
      </c>
      <c r="R33" s="200" t="str">
        <f t="shared" si="5"/>
        <v/>
      </c>
      <c r="S33" s="200" t="str">
        <f t="shared" si="5"/>
        <v/>
      </c>
      <c r="T33" s="200" t="str">
        <f t="shared" si="5"/>
        <v/>
      </c>
      <c r="U33" s="201" t="s">
        <v>62</v>
      </c>
      <c r="V33" s="202"/>
      <c r="W33" s="202"/>
      <c r="X33" s="8"/>
    </row>
    <row r="34" spans="1:24">
      <c r="A34" s="8"/>
      <c r="B34" s="8"/>
      <c r="C34" s="15"/>
      <c r="D34" s="16"/>
      <c r="E34" s="16"/>
      <c r="F34" s="16"/>
      <c r="G34" s="21"/>
      <c r="H34" s="21"/>
      <c r="I34" s="16"/>
      <c r="J34" s="23"/>
      <c r="K34" s="23"/>
      <c r="L34" s="23"/>
      <c r="M34" s="23"/>
      <c r="N34" s="23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1:24">
      <c r="A35" s="8"/>
      <c r="B35" s="8"/>
      <c r="C35" s="15"/>
      <c r="D35" s="16"/>
      <c r="E35" s="16"/>
      <c r="F35" s="16"/>
      <c r="G35" s="21"/>
      <c r="H35" s="21"/>
      <c r="I35" s="16"/>
      <c r="J35" s="23"/>
      <c r="K35" s="23"/>
      <c r="L35" s="23"/>
      <c r="M35" s="23"/>
      <c r="N35" s="23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spans="1:24">
      <c r="A36" s="8"/>
      <c r="B36" s="8"/>
      <c r="C36" s="52" t="s">
        <v>63</v>
      </c>
      <c r="D36" s="16" t="s">
        <v>39</v>
      </c>
      <c r="E36" s="119" t="s">
        <v>64</v>
      </c>
      <c r="F36" s="119">
        <v>44896</v>
      </c>
      <c r="G36" s="21"/>
      <c r="H36" s="21"/>
      <c r="I36" s="16"/>
      <c r="J36" s="114"/>
      <c r="K36" s="114"/>
      <c r="L36" s="114"/>
      <c r="M36" s="114"/>
      <c r="N36" s="114"/>
      <c r="O36" s="114">
        <v>31.323574760646352</v>
      </c>
      <c r="P36" s="114"/>
      <c r="Q36" s="114"/>
      <c r="R36" s="114"/>
      <c r="S36" s="114"/>
      <c r="T36" s="114"/>
      <c r="U36" s="8"/>
      <c r="V36" s="8"/>
      <c r="W36" s="8"/>
      <c r="X36" s="8"/>
    </row>
    <row r="37" spans="1:24">
      <c r="A37" s="8"/>
      <c r="B37" s="8"/>
      <c r="C37" s="15"/>
      <c r="D37" s="16"/>
      <c r="E37" s="16"/>
      <c r="F37" s="16"/>
      <c r="G37" s="21"/>
      <c r="H37" s="21"/>
      <c r="I37" s="16"/>
      <c r="J37" s="23"/>
      <c r="K37" s="23"/>
      <c r="L37" s="23"/>
      <c r="M37" s="23"/>
      <c r="N37" s="23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1:24">
      <c r="A38" s="8"/>
      <c r="B38" s="8"/>
      <c r="C38" s="94" t="s">
        <v>63</v>
      </c>
      <c r="D38" s="95" t="str">
        <f>D36</f>
        <v>AER</v>
      </c>
      <c r="E38" s="142" t="str">
        <f>E36</f>
        <v>$millions</v>
      </c>
      <c r="F38" s="142">
        <f>F36</f>
        <v>44896</v>
      </c>
      <c r="G38" s="21"/>
      <c r="H38" s="21"/>
      <c r="I38" s="16"/>
      <c r="J38" s="87">
        <f>J36</f>
        <v>0</v>
      </c>
      <c r="K38" s="87">
        <f t="shared" ref="K38:T38" si="6">K36</f>
        <v>0</v>
      </c>
      <c r="L38" s="87">
        <f t="shared" si="6"/>
        <v>0</v>
      </c>
      <c r="M38" s="87">
        <f t="shared" si="6"/>
        <v>0</v>
      </c>
      <c r="N38" s="87">
        <f t="shared" si="6"/>
        <v>0</v>
      </c>
      <c r="O38" s="87">
        <f t="shared" si="6"/>
        <v>31.323574760646352</v>
      </c>
      <c r="P38" s="87">
        <f t="shared" si="6"/>
        <v>0</v>
      </c>
      <c r="Q38" s="87">
        <f t="shared" si="6"/>
        <v>0</v>
      </c>
      <c r="R38" s="87">
        <f t="shared" si="6"/>
        <v>0</v>
      </c>
      <c r="S38" s="87">
        <f t="shared" si="6"/>
        <v>0</v>
      </c>
      <c r="T38" s="87">
        <f t="shared" si="6"/>
        <v>0</v>
      </c>
      <c r="U38" s="8"/>
      <c r="V38" s="8"/>
      <c r="W38" s="8"/>
      <c r="X38" s="8"/>
    </row>
    <row r="39" spans="1:24">
      <c r="A39" s="8"/>
      <c r="B39" s="8"/>
      <c r="C39" s="15"/>
      <c r="D39" s="16"/>
      <c r="E39" s="16"/>
      <c r="F39" s="16"/>
      <c r="G39" s="21"/>
      <c r="H39" s="21"/>
      <c r="I39" s="16"/>
      <c r="J39" s="23"/>
      <c r="K39" s="23"/>
      <c r="L39" s="23"/>
      <c r="M39" s="23"/>
      <c r="N39" s="23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4">
      <c r="A40" s="8"/>
      <c r="B40" s="8"/>
      <c r="C40" s="9" t="s">
        <v>65</v>
      </c>
      <c r="D40" s="16"/>
      <c r="E40" s="16"/>
      <c r="F40" s="16"/>
      <c r="G40" s="21"/>
      <c r="H40" s="21"/>
      <c r="I40" s="16"/>
      <c r="J40" s="23"/>
      <c r="K40" s="23"/>
      <c r="L40" s="23"/>
      <c r="M40" s="23"/>
      <c r="N40" s="23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1:24">
      <c r="A41" s="8"/>
      <c r="B41" s="8"/>
      <c r="C41" s="15"/>
      <c r="D41" s="16"/>
      <c r="E41" s="16"/>
      <c r="F41" s="16"/>
      <c r="G41" s="21"/>
      <c r="H41" s="21"/>
      <c r="I41" s="16"/>
      <c r="J41" s="23"/>
      <c r="K41" s="23"/>
      <c r="L41" s="23"/>
      <c r="M41" s="23"/>
      <c r="N41" s="23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4">
      <c r="A42" s="8"/>
      <c r="B42" s="8"/>
      <c r="C42" s="52" t="s">
        <v>70</v>
      </c>
      <c r="D42" s="16" t="s">
        <v>39</v>
      </c>
      <c r="E42" s="16" t="str">
        <f>$E$52</f>
        <v>$millions</v>
      </c>
      <c r="F42" s="111">
        <f>$F$52</f>
        <v>44896</v>
      </c>
      <c r="G42" s="21"/>
      <c r="H42" s="21"/>
      <c r="I42" s="16"/>
      <c r="J42" s="114"/>
      <c r="K42" s="114"/>
      <c r="L42" s="114"/>
      <c r="M42" s="114"/>
      <c r="N42" s="114"/>
      <c r="O42" s="114">
        <v>0.4586182624510437</v>
      </c>
      <c r="P42" s="104"/>
      <c r="Q42" s="104"/>
      <c r="R42" s="104"/>
      <c r="S42" s="104"/>
      <c r="T42" s="104"/>
      <c r="U42" s="8"/>
      <c r="V42" s="8"/>
      <c r="W42" s="8"/>
      <c r="X42" s="8"/>
    </row>
    <row r="43" spans="1:24">
      <c r="A43" s="8"/>
      <c r="B43" s="8"/>
      <c r="C43" s="52"/>
      <c r="D43" s="16" t="s">
        <v>39</v>
      </c>
      <c r="E43" s="16" t="str">
        <f t="shared" ref="E43:E50" si="7">$E$52</f>
        <v>$millions</v>
      </c>
      <c r="F43" s="111">
        <f t="shared" ref="F43:F50" si="8">$F$52</f>
        <v>44896</v>
      </c>
      <c r="G43" s="21"/>
      <c r="H43" s="21"/>
      <c r="I43" s="16"/>
      <c r="J43" s="114"/>
      <c r="K43" s="114"/>
      <c r="L43" s="114"/>
      <c r="M43" s="114"/>
      <c r="N43" s="114"/>
      <c r="O43" s="114"/>
      <c r="P43" s="104"/>
      <c r="Q43" s="104"/>
      <c r="R43" s="104"/>
      <c r="S43" s="104"/>
      <c r="T43" s="104"/>
      <c r="U43" s="8"/>
      <c r="V43" s="8"/>
      <c r="W43" s="8"/>
      <c r="X43" s="8"/>
    </row>
    <row r="44" spans="1:24">
      <c r="A44" s="8"/>
      <c r="B44" s="8"/>
      <c r="C44" s="52"/>
      <c r="D44" s="16" t="s">
        <v>39</v>
      </c>
      <c r="E44" s="16" t="str">
        <f t="shared" si="7"/>
        <v>$millions</v>
      </c>
      <c r="F44" s="111">
        <f t="shared" si="8"/>
        <v>44896</v>
      </c>
      <c r="G44" s="21"/>
      <c r="H44" s="21"/>
      <c r="I44" s="16"/>
      <c r="J44" s="114"/>
      <c r="K44" s="114"/>
      <c r="L44" s="114"/>
      <c r="M44" s="114"/>
      <c r="N44" s="114"/>
      <c r="O44" s="114"/>
      <c r="P44" s="104"/>
      <c r="Q44" s="104"/>
      <c r="R44" s="104"/>
      <c r="S44" s="104"/>
      <c r="T44" s="104"/>
      <c r="U44" s="8"/>
      <c r="V44" s="8"/>
      <c r="W44" s="8"/>
      <c r="X44" s="8"/>
    </row>
    <row r="45" spans="1:24">
      <c r="A45" s="8"/>
      <c r="B45" s="8"/>
      <c r="C45" s="52"/>
      <c r="D45" s="16" t="s">
        <v>39</v>
      </c>
      <c r="E45" s="16" t="str">
        <f t="shared" si="7"/>
        <v>$millions</v>
      </c>
      <c r="F45" s="111">
        <f t="shared" si="8"/>
        <v>44896</v>
      </c>
      <c r="G45" s="21"/>
      <c r="H45" s="21"/>
      <c r="I45" s="16"/>
      <c r="J45" s="114"/>
      <c r="K45" s="114"/>
      <c r="L45" s="114"/>
      <c r="M45" s="114"/>
      <c r="N45" s="114"/>
      <c r="O45" s="114"/>
      <c r="P45" s="104"/>
      <c r="Q45" s="104"/>
      <c r="R45" s="104"/>
      <c r="S45" s="104"/>
      <c r="T45" s="104"/>
      <c r="U45" s="8"/>
      <c r="V45" s="8"/>
      <c r="W45" s="8"/>
      <c r="X45" s="8"/>
    </row>
    <row r="46" spans="1:24">
      <c r="A46" s="8"/>
      <c r="B46" s="8"/>
      <c r="C46" s="52"/>
      <c r="D46" s="16" t="s">
        <v>39</v>
      </c>
      <c r="E46" s="16" t="str">
        <f t="shared" si="7"/>
        <v>$millions</v>
      </c>
      <c r="F46" s="111">
        <f t="shared" si="8"/>
        <v>44896</v>
      </c>
      <c r="G46" s="21"/>
      <c r="H46" s="21"/>
      <c r="I46" s="16"/>
      <c r="J46" s="114"/>
      <c r="K46" s="114"/>
      <c r="L46" s="114"/>
      <c r="M46" s="114"/>
      <c r="N46" s="114"/>
      <c r="O46" s="114"/>
      <c r="P46" s="104"/>
      <c r="Q46" s="104"/>
      <c r="R46" s="104"/>
      <c r="S46" s="104"/>
      <c r="T46" s="104"/>
      <c r="U46" s="8"/>
      <c r="V46" s="8"/>
      <c r="W46" s="8"/>
      <c r="X46" s="8"/>
    </row>
    <row r="47" spans="1:24">
      <c r="A47" s="8"/>
      <c r="B47" s="8"/>
      <c r="C47" s="52"/>
      <c r="D47" s="16" t="s">
        <v>39</v>
      </c>
      <c r="E47" s="16" t="str">
        <f t="shared" si="7"/>
        <v>$millions</v>
      </c>
      <c r="F47" s="111">
        <f t="shared" si="8"/>
        <v>44896</v>
      </c>
      <c r="G47" s="21"/>
      <c r="H47" s="21"/>
      <c r="I47" s="16"/>
      <c r="J47" s="114"/>
      <c r="K47" s="114"/>
      <c r="L47" s="114"/>
      <c r="M47" s="114"/>
      <c r="N47" s="114"/>
      <c r="O47" s="114"/>
      <c r="P47" s="104"/>
      <c r="Q47" s="104"/>
      <c r="R47" s="104"/>
      <c r="S47" s="104"/>
      <c r="T47" s="104"/>
      <c r="U47" s="8"/>
      <c r="V47" s="8"/>
      <c r="W47" s="8"/>
      <c r="X47" s="8"/>
    </row>
    <row r="48" spans="1:24">
      <c r="A48" s="8"/>
      <c r="B48" s="8"/>
      <c r="C48" s="52"/>
      <c r="D48" s="16" t="s">
        <v>39</v>
      </c>
      <c r="E48" s="16" t="str">
        <f t="shared" si="7"/>
        <v>$millions</v>
      </c>
      <c r="F48" s="111">
        <f t="shared" si="8"/>
        <v>44896</v>
      </c>
      <c r="G48" s="21"/>
      <c r="H48" s="21"/>
      <c r="I48" s="16"/>
      <c r="J48" s="114"/>
      <c r="K48" s="114"/>
      <c r="L48" s="114"/>
      <c r="M48" s="114"/>
      <c r="N48" s="114"/>
      <c r="O48" s="114"/>
      <c r="P48" s="104"/>
      <c r="Q48" s="104"/>
      <c r="R48" s="104"/>
      <c r="S48" s="104"/>
      <c r="T48" s="104"/>
      <c r="U48" s="8"/>
      <c r="V48" s="8"/>
      <c r="W48" s="8"/>
      <c r="X48" s="8"/>
    </row>
    <row r="49" spans="1:24">
      <c r="A49" s="8"/>
      <c r="B49" s="8"/>
      <c r="C49" s="52"/>
      <c r="D49" s="16" t="s">
        <v>39</v>
      </c>
      <c r="E49" s="16" t="str">
        <f t="shared" si="7"/>
        <v>$millions</v>
      </c>
      <c r="F49" s="111">
        <f>$F$52</f>
        <v>44896</v>
      </c>
      <c r="G49" s="21"/>
      <c r="H49" s="21"/>
      <c r="I49" s="16"/>
      <c r="J49" s="114"/>
      <c r="K49" s="114"/>
      <c r="L49" s="114"/>
      <c r="M49" s="114"/>
      <c r="N49" s="114"/>
      <c r="O49" s="114"/>
      <c r="P49" s="104"/>
      <c r="Q49" s="104"/>
      <c r="R49" s="104"/>
      <c r="S49" s="104"/>
      <c r="T49" s="104"/>
      <c r="U49" s="8"/>
      <c r="V49" s="8"/>
      <c r="W49" s="8"/>
      <c r="X49" s="8"/>
    </row>
    <row r="50" spans="1:24">
      <c r="A50" s="8"/>
      <c r="B50" s="8"/>
      <c r="C50" s="52"/>
      <c r="D50" s="16" t="s">
        <v>39</v>
      </c>
      <c r="E50" s="16" t="str">
        <f t="shared" si="7"/>
        <v>$millions</v>
      </c>
      <c r="F50" s="111">
        <f t="shared" si="8"/>
        <v>44896</v>
      </c>
      <c r="G50" s="21"/>
      <c r="H50" s="21"/>
      <c r="I50" s="16"/>
      <c r="J50" s="114"/>
      <c r="K50" s="114"/>
      <c r="L50" s="114"/>
      <c r="M50" s="114"/>
      <c r="N50" s="114"/>
      <c r="O50" s="114"/>
      <c r="P50" s="104"/>
      <c r="Q50" s="104"/>
      <c r="R50" s="104"/>
      <c r="S50" s="104"/>
      <c r="T50" s="104"/>
      <c r="U50" s="8"/>
      <c r="V50" s="8"/>
      <c r="W50" s="8"/>
      <c r="X50" s="8"/>
    </row>
    <row r="51" spans="1:24">
      <c r="A51" s="8"/>
      <c r="B51" s="8"/>
      <c r="C51" s="15"/>
      <c r="D51" s="16"/>
      <c r="E51" s="16"/>
      <c r="F51" s="16"/>
      <c r="G51" s="21"/>
      <c r="H51" s="21"/>
      <c r="I51" s="16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8"/>
      <c r="V51" s="8"/>
      <c r="W51" s="8"/>
      <c r="X51" s="8"/>
    </row>
    <row r="52" spans="1:24">
      <c r="A52" s="8"/>
      <c r="B52" s="8"/>
      <c r="C52" s="94" t="s">
        <v>68</v>
      </c>
      <c r="D52" s="95" t="s">
        <v>52</v>
      </c>
      <c r="E52" s="88" t="s">
        <v>64</v>
      </c>
      <c r="F52" s="112">
        <v>44896</v>
      </c>
      <c r="G52" s="21"/>
      <c r="H52" s="21"/>
      <c r="I52" s="16"/>
      <c r="J52" s="87">
        <f>SUM(J42:J50)</f>
        <v>0</v>
      </c>
      <c r="K52" s="87">
        <f t="shared" ref="K52:S52" si="9">SUM(K42:K50)</f>
        <v>0</v>
      </c>
      <c r="L52" s="87">
        <f t="shared" si="9"/>
        <v>0</v>
      </c>
      <c r="M52" s="87">
        <f t="shared" si="9"/>
        <v>0</v>
      </c>
      <c r="N52" s="87">
        <f t="shared" si="9"/>
        <v>0</v>
      </c>
      <c r="O52" s="87">
        <f>SUM(O42:O50)</f>
        <v>0.4586182624510437</v>
      </c>
      <c r="P52" s="87">
        <f t="shared" si="9"/>
        <v>0</v>
      </c>
      <c r="Q52" s="87">
        <f t="shared" si="9"/>
        <v>0</v>
      </c>
      <c r="R52" s="87">
        <f t="shared" si="9"/>
        <v>0</v>
      </c>
      <c r="S52" s="87">
        <f t="shared" si="9"/>
        <v>0</v>
      </c>
      <c r="T52" s="87"/>
      <c r="U52" s="8"/>
      <c r="V52" s="8"/>
      <c r="W52" s="8"/>
      <c r="X52" s="8" t="str">
        <f>IF(COUNTIF(J42:S50,"&lt;0")&gt;0,"Check","Ok")</f>
        <v>Ok</v>
      </c>
    </row>
    <row r="53" spans="1:24">
      <c r="A53" s="8"/>
      <c r="B53" s="8"/>
      <c r="C53" s="8"/>
      <c r="D53" s="16"/>
      <c r="E53" s="16"/>
      <c r="F53" s="16"/>
      <c r="G53" s="21"/>
      <c r="H53" s="21"/>
      <c r="I53" s="16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24" ht="12.75">
      <c r="A54" s="37"/>
      <c r="B54" s="43" t="s">
        <v>9</v>
      </c>
      <c r="C54" s="37"/>
      <c r="D54" s="37"/>
      <c r="E54" s="37"/>
      <c r="F54" s="38"/>
      <c r="G54" s="38"/>
      <c r="H54" s="38"/>
      <c r="I54" s="38"/>
      <c r="J54" s="39"/>
      <c r="K54" s="40"/>
      <c r="L54" s="39"/>
      <c r="M54" s="40"/>
      <c r="N54" s="39"/>
      <c r="O54" s="39"/>
      <c r="P54" s="39"/>
      <c r="Q54" s="39"/>
      <c r="R54" s="39"/>
      <c r="S54" s="39"/>
      <c r="T54" s="39"/>
      <c r="U54" s="39"/>
      <c r="V54" s="39"/>
      <c r="W54" s="40"/>
      <c r="X54" s="40"/>
    </row>
    <row r="55" spans="1:24">
      <c r="A55" s="8"/>
      <c r="B55" s="8"/>
      <c r="C55" s="8"/>
      <c r="D55" s="16"/>
      <c r="E55" s="16"/>
      <c r="F55" s="16"/>
      <c r="G55" s="16"/>
      <c r="H55" s="16"/>
      <c r="I55" s="16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spans="1:24">
      <c r="A56" s="8"/>
      <c r="B56" s="8"/>
      <c r="C56" s="8"/>
      <c r="D56" s="16"/>
      <c r="E56" s="16"/>
      <c r="F56" s="16"/>
      <c r="G56" s="16"/>
      <c r="H56" s="16"/>
      <c r="I56" s="16"/>
      <c r="J56" s="114" t="s">
        <v>71</v>
      </c>
      <c r="K56" s="114" t="s">
        <v>71</v>
      </c>
      <c r="L56" s="114" t="s">
        <v>71</v>
      </c>
      <c r="M56" s="114" t="s">
        <v>71</v>
      </c>
      <c r="N56" s="114" t="s">
        <v>72</v>
      </c>
      <c r="O56" s="114" t="s">
        <v>72</v>
      </c>
      <c r="P56" s="114"/>
      <c r="Q56" s="114"/>
      <c r="R56" s="114"/>
      <c r="S56" s="114"/>
      <c r="T56" s="114"/>
      <c r="U56" s="8"/>
      <c r="V56" s="8"/>
      <c r="W56" s="8"/>
      <c r="X56" s="8"/>
    </row>
    <row r="57" spans="1:24">
      <c r="A57" s="8"/>
      <c r="B57" s="8"/>
      <c r="C57" s="9" t="s">
        <v>61</v>
      </c>
      <c r="D57" s="21" t="s">
        <v>33</v>
      </c>
      <c r="E57" s="21" t="s">
        <v>53</v>
      </c>
      <c r="F57" s="21" t="s">
        <v>59</v>
      </c>
      <c r="G57" s="21"/>
      <c r="H57" s="21"/>
      <c r="I57" s="21"/>
      <c r="J57" s="200">
        <f>J$4</f>
        <v>43435</v>
      </c>
      <c r="K57" s="200">
        <f t="shared" ref="K57:O57" si="10">K$4</f>
        <v>43800</v>
      </c>
      <c r="L57" s="200">
        <f t="shared" si="10"/>
        <v>44166</v>
      </c>
      <c r="M57" s="200">
        <f t="shared" si="10"/>
        <v>44531</v>
      </c>
      <c r="N57" s="200">
        <f t="shared" si="10"/>
        <v>44896</v>
      </c>
      <c r="O57" s="200">
        <f t="shared" si="10"/>
        <v>45078</v>
      </c>
      <c r="P57" s="200"/>
      <c r="Q57" s="200"/>
      <c r="R57" s="200"/>
      <c r="S57" s="200"/>
      <c r="T57" s="200"/>
      <c r="U57" s="201" t="s">
        <v>62</v>
      </c>
      <c r="V57" s="202"/>
      <c r="W57" s="202"/>
      <c r="X57" s="8"/>
    </row>
    <row r="58" spans="1:24">
      <c r="A58" s="8"/>
      <c r="B58" s="8"/>
      <c r="C58" s="15"/>
      <c r="D58" s="16"/>
      <c r="E58" s="16"/>
      <c r="F58" s="16"/>
      <c r="G58" s="21"/>
      <c r="H58" s="21"/>
      <c r="I58" s="16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spans="1:24">
      <c r="A59" s="8"/>
      <c r="B59" s="8"/>
      <c r="C59" s="15"/>
      <c r="D59" s="16"/>
      <c r="E59" s="16"/>
      <c r="F59" s="16"/>
      <c r="G59" s="21"/>
      <c r="H59" s="21"/>
      <c r="I59" s="16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spans="1:24">
      <c r="A60" s="8"/>
      <c r="B60" s="8"/>
      <c r="C60" s="52" t="s">
        <v>63</v>
      </c>
      <c r="D60" s="16" t="s">
        <v>73</v>
      </c>
      <c r="E60" s="151" t="str">
        <f>$E$79</f>
        <v>$millions</v>
      </c>
      <c r="F60" s="152" t="s">
        <v>74</v>
      </c>
      <c r="G60" s="21"/>
      <c r="H60" s="21"/>
      <c r="I60" s="16"/>
      <c r="J60" s="114">
        <v>56.461202050584006</v>
      </c>
      <c r="K60" s="114">
        <v>57.043175539999993</v>
      </c>
      <c r="L60" s="114">
        <v>57.59168140618268</v>
      </c>
      <c r="M60" s="161">
        <v>56.505266139817323</v>
      </c>
      <c r="N60" s="161">
        <v>52.406321301125345</v>
      </c>
      <c r="O60" s="114"/>
      <c r="P60" s="104"/>
      <c r="Q60" s="104"/>
      <c r="R60" s="104"/>
      <c r="S60" s="104"/>
      <c r="T60" s="104"/>
      <c r="V60" s="8"/>
      <c r="W60" s="8"/>
      <c r="X60" s="8"/>
    </row>
    <row r="61" spans="1:24">
      <c r="A61" s="8"/>
      <c r="B61" s="8"/>
      <c r="C61" s="15"/>
      <c r="D61" s="16"/>
      <c r="E61" s="16"/>
      <c r="F61" s="111"/>
      <c r="G61" s="21"/>
      <c r="H61" s="21"/>
      <c r="I61" s="16"/>
      <c r="J61" s="114"/>
      <c r="K61" s="114"/>
      <c r="L61" s="114"/>
      <c r="M61" s="114"/>
      <c r="N61" s="114"/>
      <c r="O61" s="114"/>
      <c r="P61" s="104"/>
      <c r="Q61" s="104"/>
      <c r="R61" s="104"/>
      <c r="S61" s="104"/>
      <c r="T61" s="104"/>
      <c r="U61" s="8"/>
      <c r="V61" s="8"/>
      <c r="W61" s="8"/>
      <c r="X61" s="8"/>
    </row>
    <row r="62" spans="1:24">
      <c r="A62" s="8"/>
      <c r="B62" s="8"/>
      <c r="C62" s="9" t="s">
        <v>75</v>
      </c>
      <c r="D62" s="16"/>
      <c r="E62" s="16"/>
      <c r="F62" s="111"/>
      <c r="G62" s="21"/>
      <c r="H62" s="21"/>
      <c r="I62" s="16"/>
      <c r="J62" s="114"/>
      <c r="K62" s="114"/>
      <c r="L62" s="114"/>
      <c r="M62" s="114"/>
      <c r="N62" s="114"/>
      <c r="O62" s="114"/>
      <c r="P62" s="104"/>
      <c r="Q62" s="104"/>
      <c r="R62" s="104"/>
      <c r="S62" s="104"/>
      <c r="T62" s="104"/>
      <c r="U62" s="8"/>
      <c r="V62" s="8"/>
      <c r="W62" s="8"/>
      <c r="X62" s="8"/>
    </row>
    <row r="63" spans="1:24" hidden="1">
      <c r="A63" s="8"/>
      <c r="B63" s="8"/>
      <c r="C63" s="9"/>
      <c r="D63" s="16"/>
      <c r="E63" s="16"/>
      <c r="F63" s="111"/>
      <c r="G63" s="21"/>
      <c r="H63" s="21"/>
      <c r="I63" s="16"/>
      <c r="J63" s="162" t="s">
        <v>76</v>
      </c>
      <c r="K63" s="162" t="s">
        <v>77</v>
      </c>
      <c r="L63" s="162" t="s">
        <v>78</v>
      </c>
      <c r="M63" s="163" t="s">
        <v>79</v>
      </c>
      <c r="N63" s="163" t="s">
        <v>79</v>
      </c>
      <c r="O63" s="114"/>
      <c r="P63" s="104"/>
      <c r="Q63" s="104"/>
      <c r="R63" s="104"/>
      <c r="S63" s="104"/>
      <c r="T63" s="104"/>
      <c r="U63" s="8"/>
      <c r="V63" s="8"/>
      <c r="W63" s="8"/>
      <c r="X63" s="8"/>
    </row>
    <row r="64" spans="1:24">
      <c r="A64" s="8"/>
      <c r="B64" s="8"/>
      <c r="C64" s="52" t="s">
        <v>80</v>
      </c>
      <c r="D64" s="16" t="s">
        <v>73</v>
      </c>
      <c r="E64" s="16" t="str">
        <f>$E$79</f>
        <v>$millions</v>
      </c>
      <c r="F64" s="111" t="str">
        <f>$F$60</f>
        <v>nominal</v>
      </c>
      <c r="G64" s="21"/>
      <c r="H64" s="21"/>
      <c r="I64" s="16"/>
      <c r="J64" s="114">
        <v>-0.60980507292822561</v>
      </c>
      <c r="K64" s="114">
        <v>1.8414755068624415</v>
      </c>
      <c r="L64" s="114">
        <v>0.71213740053764518</v>
      </c>
      <c r="M64" s="114">
        <v>-1.2487256284413246</v>
      </c>
      <c r="N64" s="114">
        <v>0</v>
      </c>
      <c r="O64" s="114"/>
      <c r="P64" s="104"/>
      <c r="Q64" s="104"/>
      <c r="R64" s="104"/>
      <c r="S64" s="104"/>
      <c r="T64" s="104"/>
      <c r="U64" s="104"/>
      <c r="V64" s="8"/>
      <c r="W64" s="8"/>
      <c r="X64" s="8"/>
    </row>
    <row r="65" spans="1:24">
      <c r="A65" s="8"/>
      <c r="B65" s="8"/>
      <c r="C65" s="52" t="s">
        <v>81</v>
      </c>
      <c r="D65" s="16" t="s">
        <v>73</v>
      </c>
      <c r="E65" s="16" t="str">
        <f>$E$79</f>
        <v>$millions</v>
      </c>
      <c r="F65" s="111" t="str">
        <f t="shared" ref="F65:F68" si="11">$F$60</f>
        <v>nominal</v>
      </c>
      <c r="G65" s="21"/>
      <c r="H65" s="21"/>
      <c r="I65" s="16"/>
      <c r="J65" s="114">
        <v>7.9999999998835845E-7</v>
      </c>
      <c r="K65" s="114">
        <v>2.206947</v>
      </c>
      <c r="L65" s="114">
        <v>2.2521570299999993</v>
      </c>
      <c r="M65" s="114">
        <v>1.2410590000000001E-2</v>
      </c>
      <c r="N65" s="114">
        <v>0</v>
      </c>
      <c r="O65" s="114"/>
      <c r="P65" s="104"/>
      <c r="Q65" s="104"/>
      <c r="R65" s="104"/>
      <c r="S65" s="104"/>
      <c r="T65" s="104"/>
      <c r="U65" s="104"/>
      <c r="V65" s="8"/>
      <c r="W65" s="8"/>
      <c r="X65" s="8"/>
    </row>
    <row r="66" spans="1:24">
      <c r="A66" s="8"/>
      <c r="B66" s="8"/>
      <c r="C66" s="52" t="s">
        <v>82</v>
      </c>
      <c r="D66" s="16" t="s">
        <v>73</v>
      </c>
      <c r="E66" s="16" t="str">
        <f>$E$79</f>
        <v>$millions</v>
      </c>
      <c r="F66" s="111" t="str">
        <f t="shared" si="11"/>
        <v>nominal</v>
      </c>
      <c r="G66" s="21"/>
      <c r="H66" s="21"/>
      <c r="I66" s="16"/>
      <c r="J66" s="114">
        <v>0.29265105000000002</v>
      </c>
      <c r="K66" s="114">
        <v>1.0450458499999999</v>
      </c>
      <c r="L66" s="114">
        <v>2.0083890699999998</v>
      </c>
      <c r="M66" s="114">
        <v>4.3187076699999913</v>
      </c>
      <c r="N66" s="114">
        <v>0</v>
      </c>
      <c r="O66" s="104"/>
      <c r="P66" s="104"/>
      <c r="Q66" s="104"/>
      <c r="R66" s="104"/>
      <c r="S66" s="104"/>
      <c r="T66" s="104"/>
      <c r="U66" s="104"/>
      <c r="V66" s="8"/>
      <c r="W66" s="8"/>
      <c r="X66" s="8"/>
    </row>
    <row r="67" spans="1:24">
      <c r="A67" s="8"/>
      <c r="B67" s="8"/>
      <c r="C67" s="52" t="s">
        <v>83</v>
      </c>
      <c r="D67" s="16" t="s">
        <v>73</v>
      </c>
      <c r="E67" s="16" t="str">
        <f>$E$79</f>
        <v>$millions</v>
      </c>
      <c r="F67" s="111" t="str">
        <f t="shared" si="11"/>
        <v>nominal</v>
      </c>
      <c r="G67" s="21"/>
      <c r="H67" s="21"/>
      <c r="I67" s="16"/>
      <c r="J67" s="114">
        <v>0</v>
      </c>
      <c r="K67" s="114">
        <v>-0.95</v>
      </c>
      <c r="L67" s="114">
        <v>-0.95</v>
      </c>
      <c r="M67" s="114">
        <v>2.1130704100000006</v>
      </c>
      <c r="N67" s="114">
        <v>0</v>
      </c>
      <c r="O67" s="104"/>
      <c r="P67" s="104"/>
      <c r="Q67" s="104"/>
      <c r="R67" s="104"/>
      <c r="S67" s="104"/>
      <c r="T67" s="104"/>
      <c r="U67" s="8"/>
      <c r="V67" s="8"/>
      <c r="W67" s="8"/>
      <c r="X67" s="8"/>
    </row>
    <row r="68" spans="1:24">
      <c r="A68" s="8"/>
      <c r="B68" s="8"/>
      <c r="C68" s="52" t="s">
        <v>67</v>
      </c>
      <c r="D68" s="16" t="s">
        <v>73</v>
      </c>
      <c r="E68" s="16" t="str">
        <f>$E$79</f>
        <v>$millions</v>
      </c>
      <c r="F68" s="111" t="str">
        <f t="shared" si="11"/>
        <v>nominal</v>
      </c>
      <c r="G68" s="21"/>
      <c r="H68" s="21"/>
      <c r="I68" s="16"/>
      <c r="J68" s="161">
        <v>4.0843866799999997</v>
      </c>
      <c r="K68" s="161">
        <v>3.9376387117247376</v>
      </c>
      <c r="L68" s="161">
        <v>3.4630701400000001</v>
      </c>
      <c r="M68" s="114">
        <v>1.8760027100000003</v>
      </c>
      <c r="N68" s="114">
        <v>4.056435864756887</v>
      </c>
      <c r="O68" s="104"/>
      <c r="P68" s="104"/>
      <c r="Q68" s="104"/>
      <c r="R68" s="104"/>
      <c r="S68" s="104"/>
      <c r="T68" s="104"/>
      <c r="U68" s="8"/>
      <c r="V68" s="8"/>
      <c r="W68" s="8"/>
      <c r="X68" s="8"/>
    </row>
    <row r="69" spans="1:24">
      <c r="A69" s="8"/>
      <c r="B69" s="8"/>
      <c r="C69" s="15"/>
      <c r="D69" s="16"/>
      <c r="E69" s="16"/>
      <c r="F69" s="16"/>
      <c r="G69" s="21"/>
      <c r="H69" s="21"/>
      <c r="I69" s="16"/>
      <c r="J69" s="164"/>
      <c r="K69" s="164"/>
      <c r="L69" s="164"/>
      <c r="M69" s="164"/>
      <c r="N69" s="164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spans="1:24">
      <c r="A70" s="8"/>
      <c r="B70" s="8"/>
      <c r="C70" s="94" t="s">
        <v>84</v>
      </c>
      <c r="D70" s="95" t="s">
        <v>52</v>
      </c>
      <c r="E70" s="132" t="str">
        <f>$E$79</f>
        <v>$millions</v>
      </c>
      <c r="F70" s="133" t="str">
        <f>F60</f>
        <v>nominal</v>
      </c>
      <c r="G70" s="21"/>
      <c r="H70" s="21"/>
      <c r="I70" s="16"/>
      <c r="J70" s="87">
        <f>J60-SUM(J64:J68)</f>
        <v>52.693968593512231</v>
      </c>
      <c r="K70" s="87">
        <f>K60-SUM(K64:K68)</f>
        <v>48.962068471412813</v>
      </c>
      <c r="L70" s="87">
        <f>L60-SUM(L64:L68)</f>
        <v>50.105927765645035</v>
      </c>
      <c r="M70" s="87">
        <f>M60-SUM(M64:M68)</f>
        <v>49.433800388258653</v>
      </c>
      <c r="N70" s="87">
        <f t="shared" ref="N70:S70" si="12">N60-SUM(N64:N68)</f>
        <v>48.34988543636846</v>
      </c>
      <c r="O70" s="87">
        <f t="shared" si="12"/>
        <v>0</v>
      </c>
      <c r="P70" s="87">
        <f t="shared" si="12"/>
        <v>0</v>
      </c>
      <c r="Q70" s="87">
        <f t="shared" si="12"/>
        <v>0</v>
      </c>
      <c r="R70" s="87">
        <f t="shared" si="12"/>
        <v>0</v>
      </c>
      <c r="S70" s="87">
        <f t="shared" si="12"/>
        <v>0</v>
      </c>
      <c r="T70" s="87"/>
      <c r="U70" s="8"/>
      <c r="V70" s="8"/>
      <c r="W70" s="8"/>
      <c r="X70" s="8"/>
    </row>
    <row r="71" spans="1:24">
      <c r="A71" s="8"/>
      <c r="B71" s="8"/>
      <c r="C71" s="8"/>
      <c r="D71" s="16"/>
      <c r="E71" s="16"/>
      <c r="F71" s="16"/>
      <c r="G71" s="16"/>
      <c r="H71" s="16"/>
      <c r="I71" s="16"/>
      <c r="J71" s="164"/>
      <c r="K71" s="164"/>
      <c r="L71" s="164"/>
      <c r="M71" s="164"/>
      <c r="N71" s="164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spans="1:24">
      <c r="A72" s="8"/>
      <c r="B72" s="8"/>
      <c r="C72" s="9" t="s">
        <v>85</v>
      </c>
      <c r="D72" s="16"/>
      <c r="E72" s="16"/>
      <c r="F72" s="16"/>
      <c r="G72" s="16"/>
      <c r="H72" s="16"/>
      <c r="I72" s="16"/>
      <c r="J72" s="164"/>
      <c r="K72" s="164"/>
      <c r="L72" s="164"/>
      <c r="M72" s="164"/>
      <c r="N72" s="164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spans="1:24">
      <c r="A73" s="8"/>
      <c r="B73" s="8"/>
      <c r="C73" s="8"/>
      <c r="D73" s="16"/>
      <c r="E73" s="16"/>
      <c r="F73" s="16"/>
      <c r="G73" s="16"/>
      <c r="H73" s="16"/>
      <c r="I73" s="16"/>
      <c r="J73" s="173"/>
      <c r="K73" s="173"/>
      <c r="L73" s="173"/>
      <c r="M73" s="178"/>
      <c r="N73" s="17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spans="1:24">
      <c r="A74" s="8"/>
      <c r="B74" s="8"/>
      <c r="C74" s="52" t="s">
        <v>66</v>
      </c>
      <c r="D74" s="16" t="s">
        <v>73</v>
      </c>
      <c r="E74" s="16" t="str">
        <f>$E$79</f>
        <v>$millions</v>
      </c>
      <c r="F74" s="111" t="str">
        <f t="shared" ref="F74:F77" si="13">$F$79</f>
        <v>nominal</v>
      </c>
      <c r="G74" s="21"/>
      <c r="H74" s="21"/>
      <c r="I74" s="16"/>
      <c r="J74" s="114">
        <v>0</v>
      </c>
      <c r="K74" s="114">
        <v>0</v>
      </c>
      <c r="L74" s="114">
        <v>0</v>
      </c>
      <c r="M74" s="114">
        <v>0</v>
      </c>
      <c r="N74" s="114">
        <v>0</v>
      </c>
      <c r="O74" s="114"/>
      <c r="P74" s="104"/>
      <c r="Q74" s="104"/>
      <c r="R74" s="104"/>
      <c r="S74" s="104"/>
      <c r="T74" s="104"/>
      <c r="U74" s="8"/>
      <c r="V74" s="8"/>
      <c r="W74" s="8"/>
      <c r="X74" s="8"/>
    </row>
    <row r="75" spans="1:24">
      <c r="A75" s="8"/>
      <c r="B75" s="8"/>
      <c r="C75" s="52"/>
      <c r="D75" s="16" t="s">
        <v>73</v>
      </c>
      <c r="E75" s="16" t="str">
        <f>$E$79</f>
        <v>$millions</v>
      </c>
      <c r="F75" s="111" t="str">
        <f t="shared" si="13"/>
        <v>nominal</v>
      </c>
      <c r="G75" s="21"/>
      <c r="H75" s="21"/>
      <c r="I75" s="16"/>
      <c r="J75" s="114"/>
      <c r="K75" s="114"/>
      <c r="L75" s="114"/>
      <c r="M75" s="114"/>
      <c r="N75" s="114"/>
      <c r="O75" s="114"/>
      <c r="P75" s="104"/>
      <c r="Q75" s="104"/>
      <c r="R75" s="104"/>
      <c r="S75" s="104"/>
      <c r="T75" s="104"/>
      <c r="U75" s="104"/>
      <c r="V75" s="8"/>
      <c r="W75" s="8"/>
      <c r="X75" s="8"/>
    </row>
    <row r="76" spans="1:24">
      <c r="A76" s="8"/>
      <c r="B76" s="8"/>
      <c r="C76" s="52"/>
      <c r="D76" s="16" t="s">
        <v>73</v>
      </c>
      <c r="E76" s="16" t="str">
        <f>$E$79</f>
        <v>$millions</v>
      </c>
      <c r="F76" s="111" t="str">
        <f t="shared" si="13"/>
        <v>nominal</v>
      </c>
      <c r="G76" s="21"/>
      <c r="H76" s="21"/>
      <c r="I76" s="16"/>
      <c r="J76" s="114"/>
      <c r="K76" s="114"/>
      <c r="L76" s="114"/>
      <c r="M76" s="114"/>
      <c r="N76" s="114"/>
      <c r="O76" s="114"/>
      <c r="P76" s="104"/>
      <c r="Q76" s="104"/>
      <c r="R76" s="104"/>
      <c r="S76" s="104"/>
      <c r="T76" s="104"/>
      <c r="U76" s="8"/>
      <c r="V76" s="8"/>
      <c r="W76" s="8"/>
      <c r="X76" s="8"/>
    </row>
    <row r="77" spans="1:24">
      <c r="A77" s="8"/>
      <c r="B77" s="8"/>
      <c r="C77" s="52"/>
      <c r="D77" s="16" t="s">
        <v>73</v>
      </c>
      <c r="E77" s="16" t="str">
        <f>$E$79</f>
        <v>$millions</v>
      </c>
      <c r="F77" s="111" t="str">
        <f t="shared" si="13"/>
        <v>nominal</v>
      </c>
      <c r="G77" s="21"/>
      <c r="H77" s="21"/>
      <c r="I77" s="16"/>
      <c r="J77" s="114"/>
      <c r="K77" s="114"/>
      <c r="L77" s="114"/>
      <c r="M77" s="114"/>
      <c r="N77" s="114"/>
      <c r="O77" s="114"/>
      <c r="P77" s="104"/>
      <c r="Q77" s="104"/>
      <c r="R77" s="104"/>
      <c r="S77" s="104"/>
      <c r="T77" s="104"/>
      <c r="U77" s="8"/>
      <c r="V77" s="8"/>
      <c r="W77" s="8"/>
      <c r="X77" s="8"/>
    </row>
    <row r="78" spans="1:24">
      <c r="A78" s="8"/>
      <c r="B78" s="8"/>
      <c r="C78" s="15"/>
      <c r="D78" s="16"/>
      <c r="E78" s="16"/>
      <c r="F78" s="16"/>
      <c r="G78" s="21"/>
      <c r="H78" s="21"/>
      <c r="I78" s="16"/>
      <c r="J78" s="8"/>
      <c r="K78" s="8"/>
      <c r="L78" s="8"/>
      <c r="M78" s="8"/>
      <c r="N78" s="96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spans="1:24">
      <c r="A79" s="8"/>
      <c r="B79" s="8"/>
      <c r="C79" s="94" t="s">
        <v>68</v>
      </c>
      <c r="D79" s="95" t="s">
        <v>52</v>
      </c>
      <c r="E79" s="88" t="s">
        <v>64</v>
      </c>
      <c r="F79" s="112" t="s">
        <v>74</v>
      </c>
      <c r="G79" s="21"/>
      <c r="H79" s="21"/>
      <c r="I79" s="16"/>
      <c r="J79" s="128">
        <f>SUM(J74:J77)</f>
        <v>0</v>
      </c>
      <c r="K79" s="128">
        <f t="shared" ref="K79:S79" si="14">SUM(K74:K77)</f>
        <v>0</v>
      </c>
      <c r="L79" s="128">
        <f t="shared" si="14"/>
        <v>0</v>
      </c>
      <c r="M79" s="128">
        <f>SUM(M74:M77)</f>
        <v>0</v>
      </c>
      <c r="N79" s="128">
        <f t="shared" si="14"/>
        <v>0</v>
      </c>
      <c r="O79" s="128">
        <f t="shared" si="14"/>
        <v>0</v>
      </c>
      <c r="P79" s="128">
        <f t="shared" si="14"/>
        <v>0</v>
      </c>
      <c r="Q79" s="128">
        <f t="shared" si="14"/>
        <v>0</v>
      </c>
      <c r="R79" s="128">
        <f t="shared" si="14"/>
        <v>0</v>
      </c>
      <c r="S79" s="128">
        <f t="shared" si="14"/>
        <v>0</v>
      </c>
      <c r="T79" s="128"/>
      <c r="U79" s="8"/>
      <c r="V79" s="8"/>
      <c r="W79" s="8"/>
      <c r="X79" s="8" t="str">
        <f>IF(COUNTIF(J74:S77,"&lt;0")&gt;0,"Check","Ok")</f>
        <v>Ok</v>
      </c>
    </row>
    <row r="80" spans="1:24">
      <c r="A80" s="8"/>
      <c r="B80" s="8"/>
      <c r="C80" s="8"/>
      <c r="D80" s="16"/>
      <c r="E80" s="16"/>
      <c r="F80" s="16"/>
      <c r="G80" s="21"/>
      <c r="H80" s="21"/>
      <c r="I80" s="16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spans="1:24" ht="12.75">
      <c r="A81" s="37"/>
      <c r="B81" s="43" t="s">
        <v>86</v>
      </c>
      <c r="C81" s="37"/>
      <c r="D81" s="37"/>
      <c r="E81" s="37"/>
      <c r="F81" s="38"/>
      <c r="G81" s="38"/>
      <c r="H81" s="38"/>
      <c r="I81" s="38"/>
      <c r="J81" s="39"/>
      <c r="K81" s="40"/>
      <c r="L81" s="39"/>
      <c r="M81" s="40"/>
      <c r="N81" s="39"/>
      <c r="O81" s="39"/>
      <c r="P81" s="39"/>
      <c r="Q81" s="39"/>
      <c r="R81" s="39"/>
      <c r="S81" s="39"/>
      <c r="T81" s="39"/>
      <c r="U81" s="39"/>
      <c r="V81" s="39"/>
      <c r="W81" s="40"/>
      <c r="X81" s="40"/>
    </row>
    <row r="82" spans="1:24">
      <c r="A82" s="8"/>
      <c r="B82" s="8"/>
      <c r="C82" s="8"/>
      <c r="D82" s="16"/>
      <c r="E82" s="16"/>
      <c r="F82" s="16"/>
      <c r="G82" s="16"/>
      <c r="H82" s="16"/>
      <c r="I82" s="16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spans="1:24">
      <c r="A83" s="8"/>
      <c r="B83" s="8"/>
      <c r="C83" s="9" t="s">
        <v>87</v>
      </c>
      <c r="D83" s="21" t="s">
        <v>33</v>
      </c>
      <c r="E83" s="21" t="s">
        <v>53</v>
      </c>
      <c r="F83" s="21" t="s">
        <v>59</v>
      </c>
      <c r="G83" s="21"/>
      <c r="H83" s="21"/>
      <c r="I83" s="21"/>
      <c r="J83" s="200"/>
      <c r="K83" s="200"/>
      <c r="L83" s="200"/>
      <c r="M83" s="200"/>
      <c r="N83" s="200"/>
      <c r="O83" s="200">
        <f>O4</f>
        <v>45078</v>
      </c>
      <c r="P83" s="200"/>
      <c r="Q83" s="200"/>
      <c r="R83" s="200"/>
      <c r="S83" s="200"/>
      <c r="T83" s="200"/>
      <c r="U83" s="8"/>
      <c r="V83" s="8"/>
      <c r="W83" s="8"/>
      <c r="X83" s="8"/>
    </row>
    <row r="84" spans="1:24">
      <c r="A84" s="8"/>
      <c r="B84" s="8"/>
      <c r="C84" s="9"/>
      <c r="D84" s="21"/>
      <c r="E84" s="21"/>
      <c r="F84" s="21"/>
      <c r="G84" s="21"/>
      <c r="H84" s="21"/>
      <c r="I84" s="21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8"/>
      <c r="V84" s="8"/>
      <c r="W84" s="8"/>
      <c r="X84" s="8"/>
    </row>
    <row r="85" spans="1:24">
      <c r="A85" s="8"/>
      <c r="B85" s="8"/>
      <c r="C85" s="52" t="s">
        <v>88</v>
      </c>
      <c r="D85" s="16" t="s">
        <v>89</v>
      </c>
      <c r="E85" s="16" t="str">
        <f>$E$79</f>
        <v>$millions</v>
      </c>
      <c r="F85" s="119">
        <v>44531</v>
      </c>
      <c r="G85" s="21"/>
      <c r="H85" s="21"/>
      <c r="I85" s="21"/>
      <c r="J85" s="114"/>
      <c r="K85" s="114"/>
      <c r="L85" s="114"/>
      <c r="M85" s="114"/>
      <c r="N85" s="114"/>
      <c r="O85" s="114">
        <v>0</v>
      </c>
      <c r="P85" s="173"/>
      <c r="Q85" s="114"/>
      <c r="R85" s="114"/>
      <c r="S85" s="114"/>
      <c r="T85" s="114"/>
      <c r="U85" s="8"/>
      <c r="V85" s="8"/>
      <c r="W85" s="8"/>
      <c r="X85" s="8"/>
    </row>
    <row r="86" spans="1:24">
      <c r="A86" s="8"/>
      <c r="B86" s="8"/>
      <c r="C86" s="52" t="s">
        <v>90</v>
      </c>
      <c r="D86" s="16" t="s">
        <v>89</v>
      </c>
      <c r="E86" s="16" t="str">
        <f t="shared" ref="E86:E91" si="15">$E$79</f>
        <v>$millions</v>
      </c>
      <c r="F86" s="119">
        <v>44531</v>
      </c>
      <c r="G86" s="21"/>
      <c r="H86" s="21"/>
      <c r="I86" s="21"/>
      <c r="J86" s="114"/>
      <c r="K86" s="114"/>
      <c r="L86" s="114"/>
      <c r="M86" s="114"/>
      <c r="N86" s="114"/>
      <c r="O86" s="114">
        <f>759771/10^6</f>
        <v>0.75977099999999997</v>
      </c>
      <c r="P86" s="173"/>
      <c r="Q86" s="114"/>
      <c r="R86" s="114"/>
      <c r="S86" s="114"/>
      <c r="T86" s="114"/>
      <c r="U86" s="9"/>
      <c r="V86" s="8"/>
      <c r="W86" s="8"/>
      <c r="X86" s="8"/>
    </row>
    <row r="87" spans="1:24">
      <c r="A87" s="8"/>
      <c r="B87" s="8"/>
      <c r="C87" s="52" t="s">
        <v>91</v>
      </c>
      <c r="D87" s="16" t="s">
        <v>89</v>
      </c>
      <c r="E87" s="16" t="str">
        <f t="shared" si="15"/>
        <v>$millions</v>
      </c>
      <c r="F87" s="119">
        <v>44531</v>
      </c>
      <c r="G87" s="21"/>
      <c r="H87" s="21"/>
      <c r="I87" s="21"/>
      <c r="J87" s="114"/>
      <c r="K87" s="114"/>
      <c r="L87" s="114"/>
      <c r="M87" s="114"/>
      <c r="N87" s="114"/>
      <c r="O87" s="114">
        <v>-0.9969942883093672</v>
      </c>
      <c r="P87" s="114"/>
      <c r="Q87" s="114"/>
      <c r="R87" s="114"/>
      <c r="S87" s="114"/>
      <c r="T87" s="114"/>
      <c r="U87" s="9"/>
      <c r="V87" s="8"/>
      <c r="W87" s="8"/>
      <c r="X87" s="8"/>
    </row>
    <row r="88" spans="1:24">
      <c r="A88" s="8"/>
      <c r="B88" s="8"/>
      <c r="C88" s="52"/>
      <c r="D88" s="16" t="s">
        <v>89</v>
      </c>
      <c r="E88" s="16" t="str">
        <f t="shared" si="15"/>
        <v>$millions</v>
      </c>
      <c r="F88" s="119">
        <v>45078</v>
      </c>
      <c r="G88" s="21"/>
      <c r="H88" s="21"/>
      <c r="I88" s="21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9"/>
      <c r="V88" s="8"/>
      <c r="W88" s="8"/>
      <c r="X88" s="8"/>
    </row>
    <row r="89" spans="1:24">
      <c r="A89" s="8"/>
      <c r="B89" s="8"/>
      <c r="C89" s="52"/>
      <c r="D89" s="16" t="s">
        <v>89</v>
      </c>
      <c r="E89" s="16" t="str">
        <f t="shared" si="15"/>
        <v>$millions</v>
      </c>
      <c r="F89" s="119">
        <v>45078</v>
      </c>
      <c r="G89" s="21"/>
      <c r="H89" s="21"/>
      <c r="I89" s="21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9"/>
      <c r="V89" s="8"/>
      <c r="W89" s="8"/>
      <c r="X89" s="8"/>
    </row>
    <row r="90" spans="1:24">
      <c r="A90" s="8"/>
      <c r="B90" s="8"/>
      <c r="C90" s="139"/>
      <c r="D90" s="16"/>
      <c r="E90" s="16"/>
      <c r="F90" s="140"/>
      <c r="G90" s="21"/>
      <c r="H90" s="21"/>
      <c r="I90" s="21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9"/>
      <c r="V90" s="8"/>
      <c r="W90" s="8"/>
      <c r="X90" s="8"/>
    </row>
    <row r="91" spans="1:24">
      <c r="A91" s="8"/>
      <c r="B91" s="8"/>
      <c r="C91" s="52"/>
      <c r="D91" s="16" t="s">
        <v>89</v>
      </c>
      <c r="E91" s="16" t="str">
        <f t="shared" si="15"/>
        <v>$millions</v>
      </c>
      <c r="F91" s="119">
        <v>45078</v>
      </c>
      <c r="G91" s="21"/>
      <c r="H91" s="21"/>
      <c r="I91" s="21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9"/>
      <c r="V91" s="8"/>
      <c r="W91" s="8"/>
      <c r="X91" s="8"/>
    </row>
    <row r="92" spans="1:24">
      <c r="A92" s="8"/>
      <c r="B92" s="8"/>
      <c r="C92" s="139"/>
      <c r="D92" s="16"/>
      <c r="E92" s="16"/>
      <c r="F92" s="140"/>
      <c r="G92" s="21"/>
      <c r="H92" s="21"/>
      <c r="I92" s="21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9"/>
      <c r="V92" s="8"/>
      <c r="W92" s="8"/>
      <c r="X92" s="8"/>
    </row>
    <row r="93" spans="1:24">
      <c r="A93" s="8"/>
      <c r="B93" s="8"/>
      <c r="C93" s="52" t="s">
        <v>92</v>
      </c>
      <c r="D93" s="16" t="s">
        <v>89</v>
      </c>
      <c r="E93" s="16" t="s">
        <v>93</v>
      </c>
      <c r="F93" s="21"/>
      <c r="G93" s="21"/>
      <c r="H93" s="21"/>
      <c r="I93" s="2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9"/>
      <c r="V93" s="8"/>
      <c r="W93" s="8"/>
      <c r="X93" s="8"/>
    </row>
    <row r="94" spans="1:24">
      <c r="A94" s="8"/>
      <c r="B94" s="8"/>
      <c r="C94" s="15"/>
      <c r="D94" s="16"/>
      <c r="E94" s="16"/>
      <c r="F94" s="16"/>
      <c r="G94" s="21"/>
      <c r="H94" s="21"/>
      <c r="I94" s="16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spans="1:24" ht="12.75">
      <c r="A95" s="37"/>
      <c r="B95" s="43" t="s">
        <v>23</v>
      </c>
      <c r="C95" s="37"/>
      <c r="D95" s="37"/>
      <c r="E95" s="37"/>
      <c r="F95" s="38"/>
      <c r="G95" s="38"/>
      <c r="H95" s="38"/>
      <c r="I95" s="38"/>
      <c r="J95" s="39"/>
      <c r="K95" s="40"/>
      <c r="L95" s="39"/>
      <c r="M95" s="40"/>
      <c r="N95" s="39"/>
      <c r="O95" s="39"/>
      <c r="P95" s="39"/>
      <c r="Q95" s="39"/>
      <c r="R95" s="39"/>
      <c r="S95" s="39"/>
      <c r="T95" s="39"/>
      <c r="U95" s="39"/>
      <c r="V95" s="39"/>
      <c r="W95" s="40"/>
      <c r="X95" s="40"/>
    </row>
    <row r="97" customFormat="1" hidden="1"/>
    <row r="98" customFormat="1" hidden="1"/>
    <row r="99" customFormat="1" hidden="1"/>
    <row r="100" customFormat="1" hidden="1"/>
    <row r="101" customFormat="1" hidden="1"/>
  </sheetData>
  <conditionalFormatting sqref="J60:K60">
    <cfRule type="expression" dxfId="153" priority="3">
      <formula>J$57=J$4</formula>
    </cfRule>
  </conditionalFormatting>
  <conditionalFormatting sqref="J13:T13">
    <cfRule type="expression" dxfId="152" priority="5">
      <formula>J$10=J$4</formula>
    </cfRule>
  </conditionalFormatting>
  <conditionalFormatting sqref="J15:T15">
    <cfRule type="cellIs" dxfId="151" priority="51" operator="equal">
      <formula>0</formula>
    </cfRule>
  </conditionalFormatting>
  <conditionalFormatting sqref="J19:T27">
    <cfRule type="expression" dxfId="150" priority="4">
      <formula>J$10=J$4</formula>
    </cfRule>
  </conditionalFormatting>
  <conditionalFormatting sqref="J29:T29">
    <cfRule type="cellIs" dxfId="149" priority="32" operator="equal">
      <formula>0</formula>
    </cfRule>
  </conditionalFormatting>
  <conditionalFormatting sqref="J36:T36">
    <cfRule type="expression" dxfId="148" priority="1">
      <formula>J$33=J$4</formula>
    </cfRule>
  </conditionalFormatting>
  <conditionalFormatting sqref="J38:T38">
    <cfRule type="cellIs" dxfId="147" priority="18" operator="equal">
      <formula>0</formula>
    </cfRule>
  </conditionalFormatting>
  <conditionalFormatting sqref="J42:T50">
    <cfRule type="expression" dxfId="146" priority="8">
      <formula>J$33=J$4</formula>
    </cfRule>
  </conditionalFormatting>
  <conditionalFormatting sqref="J52:T52">
    <cfRule type="cellIs" dxfId="145" priority="14" operator="equal">
      <formula>0</formula>
    </cfRule>
  </conditionalFormatting>
  <conditionalFormatting sqref="J56:T56 N60:T60 U64:U66 J64:T68 U75">
    <cfRule type="expression" dxfId="144" priority="46">
      <formula>J$57=J$4</formula>
    </cfRule>
  </conditionalFormatting>
  <conditionalFormatting sqref="J70:T70">
    <cfRule type="cellIs" dxfId="143" priority="23" operator="equal">
      <formula>0</formula>
    </cfRule>
  </conditionalFormatting>
  <conditionalFormatting sqref="J74:T77">
    <cfRule type="expression" dxfId="142" priority="24">
      <formula>J$57=J$4</formula>
    </cfRule>
  </conditionalFormatting>
  <conditionalFormatting sqref="J79:T79">
    <cfRule type="cellIs" dxfId="141" priority="25" operator="equal">
      <formula>0</formula>
    </cfRule>
  </conditionalFormatting>
  <conditionalFormatting sqref="J85:T89 J91:T91 J93:T93">
    <cfRule type="expression" dxfId="140" priority="37">
      <formula>J$83=J$4</formula>
    </cfRule>
  </conditionalFormatting>
  <conditionalFormatting sqref="L60:O60">
    <cfRule type="expression" dxfId="139" priority="26">
      <formula>L$10=L$4</formula>
    </cfRule>
  </conditionalFormatting>
  <conditionalFormatting sqref="S1:T1">
    <cfRule type="cellIs" dxfId="138" priority="52" operator="equal">
      <formula>"Check"</formula>
    </cfRule>
    <cfRule type="cellIs" dxfId="137" priority="53" operator="equal">
      <formula>"Ok"</formula>
    </cfRule>
  </conditionalFormatting>
  <conditionalFormatting sqref="W1">
    <cfRule type="cellIs" dxfId="136" priority="54" operator="equal">
      <formula>"Check"</formula>
    </cfRule>
    <cfRule type="cellIs" dxfId="135" priority="55" operator="equal">
      <formula>"Ok"</formula>
    </cfRule>
  </conditionalFormatting>
  <conditionalFormatting sqref="X15">
    <cfRule type="cellIs" dxfId="134" priority="56" operator="equal">
      <formula>"Check"</formula>
    </cfRule>
    <cfRule type="cellIs" dxfId="133" priority="57" operator="equal">
      <formula>"Ok"</formula>
    </cfRule>
  </conditionalFormatting>
  <conditionalFormatting sqref="X29">
    <cfRule type="cellIs" dxfId="132" priority="34" operator="equal">
      <formula>"Ok"</formula>
    </cfRule>
    <cfRule type="cellIs" dxfId="131" priority="33" operator="equal">
      <formula>"Check"</formula>
    </cfRule>
  </conditionalFormatting>
  <conditionalFormatting sqref="X38">
    <cfRule type="cellIs" dxfId="130" priority="20" operator="equal">
      <formula>"Ok"</formula>
    </cfRule>
    <cfRule type="cellIs" dxfId="129" priority="19" operator="equal">
      <formula>"Check"</formula>
    </cfRule>
  </conditionalFormatting>
  <conditionalFormatting sqref="X52">
    <cfRule type="cellIs" dxfId="128" priority="16" operator="equal">
      <formula>"Ok"</formula>
    </cfRule>
    <cfRule type="cellIs" dxfId="127" priority="15" operator="equal">
      <formula>"Check"</formula>
    </cfRule>
  </conditionalFormatting>
  <conditionalFormatting sqref="X60 X64:X68">
    <cfRule type="cellIs" dxfId="126" priority="60" operator="equal">
      <formula>"Check"</formula>
    </cfRule>
    <cfRule type="cellIs" dxfId="125" priority="61" operator="equal">
      <formula>"Ok"</formula>
    </cfRule>
  </conditionalFormatting>
  <conditionalFormatting sqref="X70">
    <cfRule type="cellIs" dxfId="124" priority="40" operator="equal">
      <formula>"Check"</formula>
    </cfRule>
    <cfRule type="cellIs" dxfId="123" priority="41" operator="equal">
      <formula>"Ok"</formula>
    </cfRule>
  </conditionalFormatting>
  <conditionalFormatting sqref="X71:X77">
    <cfRule type="cellIs" dxfId="122" priority="49" operator="equal">
      <formula>"Ok"</formula>
    </cfRule>
    <cfRule type="cellIs" dxfId="121" priority="48" operator="equal">
      <formula>"Check"</formula>
    </cfRule>
  </conditionalFormatting>
  <conditionalFormatting sqref="X79">
    <cfRule type="cellIs" dxfId="120" priority="58" operator="equal">
      <formula>"Check"</formula>
    </cfRule>
    <cfRule type="cellIs" dxfId="119" priority="59" operator="equal">
      <formula>"Ok"</formula>
    </cfRule>
  </conditionalFormatting>
  <dataValidations count="1">
    <dataValidation type="list" allowBlank="1" showInputMessage="1" showErrorMessage="1" sqref="J56:T56" xr:uid="{00000000-0002-0000-0300-000000000000}">
      <formula1>"Actual,Estimate"</formula1>
    </dataValidation>
  </dataValidations>
  <hyperlinks>
    <hyperlink ref="V1" location="'Check|List'!A1" display="Overall Check:" xr:uid="{00000000-0004-0000-0300-000000000000}"/>
    <hyperlink ref="J1" location="Index!A1" display="Back to Index" xr:uid="{00000000-0004-0000-0300-000001000000}"/>
  </hyperlinks>
  <pageMargins left="0.7" right="0.7" top="0.75" bottom="0.75" header="0.3" footer="0.3"/>
  <pageSetup paperSize="9" orientation="portrait" r:id="rId1"/>
  <headerFooter>
    <oddFooter>&amp;C_x000D_&amp;1#&amp;"Century Gothic"&amp;7&amp;K7F7F7F BUSINESS USE ONLY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1000000}">
          <x14:formula1>
            <xm:f>'Lookup|Tables'!$H$41:$H$60</xm:f>
          </x14:formula1>
          <xm:sqref>F15 F29 F13 F85:F92 F38 F52 F36</xm:sqref>
        </x14:dataValidation>
        <x14:dataValidation type="list" allowBlank="1" showInputMessage="1" showErrorMessage="1" xr:uid="{00000000-0002-0000-0300-000002000000}">
          <x14:formula1>
            <xm:f>'Lookup|Tables'!$G$10:$G$12</xm:f>
          </x14:formula1>
          <xm:sqref>E13 E29 E36 E52</xm:sqref>
        </x14:dataValidation>
        <x14:dataValidation type="list" allowBlank="1" showInputMessage="1" showErrorMessage="1" xr:uid="{AF641206-1102-4FBB-AD94-1A9B392B8A45}">
          <x14:formula1>
            <xm:f>'Lookup|Tables'!$H$41:$H$61</xm:f>
          </x14:formula1>
          <xm:sqref>F60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AX111"/>
  <sheetViews>
    <sheetView topLeftCell="A54" zoomScale="80" zoomScaleNormal="80" workbookViewId="0">
      <selection activeCell="Z43" sqref="Z43"/>
    </sheetView>
  </sheetViews>
  <sheetFormatPr defaultColWidth="9.33203125" defaultRowHeight="11.25" zeroHeight="1" outlineLevelRow="1"/>
  <cols>
    <col min="1" max="2" width="1.5" style="8" customWidth="1"/>
    <col min="3" max="3" width="34.6640625" style="8" customWidth="1"/>
    <col min="4" max="4" width="27.6640625" style="16" customWidth="1"/>
    <col min="5" max="5" width="15.6640625" style="16" customWidth="1"/>
    <col min="6" max="6" width="10.6640625" style="16" customWidth="1"/>
    <col min="7" max="9" width="3.33203125" style="16" customWidth="1"/>
    <col min="10" max="10" width="10.6640625" style="16" customWidth="1"/>
    <col min="11" max="22" width="10.6640625" style="8" customWidth="1"/>
    <col min="23" max="23" width="17" style="8" customWidth="1"/>
    <col min="24" max="24" width="13.6640625" style="8" customWidth="1"/>
    <col min="25" max="25" width="9.33203125" style="8"/>
    <col min="26" max="26" width="30.33203125" style="8" customWidth="1"/>
    <col min="27" max="16383" width="9.33203125" style="8"/>
    <col min="16384" max="16384" width="8" style="8" customWidth="1"/>
  </cols>
  <sheetData>
    <row r="1" spans="1:33" s="32" customFormat="1" ht="15.75">
      <c r="B1" s="29" t="str">
        <f>Index!$B$1</f>
        <v>AER opex model v1.9</v>
      </c>
      <c r="C1" s="29"/>
      <c r="D1" s="29"/>
      <c r="E1" s="29"/>
      <c r="F1" s="30"/>
      <c r="G1" s="30"/>
      <c r="H1" s="30"/>
      <c r="I1" s="30"/>
      <c r="J1" s="30"/>
      <c r="K1" s="31" t="s">
        <v>24</v>
      </c>
      <c r="M1" s="33" t="s">
        <v>25</v>
      </c>
      <c r="N1" s="50" t="s">
        <v>26</v>
      </c>
      <c r="O1" s="11" t="s">
        <v>27</v>
      </c>
      <c r="P1" s="12" t="s">
        <v>28</v>
      </c>
      <c r="S1" s="33" t="s">
        <v>29</v>
      </c>
      <c r="T1" s="34" t="str">
        <f>IF(COUNTIF(W5:W110,"Check")=0,"Ok","Check")</f>
        <v>Ok</v>
      </c>
      <c r="V1" s="129" t="s">
        <v>30</v>
      </c>
      <c r="W1" s="34" t="str">
        <f>'Check|List'!$S$1</f>
        <v>Ok</v>
      </c>
    </row>
    <row r="2" spans="1:33" s="36" customFormat="1" ht="13.5" thickBot="1">
      <c r="B2" s="35" t="str">
        <f>Index!$C$10</f>
        <v>Input | Rate of change</v>
      </c>
      <c r="C2" s="35"/>
      <c r="D2" s="35"/>
      <c r="E2" s="35"/>
      <c r="F2" s="59"/>
      <c r="G2" s="59"/>
      <c r="H2" s="59"/>
      <c r="I2" s="59"/>
      <c r="J2" s="59"/>
    </row>
    <row r="3" spans="1:33" s="60" customFormat="1">
      <c r="D3" s="124"/>
      <c r="E3" s="124"/>
      <c r="F3" s="124"/>
      <c r="G3" s="124"/>
      <c r="H3" s="124"/>
      <c r="I3" s="124"/>
      <c r="J3" s="109" t="s">
        <v>58</v>
      </c>
      <c r="K3" s="198"/>
      <c r="L3" s="198"/>
      <c r="M3" s="198"/>
      <c r="N3" s="124"/>
      <c r="O3" s="198"/>
      <c r="P3" s="198"/>
      <c r="Q3" s="198"/>
      <c r="R3" s="198"/>
      <c r="S3" s="198"/>
      <c r="T3" s="198"/>
      <c r="U3" s="61"/>
      <c r="V3" s="61"/>
      <c r="W3" s="61"/>
      <c r="X3" s="61"/>
      <c r="Y3" s="61"/>
      <c r="Z3" s="61"/>
      <c r="AA3" s="61"/>
      <c r="AB3" s="61"/>
      <c r="AC3" s="61"/>
    </row>
    <row r="4" spans="1:33" s="70" customFormat="1" ht="10.5">
      <c r="A4" s="62"/>
      <c r="B4" s="62"/>
      <c r="C4" s="62"/>
      <c r="D4" s="63" t="s">
        <v>33</v>
      </c>
      <c r="E4" s="63" t="s">
        <v>53</v>
      </c>
      <c r="F4" s="64" t="s">
        <v>59</v>
      </c>
      <c r="G4" s="65"/>
      <c r="H4" s="65"/>
      <c r="I4" s="65"/>
      <c r="J4" s="107">
        <f>DATE(PPFirstYear-1,MONTH('Input|General'!$G$9),1)</f>
        <v>43070</v>
      </c>
      <c r="K4" s="155">
        <f>DATE(PPFirstYear,MONTH('Input|General'!$G$9),1)</f>
        <v>43435</v>
      </c>
      <c r="L4" s="155">
        <f>DATE(PPFirstYear+1,MONTH('Input|General'!$G$9),1)</f>
        <v>43800</v>
      </c>
      <c r="M4" s="155">
        <f>DATE(PPFirstYear+2,MONTH('Input|General'!$G$9),1)</f>
        <v>44166</v>
      </c>
      <c r="N4" s="155">
        <f>DATE(PPFirstYear+3,MONTH('Input|General'!$G$9),1)</f>
        <v>44531</v>
      </c>
      <c r="O4" s="155">
        <f>DATE(PPFirstYear+4,MONTH('Input|General'!$G$9),1)</f>
        <v>44896</v>
      </c>
      <c r="P4" s="155">
        <f>DATE(PPFirstYear+5,MONTH('Input|General'!$G$10),1)</f>
        <v>45078</v>
      </c>
      <c r="Q4" s="155">
        <f>DATE(PPFirstYear+6,MONTH('Input|General'!$G$10),1)</f>
        <v>45444</v>
      </c>
      <c r="R4" s="155">
        <f>DATE(PPFirstYear+7,MONTH('Input|General'!$G$10),1)</f>
        <v>45809</v>
      </c>
      <c r="S4" s="155">
        <f>DATE(PPFirstYear+8,MONTH('Input|General'!$G$10),1)</f>
        <v>46174</v>
      </c>
      <c r="T4" s="155">
        <f>DATE(PPFirstYear+9,MONTH('Input|General'!$G$10),1)</f>
        <v>46539</v>
      </c>
      <c r="U4" s="155">
        <f>DATE(PPFirstYear+10,MONTH('Input|General'!$G$10),1)</f>
        <v>46905</v>
      </c>
      <c r="V4" s="66"/>
      <c r="W4" s="67"/>
      <c r="X4" s="68"/>
      <c r="Y4" s="68"/>
      <c r="Z4" s="68"/>
      <c r="AA4" s="68"/>
      <c r="AB4" s="68"/>
      <c r="AC4" s="68"/>
      <c r="AD4" s="68"/>
      <c r="AE4" s="68"/>
      <c r="AF4" s="69"/>
      <c r="AG4" s="69"/>
    </row>
    <row r="5" spans="1:33" s="6" customFormat="1" ht="3" customHeight="1">
      <c r="D5" s="27"/>
      <c r="E5" s="27"/>
      <c r="F5" s="27"/>
      <c r="G5" s="27"/>
      <c r="H5" s="27"/>
      <c r="I5" s="27"/>
      <c r="J5" s="27"/>
    </row>
    <row r="6" spans="1:33" s="6" customFormat="1" ht="9" customHeight="1">
      <c r="D6" s="27"/>
      <c r="E6" s="27"/>
      <c r="F6" s="27"/>
      <c r="G6" s="27"/>
      <c r="H6" s="27"/>
      <c r="I6" s="27"/>
      <c r="J6" s="27"/>
    </row>
    <row r="7" spans="1:33" s="6" customFormat="1" ht="3" customHeight="1">
      <c r="D7" s="27"/>
      <c r="E7" s="27"/>
      <c r="F7" s="27"/>
      <c r="G7" s="27"/>
      <c r="H7" s="27"/>
      <c r="I7" s="27"/>
      <c r="J7" s="27"/>
    </row>
    <row r="8" spans="1:33" customFormat="1" ht="12.75">
      <c r="A8" s="37"/>
      <c r="B8" s="43" t="s">
        <v>7</v>
      </c>
      <c r="C8" s="37"/>
      <c r="D8" s="37"/>
      <c r="E8" s="37"/>
      <c r="F8" s="38"/>
      <c r="G8" s="38"/>
      <c r="H8" s="38"/>
      <c r="I8" s="38"/>
      <c r="J8" s="38"/>
      <c r="K8" s="39"/>
      <c r="L8" s="40"/>
      <c r="M8" s="39"/>
      <c r="N8" s="40"/>
      <c r="O8" s="39"/>
      <c r="P8" s="39"/>
      <c r="Q8" s="39"/>
      <c r="R8" s="39"/>
      <c r="S8" s="39"/>
      <c r="T8" s="39"/>
      <c r="U8" s="39"/>
      <c r="V8" s="39"/>
      <c r="W8" s="40"/>
      <c r="X8" s="41"/>
      <c r="Y8" s="41"/>
      <c r="Z8" s="41"/>
      <c r="AA8" s="41"/>
      <c r="AB8" s="41"/>
      <c r="AC8" s="41"/>
      <c r="AD8" s="41"/>
      <c r="AE8" s="41"/>
      <c r="AF8" s="42"/>
      <c r="AG8" s="42"/>
    </row>
    <row r="9" spans="1:33" ht="11.25" customHeight="1" outlineLevel="1"/>
    <row r="10" spans="1:33" ht="11.25" customHeight="1" outlineLevel="1">
      <c r="C10" s="9" t="s">
        <v>94</v>
      </c>
      <c r="J10" s="200">
        <f>J4</f>
        <v>43070</v>
      </c>
      <c r="K10" s="200">
        <f t="shared" ref="K10:O10" si="0">K4</f>
        <v>43435</v>
      </c>
      <c r="L10" s="200">
        <f t="shared" si="0"/>
        <v>43800</v>
      </c>
      <c r="M10" s="200">
        <f t="shared" si="0"/>
        <v>44166</v>
      </c>
      <c r="N10" s="200">
        <f t="shared" si="0"/>
        <v>44531</v>
      </c>
      <c r="O10" s="200">
        <f t="shared" si="0"/>
        <v>44896</v>
      </c>
      <c r="P10" s="200">
        <f>P4</f>
        <v>45078</v>
      </c>
      <c r="Q10" s="200">
        <f t="shared" ref="Q10:U10" si="1">Q4</f>
        <v>45444</v>
      </c>
      <c r="R10" s="200">
        <f t="shared" si="1"/>
        <v>45809</v>
      </c>
      <c r="S10" s="200">
        <f t="shared" si="1"/>
        <v>46174</v>
      </c>
      <c r="T10" s="200">
        <f t="shared" si="1"/>
        <v>46539</v>
      </c>
      <c r="U10" s="200">
        <f t="shared" si="1"/>
        <v>46905</v>
      </c>
    </row>
    <row r="11" spans="1:33" ht="11.25" customHeight="1" outlineLevel="1">
      <c r="C11" s="9"/>
      <c r="J11" s="8"/>
      <c r="P11" s="97"/>
      <c r="Q11" s="134"/>
      <c r="R11" s="134"/>
      <c r="S11" s="134"/>
      <c r="T11" s="134"/>
      <c r="U11" s="134"/>
      <c r="V11" s="14"/>
      <c r="W11" s="14"/>
    </row>
    <row r="12" spans="1:33" ht="11.25" customHeight="1" outlineLevel="1">
      <c r="C12" s="15" t="s">
        <v>94</v>
      </c>
      <c r="D12" s="98" t="s">
        <v>95</v>
      </c>
      <c r="E12" s="16" t="str">
        <f>percent</f>
        <v>Per cent</v>
      </c>
      <c r="J12" s="97">
        <f>IF(J10=J4,LOOKUP(EOMONTH(J4,0),'Input|Inflation'!$C$9:$C$84,'Input|Inflation'!$G$9:$G$84),"")</f>
        <v>1.9090909090909047E-2</v>
      </c>
      <c r="K12" s="97">
        <f>IF(K10=K4,LOOKUP(EOMONTH(K4,0),'Input|Inflation'!$C$9:$C$84,'Input|Inflation'!$G$9:$G$84),"")</f>
        <v>1.7841213202497874E-2</v>
      </c>
      <c r="L12" s="97">
        <f>IF(L10=L4,LOOKUP(EOMONTH(L4,0),'Input|Inflation'!$C$9:$C$84,'Input|Inflation'!$G$9:$G$84),"")</f>
        <v>1.8404907975460238E-2</v>
      </c>
      <c r="M12" s="97">
        <f>IF(M10=M4,LOOKUP(EOMONTH(M4,0),'Input|Inflation'!$C$9:$C$84,'Input|Inflation'!$G$9:$G$84),"")</f>
        <v>8.6058519793459354E-3</v>
      </c>
      <c r="N12" s="97">
        <f>IF(N10=N4,LOOKUP(EOMONTH(N4,0),'Input|Inflation'!$C$9:$C$84,'Input|Inflation'!$G$9:$G$84),"")</f>
        <v>3.4982935153583528E-2</v>
      </c>
      <c r="O12" s="97">
        <f>IF(O10=O4,LOOKUP(EOMONTH(O4,0),'Input|Inflation'!$C$9:$C$84,'Input|Inflation'!$G$9:$G$84),"")</f>
        <v>0.08</v>
      </c>
      <c r="P12" s="97">
        <f>IF(P10=P4,LOOKUP(EOMONTH(P4,0),'Input|Inflation'!$C$9:$C$84,'Input|Inflation'!$G$9:$G$84),"")</f>
        <v>2.320768831486042E-2</v>
      </c>
      <c r="Q12" s="134">
        <f>IF(Q10=Q4,LOOKUP(EOMONTH(Q4,0),'Input|Inflation'!$C$9:$C$84,'Input|Inflation'!$G$9:$G$84),"")</f>
        <v>4.2500000000000003E-2</v>
      </c>
      <c r="R12" s="134">
        <f>IF(R10=R4,LOOKUP(EOMONTH(R4,0),'Input|Inflation'!$C$9:$C$84,'Input|Inflation'!$G$9:$G$84),"")</f>
        <v>2.5000000000000001E-2</v>
      </c>
      <c r="S12" s="134">
        <f>IF(S10=S4,LOOKUP(EOMONTH(S4,0),'Input|Inflation'!$C$9:$C$84,'Input|Inflation'!$G$9:$G$84),"")</f>
        <v>2.5000000000000001E-2</v>
      </c>
      <c r="T12" s="134">
        <f>IF(T10=T4,LOOKUP(EOMONTH(T4,0),'Input|Inflation'!$C$9:$C$84,'Input|Inflation'!$G$9:$G$84),"")</f>
        <v>2.5000000000000001E-2</v>
      </c>
      <c r="U12" s="134">
        <f>IF(U10=U4,LOOKUP(EOMONTH(U4,0),'Input|Inflation'!$C$9:$C$84,'Input|Inflation'!$G$9:$G$84),"")</f>
        <v>2.5000000000000001E-2</v>
      </c>
      <c r="W12" s="191" t="s">
        <v>96</v>
      </c>
    </row>
    <row r="13" spans="1:33" ht="11.25" customHeight="1" outlineLevel="1">
      <c r="D13" s="8"/>
      <c r="E13" s="8"/>
      <c r="F13" s="8"/>
      <c r="G13" s="8"/>
      <c r="H13" s="8"/>
      <c r="I13" s="8"/>
      <c r="J13" s="8"/>
    </row>
    <row r="14" spans="1:33" ht="11.25" customHeight="1" outlineLevel="1">
      <c r="C14" s="9" t="s">
        <v>97</v>
      </c>
      <c r="I14" s="8"/>
      <c r="J14" s="200">
        <f>J4</f>
        <v>43070</v>
      </c>
      <c r="K14" s="200">
        <f t="shared" ref="K14:U14" si="2">K4</f>
        <v>43435</v>
      </c>
      <c r="L14" s="200">
        <f t="shared" si="2"/>
        <v>43800</v>
      </c>
      <c r="M14" s="200">
        <f t="shared" si="2"/>
        <v>44166</v>
      </c>
      <c r="N14" s="200">
        <f t="shared" si="2"/>
        <v>44531</v>
      </c>
      <c r="O14" s="200">
        <f t="shared" si="2"/>
        <v>44896</v>
      </c>
      <c r="P14" s="200">
        <f t="shared" si="2"/>
        <v>45078</v>
      </c>
      <c r="Q14" s="200">
        <f t="shared" si="2"/>
        <v>45444</v>
      </c>
      <c r="R14" s="200">
        <f t="shared" si="2"/>
        <v>45809</v>
      </c>
      <c r="S14" s="200">
        <f t="shared" si="2"/>
        <v>46174</v>
      </c>
      <c r="T14" s="200">
        <f t="shared" si="2"/>
        <v>46539</v>
      </c>
      <c r="U14" s="200">
        <f t="shared" si="2"/>
        <v>46905</v>
      </c>
    </row>
    <row r="15" spans="1:33" ht="11.25" customHeight="1" outlineLevel="1">
      <c r="C15" s="9"/>
      <c r="I15" s="8"/>
      <c r="J15" s="14"/>
      <c r="K15" s="14"/>
      <c r="L15" s="14"/>
      <c r="M15" s="14"/>
      <c r="N15" s="14"/>
      <c r="O15" s="14"/>
      <c r="P15" s="26"/>
      <c r="Q15" s="26"/>
      <c r="R15" s="26"/>
      <c r="S15" s="26"/>
      <c r="T15" s="26"/>
      <c r="U15" s="26"/>
    </row>
    <row r="16" spans="1:33" ht="11.25" customHeight="1" outlineLevel="1">
      <c r="C16" s="110">
        <f t="array" ref="C16:C22">TRANSPOSE(J10:P10)</f>
        <v>43070</v>
      </c>
      <c r="D16" s="98" t="str">
        <f t="shared" ref="D16:D20" si="3">IF(ISNONTEXT($C16),"calculated","")</f>
        <v>calculated</v>
      </c>
      <c r="E16" s="16" t="str">
        <f>IF(ISNONTEXT($C16),"index","")</f>
        <v>index</v>
      </c>
      <c r="J16" s="22">
        <f t="shared" ref="J16:O16" si="4">IF(AND($C16&gt;J$14,ISNONTEXT($C16)),K16/(1+K$12),IF(AND($C16=J$14,J$14=J$4),1,IF(AND($C16&lt;J$14,J$14=J$4),I16*(1+J$12),0)))</f>
        <v>1</v>
      </c>
      <c r="K16" s="22">
        <f t="shared" si="4"/>
        <v>1.0178412132024979</v>
      </c>
      <c r="L16" s="22">
        <f t="shared" si="4"/>
        <v>1.0365744870651206</v>
      </c>
      <c r="M16" s="22">
        <f t="shared" si="4"/>
        <v>1.0454950936663694</v>
      </c>
      <c r="N16" s="22">
        <f t="shared" si="4"/>
        <v>1.0820695807314897</v>
      </c>
      <c r="O16" s="22">
        <f t="shared" si="4"/>
        <v>1.1686351471900089</v>
      </c>
      <c r="P16" s="22">
        <f>IF(AND($C16&gt;P$14,ISNONTEXT($C16)),Q16/(1+P$12),IF(AND($C16=P$14,P$14=P$4),1,IF(AND($C16&lt;P$14,P$14=P$4),O16*(1+P$12),0)))</f>
        <v>1.1957564674397856</v>
      </c>
      <c r="Q16" s="22">
        <f>IF(AND($C16&gt;Q$14,ISNONTEXT($C16)),R16/(1+Q$12),IF(AND($C16=Q$14,Q$14=Q$4),1,IF(AND($C16&lt;Q$14,Q$14=Q$4),P16*(1+Q$12),0)))</f>
        <v>1.2465761173059764</v>
      </c>
      <c r="R16" s="22">
        <f t="shared" ref="R16:R22" si="5">IF(AND($C16&gt;R$14,ISNONTEXT($C16)),S16/(1+R$12),IF(AND($C16=R$14,R$14=R$4),1,IF(AND($C16&lt;R$14,R$14=R$4),Q16*(1+R$12),0)))</f>
        <v>1.2777405202386256</v>
      </c>
      <c r="S16" s="22">
        <f t="shared" ref="S16:S22" si="6">IF(AND($C16&gt;S$14,ISNONTEXT($C16)),T16/(1+S$12),IF(AND($C16=S$14,S$14=S$4),1,IF(AND($C16&lt;S$14,S$14=S$4),R16*(1+S$12),0)))</f>
        <v>1.3096840332445912</v>
      </c>
      <c r="T16" s="22">
        <f t="shared" ref="T16:T22" si="7">IF(AND($C16&gt;T$14,ISNONTEXT($C16)),U16/(1+T$12),IF(AND($C16=T$14,T$14=T$4),1,IF(AND($C16&lt;T$14,T$14=T$4),S16*(1+T$12),0)))</f>
        <v>1.3424261340757058</v>
      </c>
      <c r="U16" s="22">
        <f t="shared" ref="U16:U22" si="8">IF(AND($C16&gt;U$14,ISNONTEXT($C16)),V16/(1+U$12),IF(AND($C16=U$14,U$14=U$4),1,IF(AND($C16&lt;U$14,U$14=U$4),T16*(1+U$12),0)))</f>
        <v>1.3759867874275984</v>
      </c>
      <c r="X16" s="99"/>
    </row>
    <row r="17" spans="3:24" ht="11.25" customHeight="1" outlineLevel="1">
      <c r="C17" s="110">
        <v>43435</v>
      </c>
      <c r="D17" s="98" t="str">
        <f t="shared" si="3"/>
        <v>calculated</v>
      </c>
      <c r="E17" s="16" t="str">
        <f t="shared" ref="E17:E22" si="9">IF(ISNONTEXT($C17),"index","")</f>
        <v>index</v>
      </c>
      <c r="I17" s="22"/>
      <c r="J17" s="22">
        <f t="shared" ref="J17:O17" si="10">IF(AND($C17&gt;J$14,ISNONTEXT($C17)),K17/(1+K$12),IF(AND($C17=J$14,J$14=J$4),1,IF(AND($C17&lt;J$14,J$14=J$4),I17*(1+J$12),0)))</f>
        <v>0.98247151621384743</v>
      </c>
      <c r="K17" s="22">
        <f t="shared" si="10"/>
        <v>1</v>
      </c>
      <c r="L17" s="22">
        <f t="shared" si="10"/>
        <v>1.0184049079754602</v>
      </c>
      <c r="M17" s="22">
        <f t="shared" si="10"/>
        <v>1.0271691498685365</v>
      </c>
      <c r="N17" s="22">
        <f t="shared" si="10"/>
        <v>1.0631025416301489</v>
      </c>
      <c r="O17" s="22">
        <f t="shared" si="10"/>
        <v>1.148150744960561</v>
      </c>
      <c r="P17" s="22">
        <f t="shared" ref="P17" si="11">IF(AND($C17&gt;P$14,ISNONTEXT($C17)),Q17/(1+P$12),IF(AND($C17=P$14,P$14=P$4),1,IF(AND($C17&lt;P$14,P$14=P$4),O17*(1+P$12),0)))</f>
        <v>1.1747966695880805</v>
      </c>
      <c r="Q17" s="22">
        <f>IF(AND($C17&gt;Q$14,ISNONTEXT($C17)),R17/(1+Q$12),IF(AND($C17=Q$14,Q$14=Q$4),1,IF(AND($C17&lt;Q$14,Q$14=Q$4),P17*(1+Q$12),0)))</f>
        <v>1.224725528045574</v>
      </c>
      <c r="R17" s="22">
        <f t="shared" si="5"/>
        <v>1.2553436662467132</v>
      </c>
      <c r="S17" s="22">
        <f t="shared" si="6"/>
        <v>1.286727257902881</v>
      </c>
      <c r="T17" s="22">
        <f t="shared" si="7"/>
        <v>1.3188954393504528</v>
      </c>
      <c r="U17" s="22">
        <f t="shared" si="8"/>
        <v>1.351867825334214</v>
      </c>
      <c r="X17" s="99"/>
    </row>
    <row r="18" spans="3:24" ht="11.25" customHeight="1" outlineLevel="1">
      <c r="C18" s="110">
        <v>43800</v>
      </c>
      <c r="D18" s="98" t="str">
        <f t="shared" si="3"/>
        <v>calculated</v>
      </c>
      <c r="E18" s="16" t="str">
        <f t="shared" si="9"/>
        <v>index</v>
      </c>
      <c r="I18" s="22"/>
      <c r="J18" s="22">
        <f t="shared" ref="J18:O18" si="12">IF(AND($C18&gt;J$14,ISNONTEXT($C18)),K18/(1+K$12),IF(AND($C18=J$14,J$14=J$4),1,IF(AND($C18&lt;J$14,J$14=J$4),I18*(1+J$12),0)))</f>
        <v>0.9647160068846814</v>
      </c>
      <c r="K18" s="22">
        <f t="shared" si="12"/>
        <v>0.98192771084337338</v>
      </c>
      <c r="L18" s="22">
        <f t="shared" si="12"/>
        <v>1</v>
      </c>
      <c r="M18" s="22">
        <f t="shared" si="12"/>
        <v>1.0086058519793459</v>
      </c>
      <c r="N18" s="22">
        <f t="shared" si="12"/>
        <v>1.0438898450946643</v>
      </c>
      <c r="O18" s="22">
        <f t="shared" si="12"/>
        <v>1.1274010327022375</v>
      </c>
      <c r="P18" s="22">
        <f t="shared" ref="P18" si="13">IF(AND($C18&gt;P$14,ISNONTEXT($C18)),Q18/(1+P$12),IF(AND($C18=P$14,P$14=P$4),1,IF(AND($C18&lt;P$14,P$14=P$4),O18*(1+P$12),0)))</f>
        <v>1.1535654044750427</v>
      </c>
      <c r="Q18" s="22">
        <f t="shared" ref="Q18:Q21" si="14">IF(AND($C18&gt;Q$14,ISNONTEXT($C18)),R18/(1+Q$12),IF(AND($C18=Q$14,Q$14=Q$4),1,IF(AND($C18&lt;Q$14,Q$14=Q$4),P18*(1+Q$12),0)))</f>
        <v>1.202591934165232</v>
      </c>
      <c r="R18" s="22">
        <f t="shared" si="5"/>
        <v>1.2326567325193627</v>
      </c>
      <c r="S18" s="22">
        <f t="shared" si="6"/>
        <v>1.2634731508323467</v>
      </c>
      <c r="T18" s="22">
        <f t="shared" si="7"/>
        <v>1.2950599796031552</v>
      </c>
      <c r="U18" s="22">
        <f t="shared" si="8"/>
        <v>1.327436479093234</v>
      </c>
      <c r="X18" s="99"/>
    </row>
    <row r="19" spans="3:24" ht="11.25" customHeight="1" outlineLevel="1">
      <c r="C19" s="110">
        <v>44166</v>
      </c>
      <c r="D19" s="98" t="str">
        <f t="shared" si="3"/>
        <v>calculated</v>
      </c>
      <c r="E19" s="16" t="str">
        <f t="shared" si="9"/>
        <v>index</v>
      </c>
      <c r="I19" s="22"/>
      <c r="J19" s="22">
        <f t="shared" ref="J19:O19" si="15">IF(AND($C19&gt;J$14,ISNONTEXT($C19)),K19/(1+K$12),IF(AND($C19=J$14,J$14=J$4),1,IF(AND($C19&lt;J$14,J$14=J$4),I19*(1+J$12),0)))</f>
        <v>0.956484641638225</v>
      </c>
      <c r="K19" s="22">
        <f t="shared" si="15"/>
        <v>0.97354948805460739</v>
      </c>
      <c r="L19" s="22">
        <f t="shared" si="15"/>
        <v>0.99146757679180886</v>
      </c>
      <c r="M19" s="22">
        <f t="shared" si="15"/>
        <v>1</v>
      </c>
      <c r="N19" s="22">
        <f t="shared" si="15"/>
        <v>1.0349829351535835</v>
      </c>
      <c r="O19" s="22">
        <f t="shared" si="15"/>
        <v>1.1177815699658702</v>
      </c>
      <c r="P19" s="22">
        <f t="shared" ref="P19" si="16">IF(AND($C19&gt;P$14,ISNONTEXT($C19)),Q19/(1+P$12),IF(AND($C19=P$14,P$14=P$4),1,IF(AND($C19&lt;P$14,P$14=P$4),O19*(1+P$12),0)))</f>
        <v>1.1437226962457334</v>
      </c>
      <c r="Q19" s="22">
        <f t="shared" si="14"/>
        <v>1.192330910836177</v>
      </c>
      <c r="R19" s="22">
        <f t="shared" si="5"/>
        <v>1.2221391836070814</v>
      </c>
      <c r="S19" s="22">
        <f t="shared" si="6"/>
        <v>1.2526926631972584</v>
      </c>
      <c r="T19" s="22">
        <f t="shared" si="7"/>
        <v>1.2840099797771898</v>
      </c>
      <c r="U19" s="22">
        <f t="shared" si="8"/>
        <v>1.3161102292716194</v>
      </c>
      <c r="X19" s="99"/>
    </row>
    <row r="20" spans="3:24" ht="11.25" customHeight="1" outlineLevel="1">
      <c r="C20" s="110">
        <v>44531</v>
      </c>
      <c r="D20" s="98" t="str">
        <f t="shared" si="3"/>
        <v>calculated</v>
      </c>
      <c r="E20" s="16" t="str">
        <f t="shared" si="9"/>
        <v>index</v>
      </c>
      <c r="I20" s="22"/>
      <c r="J20" s="22">
        <f>IF(AND($C20&gt;J$14,ISNONTEXT($C20)),K20/(1+K$12),IF(AND($C20=J$14,J$14=J$4),1,IF(AND($C20&lt;J$14,J$14=J$4),I20*(1+J$12),0)))</f>
        <v>0.92415498763396531</v>
      </c>
      <c r="K20" s="22">
        <f t="shared" ref="K20:O20" si="17">IF(AND($C20&gt;K$14,ISNONTEXT($C20)),L20/(1+L$12),IF(AND($C20=K$14,K$14=K$4),1,IF(AND($C20&lt;K$14,K$14=K$4),J20*(1+K$12),0)))</f>
        <v>0.94064303380049463</v>
      </c>
      <c r="L20" s="22">
        <f t="shared" si="17"/>
        <v>0.95795548227535043</v>
      </c>
      <c r="M20" s="22">
        <f t="shared" si="17"/>
        <v>0.9661995053586151</v>
      </c>
      <c r="N20" s="22">
        <f t="shared" si="17"/>
        <v>1</v>
      </c>
      <c r="O20" s="22">
        <f t="shared" si="17"/>
        <v>1.08</v>
      </c>
      <c r="P20" s="22">
        <f t="shared" ref="P20" si="18">IF(AND($C20&gt;P$14,ISNONTEXT($C20)),Q20/(1+P$12),IF(AND($C20=P$14,P$14=P$4),1,IF(AND($C20&lt;P$14,P$14=P$4),O20*(1+P$12),0)))</f>
        <v>1.1050643033800494</v>
      </c>
      <c r="Q20" s="22">
        <f t="shared" si="14"/>
        <v>1.1520295362737014</v>
      </c>
      <c r="R20" s="22">
        <f t="shared" si="5"/>
        <v>1.1808302746805439</v>
      </c>
      <c r="S20" s="22">
        <f t="shared" si="6"/>
        <v>1.2103510315475574</v>
      </c>
      <c r="T20" s="22">
        <f t="shared" si="7"/>
        <v>1.2406098073362462</v>
      </c>
      <c r="U20" s="22">
        <f t="shared" si="8"/>
        <v>1.2716250525196522</v>
      </c>
      <c r="X20" s="99"/>
    </row>
    <row r="21" spans="3:24" ht="11.25" customHeight="1" outlineLevel="1">
      <c r="C21" s="110">
        <v>44896</v>
      </c>
      <c r="D21" s="98" t="str">
        <f>IF(ISNONTEXT($C21),"calculated","")</f>
        <v>calculated</v>
      </c>
      <c r="E21" s="16" t="str">
        <f t="shared" si="9"/>
        <v>index</v>
      </c>
      <c r="I21" s="22"/>
      <c r="J21" s="22">
        <f>IF(AND($C21&gt;J$14,ISNONTEXT($C21)),K21/(1+K$12),IF(AND($C21=J$14,J$14=J$4),1,IF(AND($C21&lt;J$14,J$14=J$4),I21*(1+J$12),0)))</f>
        <v>0.85569906262404183</v>
      </c>
      <c r="K21" s="22">
        <f t="shared" ref="K21" si="19">IF(AND($C21&gt;K$14,ISNONTEXT($C21)),L21/(1+L$12),IF(AND($C21=K$14,K$14=K$4),1,IF(AND($C21&lt;K$14,K$14=K$4),J21*(1+K$12),0)))</f>
        <v>0.87096577203749492</v>
      </c>
      <c r="L21" s="22">
        <f t="shared" ref="L21" si="20">IF(AND($C21&gt;L$14,ISNONTEXT($C21)),M21/(1+M$12),IF(AND($C21=L$14,L$14=L$4),1,IF(AND($C21&lt;L$14,L$14=L$4),K21*(1+L$12),0)))</f>
        <v>0.88699581692162066</v>
      </c>
      <c r="M21" s="22">
        <f t="shared" ref="M21" si="21">IF(AND($C21&gt;M$14,ISNONTEXT($C21)),N21/(1+N$12),IF(AND($C21=M$14,M$14=M$4),1,IF(AND($C21&lt;M$14,M$14=M$4),L21*(1+M$12),0)))</f>
        <v>0.89462917162834721</v>
      </c>
      <c r="N21" s="22">
        <f t="shared" ref="N21:O21" si="22">IF(AND($C21&gt;N$14,ISNONTEXT($C21)),O21/(1+O$12),IF(AND($C21=N$14,N$14=N$4),1,IF(AND($C21&lt;N$14,N$14=N$4),M21*(1+N$12),0)))</f>
        <v>0.92592592592592582</v>
      </c>
      <c r="O21" s="22">
        <f t="shared" si="22"/>
        <v>1</v>
      </c>
      <c r="P21" s="22">
        <f t="shared" ref="P21" si="23">IF(AND($C21&gt;P$14,ISNONTEXT($C21)),Q21/(1+P$12),IF(AND($C21=P$14,P$14=P$4),1,IF(AND($C21&lt;P$14,P$14=P$4),O21*(1+P$12),0)))</f>
        <v>1.0232076883148604</v>
      </c>
      <c r="Q21" s="22">
        <f t="shared" si="14"/>
        <v>1.066694015068242</v>
      </c>
      <c r="R21" s="22">
        <f t="shared" si="5"/>
        <v>1.0933613654449479</v>
      </c>
      <c r="S21" s="22">
        <f t="shared" si="6"/>
        <v>1.1206953995810716</v>
      </c>
      <c r="T21" s="22">
        <f t="shared" si="7"/>
        <v>1.1487127845705982</v>
      </c>
      <c r="U21" s="22">
        <f t="shared" si="8"/>
        <v>1.177430604184863</v>
      </c>
      <c r="X21" s="99"/>
    </row>
    <row r="22" spans="3:24" ht="11.25" customHeight="1" outlineLevel="1">
      <c r="C22" s="110">
        <v>45078</v>
      </c>
      <c r="D22" s="98" t="str">
        <f>IF(ISNONTEXT($C22),"calculated","")</f>
        <v>calculated</v>
      </c>
      <c r="E22" s="16" t="str">
        <f t="shared" si="9"/>
        <v>index</v>
      </c>
      <c r="I22" s="22"/>
      <c r="J22" s="22">
        <f>IF(AND($C22&gt;J$14,ISNONTEXT($C22)),K22/(1+K$12),IF(AND($C22=J$14,J$14=J$4),1,IF(AND($C22&lt;J$14,J$14=J$4),I22*(1+J$12),0)))</f>
        <v>0.83629068897371994</v>
      </c>
      <c r="K22" s="22">
        <f t="shared" ref="K22" si="24">IF(AND($C22&gt;K$14,ISNONTEXT($C22)),L22/(1+L$12),IF(AND($C22=K$14,K$14=K$4),1,IF(AND($C22&lt;K$14,K$14=K$4),J22*(1+K$12),0)))</f>
        <v>0.85121112945496391</v>
      </c>
      <c r="L22" s="22">
        <f t="shared" ref="L22" si="25">IF(AND($C22&gt;L$14,ISNONTEXT($C22)),M22/(1+M$12),IF(AND($C22=L$14,L$14=L$4),1,IF(AND($C22&lt;L$14,L$14=L$4),K22*(1+L$12),0)))</f>
        <v>0.86687759196027014</v>
      </c>
      <c r="M22" s="22">
        <f t="shared" ref="M22" si="26">IF(AND($C22&gt;M$14,ISNONTEXT($C22)),N22/(1+N$12),IF(AND($C22=M$14,M$14=M$4),1,IF(AND($C22&lt;M$14,M$14=M$4),L22*(1+M$12),0)))</f>
        <v>0.87433781220089202</v>
      </c>
      <c r="N22" s="22">
        <f t="shared" ref="N22:O22" si="27">IF(AND($C22&gt;N$14,ISNONTEXT($C22)),O22/(1+O$12),IF(AND($C22=N$14,N$14=N$4),1,IF(AND($C22&lt;N$14,N$14=N$4),M22*(1+N$12),0)))</f>
        <v>0.90492471518744189</v>
      </c>
      <c r="O22" s="22">
        <f t="shared" si="27"/>
        <v>0.97731869240243729</v>
      </c>
      <c r="P22" s="22">
        <f t="shared" ref="P22" si="28">IF(AND($C22&gt;P$14,ISNONTEXT($C22)),Q22/(1+P$12),IF(AND($C22=P$14,P$14=P$4),1,IF(AND($C22&lt;P$14,P$14=P$4),O22*(1+P$12),0)))</f>
        <v>1</v>
      </c>
      <c r="Q22" s="22">
        <f>IF(AND($C22&gt;Q$14,ISNONTEXT($C22)),R22/(1+Q$12),IF(AND($C22=Q$14,Q$14=Q$4),1,IF(AND($C22&lt;Q$14,Q$14=Q$4),P22*(1+Q$12),0)))</f>
        <v>1.0425</v>
      </c>
      <c r="R22" s="22">
        <f t="shared" si="5"/>
        <v>1.0685624999999999</v>
      </c>
      <c r="S22" s="22">
        <f t="shared" si="6"/>
        <v>1.0952765624999998</v>
      </c>
      <c r="T22" s="22">
        <f t="shared" si="7"/>
        <v>1.1226584765624996</v>
      </c>
      <c r="U22" s="22">
        <f t="shared" si="8"/>
        <v>1.1507249384765621</v>
      </c>
      <c r="X22" s="99"/>
    </row>
    <row r="23" spans="3:24" ht="11.25" customHeight="1" outlineLevel="1">
      <c r="C23" s="15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X23" s="99"/>
    </row>
    <row r="24" spans="3:24" ht="11.25" customHeight="1" outlineLevel="1">
      <c r="C24" s="9" t="s">
        <v>98</v>
      </c>
      <c r="J24" s="200">
        <f>J4</f>
        <v>43070</v>
      </c>
      <c r="K24" s="200">
        <f t="shared" ref="K24:U24" si="29">K4</f>
        <v>43435</v>
      </c>
      <c r="L24" s="200">
        <f t="shared" si="29"/>
        <v>43800</v>
      </c>
      <c r="M24" s="200">
        <f t="shared" si="29"/>
        <v>44166</v>
      </c>
      <c r="N24" s="200">
        <f t="shared" si="29"/>
        <v>44531</v>
      </c>
      <c r="O24" s="200">
        <f t="shared" si="29"/>
        <v>44896</v>
      </c>
      <c r="P24" s="200">
        <f t="shared" si="29"/>
        <v>45078</v>
      </c>
      <c r="Q24" s="200">
        <f t="shared" si="29"/>
        <v>45444</v>
      </c>
      <c r="R24" s="200">
        <f t="shared" si="29"/>
        <v>45809</v>
      </c>
      <c r="S24" s="200">
        <f t="shared" si="29"/>
        <v>46174</v>
      </c>
      <c r="T24" s="200">
        <f t="shared" si="29"/>
        <v>46539</v>
      </c>
      <c r="U24" s="200">
        <f t="shared" si="29"/>
        <v>46905</v>
      </c>
    </row>
    <row r="25" spans="3:24" ht="11.25" customHeight="1" outlineLevel="1">
      <c r="C25" s="15"/>
      <c r="J25" s="8"/>
      <c r="Q25" s="22"/>
      <c r="R25" s="22"/>
      <c r="S25" s="22"/>
      <c r="T25" s="22"/>
      <c r="U25" s="22"/>
      <c r="V25" s="170"/>
    </row>
    <row r="26" spans="3:24" ht="11.25" customHeight="1" outlineLevel="1">
      <c r="C26" s="110">
        <f t="array" ref="C26:C32">TRANSPOSE(J10:P10)</f>
        <v>43070</v>
      </c>
      <c r="D26" s="98" t="str">
        <f t="shared" ref="D26:D32" si="30">IF(ISNONTEXT($C26),"calculated","")</f>
        <v>calculated</v>
      </c>
      <c r="E26" s="16" t="str">
        <f>IF(ISNONTEXT($C26),"index","")</f>
        <v>index</v>
      </c>
      <c r="I26" s="22"/>
      <c r="J26" s="22">
        <f>IF(AND(J$24=J$4,ISNONTEXT($C26)),1/J16*(1+J$12)^0.5,0)</f>
        <v>1.0095003264441815</v>
      </c>
      <c r="K26" s="22">
        <f t="shared" ref="K26:T26" si="31">IF(AND(K$24=K$4,ISNONTEXT($C26)),1/K16*(1+K$12)^0.5,0)</f>
        <v>0.99119701180635511</v>
      </c>
      <c r="L26" s="22">
        <f t="shared" si="31"/>
        <v>0.97355328462275847</v>
      </c>
      <c r="M26" s="22">
        <f t="shared" si="31"/>
        <v>0.96059150742016974</v>
      </c>
      <c r="N26" s="22">
        <f t="shared" si="31"/>
        <v>0.94018086141191581</v>
      </c>
      <c r="O26" s="22">
        <f t="shared" si="31"/>
        <v>0.88926855147234207</v>
      </c>
      <c r="P26" s="22">
        <f t="shared" si="31"/>
        <v>0.84593921686846196</v>
      </c>
      <c r="Q26" s="22">
        <f>IF(AND(Q$24=Q$4,ISNONTEXT($C26)),1/Q16*(1+Q$12)^0.5,0)</f>
        <v>0.81906662469973479</v>
      </c>
      <c r="R26" s="22">
        <f t="shared" si="31"/>
        <v>0.79235401909047487</v>
      </c>
      <c r="S26" s="22">
        <f t="shared" si="31"/>
        <v>0.77302831130778038</v>
      </c>
      <c r="T26" s="22">
        <f t="shared" si="31"/>
        <v>0.75417396225149314</v>
      </c>
      <c r="U26" s="22">
        <f t="shared" ref="U26" si="32">IF(AND(U$24=U$4,ISNONTEXT($C26)),1/U16*(1+U$12)^0.5,0)</f>
        <v>0.73577947536731036</v>
      </c>
      <c r="V26" s="99"/>
    </row>
    <row r="27" spans="3:24" ht="11.25" customHeight="1" outlineLevel="1">
      <c r="C27" s="110">
        <v>43435</v>
      </c>
      <c r="D27" s="98" t="str">
        <f t="shared" si="30"/>
        <v>calculated</v>
      </c>
      <c r="E27" s="16" t="str">
        <f t="shared" ref="E27:E32" si="33">IF(ISNONTEXT($C27),"index","")</f>
        <v>index</v>
      </c>
      <c r="I27" s="22"/>
      <c r="J27" s="22">
        <f t="shared" ref="J27:T27" si="34">IF(AND(J$24=J$4,ISNONTEXT($C27)),1/J17*(1+J$12)^0.5,0)</f>
        <v>1.0275110369962634</v>
      </c>
      <c r="K27" s="22">
        <f t="shared" si="34"/>
        <v>1.0088811690196711</v>
      </c>
      <c r="L27" s="22">
        <f t="shared" si="34"/>
        <v>0.99092265633770504</v>
      </c>
      <c r="M27" s="22">
        <f t="shared" si="34"/>
        <v>0.97772962530456164</v>
      </c>
      <c r="N27" s="22">
        <f t="shared" si="34"/>
        <v>0.95695482860927372</v>
      </c>
      <c r="O27" s="22">
        <f t="shared" si="34"/>
        <v>0.90513418129343637</v>
      </c>
      <c r="P27" s="22">
        <f t="shared" si="34"/>
        <v>0.8610317987929661</v>
      </c>
      <c r="Q27" s="22">
        <f t="shared" si="34"/>
        <v>0.83367976697805291</v>
      </c>
      <c r="R27" s="22">
        <f t="shared" si="34"/>
        <v>0.80649057607692365</v>
      </c>
      <c r="S27" s="22">
        <f t="shared" si="34"/>
        <v>0.78682007422138911</v>
      </c>
      <c r="T27" s="22">
        <f t="shared" si="34"/>
        <v>0.76762934070379429</v>
      </c>
      <c r="U27" s="22">
        <f t="shared" ref="U27" si="35">IF(AND(U$24=U$4,ISNONTEXT($C27)),1/U17*(1+U$12)^0.5,0)</f>
        <v>0.74890667385736043</v>
      </c>
      <c r="V27" s="99"/>
    </row>
    <row r="28" spans="3:24" ht="11.25" customHeight="1" outlineLevel="1">
      <c r="C28" s="110">
        <v>43800</v>
      </c>
      <c r="D28" s="98" t="str">
        <f t="shared" si="30"/>
        <v>calculated</v>
      </c>
      <c r="E28" s="16" t="str">
        <f t="shared" si="33"/>
        <v>index</v>
      </c>
      <c r="I28" s="22"/>
      <c r="J28" s="22">
        <f t="shared" ref="J28:T28" si="36">IF(AND(J$24=J$4,ISNONTEXT($C28)),1/J18*(1+J$12)^0.5,0)</f>
        <v>1.0464222830759493</v>
      </c>
      <c r="K28" s="22">
        <f t="shared" si="36"/>
        <v>1.0274495340936529</v>
      </c>
      <c r="L28" s="22">
        <f t="shared" si="36"/>
        <v>1.0091604966383991</v>
      </c>
      <c r="M28" s="22">
        <f t="shared" si="36"/>
        <v>0.99572464908317337</v>
      </c>
      <c r="N28" s="22">
        <f t="shared" si="36"/>
        <v>0.97456749416649968</v>
      </c>
      <c r="O28" s="22">
        <f t="shared" si="36"/>
        <v>0.92179309260558573</v>
      </c>
      <c r="P28" s="22">
        <f t="shared" si="36"/>
        <v>0.8768790098136956</v>
      </c>
      <c r="Q28" s="22">
        <f t="shared" si="36"/>
        <v>0.84902356637028709</v>
      </c>
      <c r="R28" s="22">
        <f t="shared" si="36"/>
        <v>0.8213339609126955</v>
      </c>
      <c r="S28" s="22">
        <f t="shared" si="36"/>
        <v>0.8013014252806786</v>
      </c>
      <c r="T28" s="22">
        <f t="shared" si="36"/>
        <v>0.78175748807871093</v>
      </c>
      <c r="U28" s="22">
        <f t="shared" ref="U28" si="37">IF(AND(U$24=U$4,ISNONTEXT($C28)),1/U18*(1+U$12)^0.5,0)</f>
        <v>0.76269023227191313</v>
      </c>
      <c r="V28" s="99"/>
    </row>
    <row r="29" spans="3:24" ht="11.25" customHeight="1" outlineLevel="1">
      <c r="C29" s="110">
        <v>44166</v>
      </c>
      <c r="D29" s="98" t="str">
        <f t="shared" si="30"/>
        <v>calculated</v>
      </c>
      <c r="E29" s="16" t="str">
        <f t="shared" si="33"/>
        <v>index</v>
      </c>
      <c r="I29" s="22"/>
      <c r="J29" s="22">
        <f t="shared" ref="J29:T29" si="38">IF(AND(J$24=J$4,ISNONTEXT($C29)),1/J19*(1+J$12)^0.5,0)</f>
        <v>1.0554276383519903</v>
      </c>
      <c r="K29" s="22">
        <f t="shared" si="38"/>
        <v>1.0362916127003108</v>
      </c>
      <c r="L29" s="22">
        <f t="shared" si="38"/>
        <v>1.0178451824958725</v>
      </c>
      <c r="M29" s="22">
        <f t="shared" si="38"/>
        <v>1.0042937080253693</v>
      </c>
      <c r="N29" s="22">
        <f t="shared" si="38"/>
        <v>0.98295447776517875</v>
      </c>
      <c r="O29" s="22">
        <f t="shared" si="38"/>
        <v>0.92972590751613293</v>
      </c>
      <c r="P29" s="22">
        <f t="shared" si="38"/>
        <v>0.88442530077594783</v>
      </c>
      <c r="Q29" s="22">
        <f t="shared" si="38"/>
        <v>0.85633013750944631</v>
      </c>
      <c r="R29" s="22">
        <f t="shared" si="38"/>
        <v>0.82840223940592006</v>
      </c>
      <c r="S29" s="22">
        <f t="shared" si="38"/>
        <v>0.80819730673748313</v>
      </c>
      <c r="T29" s="22">
        <f t="shared" si="38"/>
        <v>0.78848517730486156</v>
      </c>
      <c r="U29" s="22">
        <f t="shared" ref="U29" si="39">IF(AND(U$24=U$4,ISNONTEXT($C29)),1/U19*(1+U$12)^0.5,0)</f>
        <v>0.76925383151693827</v>
      </c>
      <c r="V29" s="99"/>
    </row>
    <row r="30" spans="3:24" ht="11.25" customHeight="1" outlineLevel="1">
      <c r="C30" s="110">
        <v>44531</v>
      </c>
      <c r="D30" s="98" t="str">
        <f t="shared" si="30"/>
        <v>calculated</v>
      </c>
      <c r="E30" s="16" t="str">
        <f t="shared" si="33"/>
        <v>index</v>
      </c>
      <c r="I30" s="22"/>
      <c r="J30" s="22">
        <f t="shared" ref="J30:T30" si="40">IF(AND(J$24=J$4,ISNONTEXT($C30)),1/J20*(1+J$12)^0.5,0)</f>
        <v>1.0923495949837576</v>
      </c>
      <c r="K30" s="22">
        <f t="shared" si="40"/>
        <v>1.0725441349876081</v>
      </c>
      <c r="L30" s="22">
        <f t="shared" si="40"/>
        <v>1.0534523945115131</v>
      </c>
      <c r="M30" s="22">
        <f t="shared" si="40"/>
        <v>1.0394268496883727</v>
      </c>
      <c r="N30" s="22">
        <f t="shared" si="40"/>
        <v>1.0173411105197625</v>
      </c>
      <c r="O30" s="22">
        <f t="shared" si="40"/>
        <v>0.96225044864937626</v>
      </c>
      <c r="P30" s="22">
        <f t="shared" si="40"/>
        <v>0.91536509372118124</v>
      </c>
      <c r="Q30" s="22">
        <f t="shared" si="40"/>
        <v>0.88628707917999838</v>
      </c>
      <c r="R30" s="22">
        <f t="shared" si="40"/>
        <v>0.85738218122814069</v>
      </c>
      <c r="S30" s="22">
        <f t="shared" si="40"/>
        <v>0.83647042071038114</v>
      </c>
      <c r="T30" s="22">
        <f t="shared" si="40"/>
        <v>0.81606870313207935</v>
      </c>
      <c r="U30" s="22">
        <f t="shared" ref="U30" si="41">IF(AND(U$24=U$4,ISNONTEXT($C30)),1/U20*(1+U$12)^0.5,0)</f>
        <v>0.79616458842154092</v>
      </c>
      <c r="V30" s="99"/>
    </row>
    <row r="31" spans="3:24" ht="11.25" customHeight="1" outlineLevel="1">
      <c r="C31" s="110">
        <v>44896</v>
      </c>
      <c r="D31" s="98" t="str">
        <f t="shared" si="30"/>
        <v>calculated</v>
      </c>
      <c r="E31" s="16" t="str">
        <f t="shared" si="33"/>
        <v>index</v>
      </c>
      <c r="I31" s="22"/>
      <c r="J31" s="22">
        <f t="shared" ref="J31:T32" si="42">IF(AND(J$24=J$4,ISNONTEXT($C31)),1/J21*(1+J$12)^0.5,0)</f>
        <v>1.1797375625824584</v>
      </c>
      <c r="K31" s="22">
        <f t="shared" si="42"/>
        <v>1.158347665786617</v>
      </c>
      <c r="L31" s="22">
        <f t="shared" si="42"/>
        <v>1.1377285860724342</v>
      </c>
      <c r="M31" s="22">
        <f t="shared" si="42"/>
        <v>1.1225809976634429</v>
      </c>
      <c r="N31" s="22">
        <f t="shared" si="42"/>
        <v>1.0987283993613435</v>
      </c>
      <c r="O31" s="22">
        <f t="shared" si="42"/>
        <v>1.0392304845413265</v>
      </c>
      <c r="P31" s="22">
        <f t="shared" si="42"/>
        <v>0.98859430121887581</v>
      </c>
      <c r="Q31" s="22">
        <f t="shared" si="42"/>
        <v>0.95719004551439824</v>
      </c>
      <c r="R31" s="22">
        <f t="shared" si="42"/>
        <v>0.92597275572639204</v>
      </c>
      <c r="S31" s="22">
        <f t="shared" si="42"/>
        <v>0.90338805436721181</v>
      </c>
      <c r="T31" s="22">
        <f t="shared" si="42"/>
        <v>0.8813541993826457</v>
      </c>
      <c r="U31" s="22">
        <f t="shared" ref="U31" si="43">IF(AND(U$24=U$4,ISNONTEXT($C31)),1/U21*(1+U$12)^0.5,0)</f>
        <v>0.85985775549526422</v>
      </c>
      <c r="V31" s="99"/>
    </row>
    <row r="32" spans="3:24" ht="11.25" customHeight="1" outlineLevel="1">
      <c r="C32" s="110">
        <v>45078</v>
      </c>
      <c r="D32" s="98" t="str">
        <f t="shared" si="30"/>
        <v>calculated</v>
      </c>
      <c r="E32" s="16" t="str">
        <f t="shared" si="33"/>
        <v>index</v>
      </c>
      <c r="I32" s="22"/>
      <c r="J32" s="22">
        <f t="shared" si="42"/>
        <v>1.207116544228205</v>
      </c>
      <c r="K32" s="22">
        <f t="shared" si="42"/>
        <v>1.185230237374439</v>
      </c>
      <c r="L32" s="22">
        <f t="shared" si="42"/>
        <v>1.1641326364849098</v>
      </c>
      <c r="M32" s="22">
        <f t="shared" si="42"/>
        <v>1.1486335075654008</v>
      </c>
      <c r="N32" s="22">
        <f t="shared" si="42"/>
        <v>1.1242273455964071</v>
      </c>
      <c r="O32" s="22">
        <f t="shared" si="42"/>
        <v>1.063348621713863</v>
      </c>
      <c r="P32" s="22">
        <f t="shared" si="42"/>
        <v>1.0115372896314108</v>
      </c>
      <c r="Q32" s="22">
        <f t="shared" si="42"/>
        <v>0.97940421374878361</v>
      </c>
      <c r="R32" s="22">
        <f t="shared" si="42"/>
        <v>0.94746244282934255</v>
      </c>
      <c r="S32" s="22">
        <f t="shared" si="42"/>
        <v>0.92435360276033418</v>
      </c>
      <c r="T32" s="22">
        <f t="shared" si="42"/>
        <v>0.90180839293691162</v>
      </c>
      <c r="U32" s="22">
        <f t="shared" ref="U32" si="44">IF(AND(U$24=U$4,ISNONTEXT($C32)),1/U22*(1+U$12)^0.5,0)</f>
        <v>0.87981306627991374</v>
      </c>
      <c r="V32" s="99"/>
    </row>
    <row r="33" spans="1:33">
      <c r="C33" s="15"/>
      <c r="K33" s="22"/>
      <c r="L33" s="22"/>
      <c r="M33" s="22"/>
      <c r="N33" s="22"/>
      <c r="O33" s="22"/>
      <c r="P33" s="26"/>
      <c r="Q33" s="22"/>
      <c r="R33" s="22"/>
      <c r="S33" s="22"/>
      <c r="T33" s="22"/>
      <c r="U33" s="22"/>
    </row>
    <row r="34" spans="1:33" customFormat="1" ht="12.75">
      <c r="A34" s="37"/>
      <c r="B34" s="43" t="s">
        <v>99</v>
      </c>
      <c r="C34" s="37"/>
      <c r="D34" s="37"/>
      <c r="E34" s="37"/>
      <c r="F34" s="38"/>
      <c r="G34" s="38"/>
      <c r="H34" s="38"/>
      <c r="I34" s="38"/>
      <c r="J34" s="38"/>
      <c r="K34" s="39"/>
      <c r="L34" s="40"/>
      <c r="M34" s="39"/>
      <c r="N34" s="40"/>
      <c r="O34" s="39"/>
      <c r="P34" s="39"/>
      <c r="Q34" s="39"/>
      <c r="R34" s="39"/>
      <c r="S34" s="39"/>
      <c r="T34" s="39"/>
      <c r="U34" s="39"/>
      <c r="V34" s="39"/>
      <c r="W34" s="40"/>
      <c r="X34" s="41"/>
      <c r="Y34" s="41"/>
      <c r="Z34" s="41"/>
      <c r="AA34" s="41"/>
      <c r="AB34" s="41"/>
      <c r="AC34" s="41"/>
      <c r="AD34" s="41"/>
      <c r="AE34" s="41"/>
      <c r="AF34" s="42"/>
      <c r="AG34" s="42"/>
    </row>
    <row r="35" spans="1:33" ht="11.25" customHeight="1" outlineLevel="1"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</row>
    <row r="36" spans="1:33" ht="11.25" customHeight="1" outlineLevel="1">
      <c r="C36" s="9" t="s">
        <v>100</v>
      </c>
      <c r="D36" s="21" t="s">
        <v>33</v>
      </c>
      <c r="E36" s="21" t="s">
        <v>53</v>
      </c>
      <c r="J36" s="113"/>
      <c r="K36" s="113"/>
      <c r="L36" s="113"/>
      <c r="M36" s="113"/>
      <c r="N36" s="113"/>
      <c r="O36" s="113"/>
      <c r="P36" s="113"/>
      <c r="Q36" s="113">
        <f>Q4</f>
        <v>45444</v>
      </c>
      <c r="R36" s="113">
        <f t="shared" ref="R36:U36" si="45">R4</f>
        <v>45809</v>
      </c>
      <c r="S36" s="113">
        <f t="shared" si="45"/>
        <v>46174</v>
      </c>
      <c r="T36" s="113">
        <f t="shared" si="45"/>
        <v>46539</v>
      </c>
      <c r="U36" s="113">
        <f t="shared" si="45"/>
        <v>46905</v>
      </c>
    </row>
    <row r="37" spans="1:33" ht="11.25" customHeight="1" outlineLevel="1">
      <c r="Q37" s="157"/>
      <c r="R37" s="157"/>
      <c r="S37" s="157"/>
      <c r="T37" s="157"/>
      <c r="U37" s="157"/>
    </row>
    <row r="38" spans="1:33" ht="11.25" customHeight="1" outlineLevel="1">
      <c r="C38" s="52" t="s">
        <v>101</v>
      </c>
      <c r="D38" s="16" t="s">
        <v>102</v>
      </c>
      <c r="E38" s="16" t="str">
        <f t="shared" ref="E38:E45" si="46">percent</f>
        <v>Per cent</v>
      </c>
      <c r="J38" s="143"/>
      <c r="K38" s="104"/>
      <c r="L38" s="104"/>
      <c r="M38" s="104"/>
      <c r="N38" s="104"/>
      <c r="O38" s="104"/>
      <c r="P38" s="104"/>
      <c r="Q38" s="116">
        <f>0.560654079229206%+0.5%</f>
        <v>1.0606540792292059E-2</v>
      </c>
      <c r="R38" s="116">
        <f>1.09590024800692%+0.5%</f>
        <v>1.59590024800692E-2</v>
      </c>
      <c r="S38" s="116">
        <f>0.824101474173755%+0.5%</f>
        <v>1.3241014741737549E-2</v>
      </c>
      <c r="T38" s="116">
        <v>4.0449978813716925E-3</v>
      </c>
      <c r="U38" s="116">
        <v>3.9810991449322763E-3</v>
      </c>
      <c r="W38" s="191" t="s">
        <v>96</v>
      </c>
    </row>
    <row r="39" spans="1:33" ht="11.25" customHeight="1" outlineLevel="1">
      <c r="C39" s="52" t="s">
        <v>103</v>
      </c>
      <c r="D39" s="16" t="s">
        <v>102</v>
      </c>
      <c r="E39" s="16" t="str">
        <f t="shared" si="46"/>
        <v>Per cent</v>
      </c>
      <c r="J39" s="143"/>
      <c r="K39" s="104"/>
      <c r="L39" s="104"/>
      <c r="M39" s="104"/>
      <c r="N39" s="104"/>
      <c r="O39" s="104"/>
      <c r="P39" s="104"/>
      <c r="Q39" s="116">
        <f>0.395581922853649%+0.5%</f>
        <v>8.9558192285364904E-3</v>
      </c>
      <c r="R39" s="116">
        <f>0.923242709989214%+0.5%</f>
        <v>1.4232427099892139E-2</v>
      </c>
      <c r="S39" s="116">
        <f>0.986088032704611%+0.5%</f>
        <v>1.4860880327046109E-2</v>
      </c>
      <c r="T39" s="116">
        <v>8.6671719416965051E-3</v>
      </c>
      <c r="U39" s="116">
        <v>6.7592073439644903E-3</v>
      </c>
    </row>
    <row r="40" spans="1:33" ht="11.25" customHeight="1" outlineLevel="1">
      <c r="C40" s="52" t="s">
        <v>104</v>
      </c>
      <c r="D40" s="16" t="s">
        <v>102</v>
      </c>
      <c r="E40" s="16" t="str">
        <f t="shared" si="46"/>
        <v>Per cent</v>
      </c>
      <c r="J40" s="143"/>
      <c r="K40" s="104"/>
      <c r="L40" s="104"/>
      <c r="M40" s="104"/>
      <c r="N40" s="104"/>
      <c r="O40" s="168"/>
      <c r="P40" s="104"/>
      <c r="Q40" s="51">
        <f>AVERAGE(Q38:Q39)</f>
        <v>9.781180010414274E-3</v>
      </c>
      <c r="R40" s="51">
        <f t="shared" ref="R40:T40" si="47">AVERAGE(R38:R39)</f>
        <v>1.5095714789980669E-2</v>
      </c>
      <c r="S40" s="51">
        <f t="shared" si="47"/>
        <v>1.4050947534391829E-2</v>
      </c>
      <c r="T40" s="51">
        <f t="shared" si="47"/>
        <v>6.3560849115340988E-3</v>
      </c>
      <c r="U40" s="51">
        <f>AVERAGE(U38:U39)</f>
        <v>5.3701532444483833E-3</v>
      </c>
    </row>
    <row r="41" spans="1:33" ht="11.25" customHeight="1" outlineLevel="1">
      <c r="C41" s="52"/>
      <c r="D41" s="16" t="s">
        <v>102</v>
      </c>
      <c r="E41" s="16" t="str">
        <f t="shared" si="46"/>
        <v>Per cent</v>
      </c>
      <c r="J41" s="143"/>
      <c r="K41" s="104"/>
      <c r="L41" s="104"/>
      <c r="M41" s="104"/>
      <c r="N41" s="104"/>
      <c r="O41" s="104"/>
      <c r="P41" s="104"/>
      <c r="Q41" s="51"/>
      <c r="R41" s="51"/>
      <c r="S41" s="51"/>
      <c r="T41" s="146"/>
      <c r="U41" s="51"/>
    </row>
    <row r="42" spans="1:33" ht="11.25" customHeight="1" outlineLevel="1">
      <c r="C42" s="52"/>
      <c r="D42" s="16" t="s">
        <v>102</v>
      </c>
      <c r="E42" s="16" t="str">
        <f t="shared" si="46"/>
        <v>Per cent</v>
      </c>
      <c r="J42" s="143"/>
      <c r="K42" s="104"/>
      <c r="L42" s="104"/>
      <c r="M42" s="104"/>
      <c r="N42" s="104"/>
      <c r="O42" s="104"/>
      <c r="P42" s="104"/>
      <c r="Q42" s="51"/>
      <c r="R42" s="51"/>
      <c r="S42" s="51"/>
      <c r="T42" s="146"/>
      <c r="U42" s="51"/>
    </row>
    <row r="43" spans="1:33" ht="11.25" customHeight="1" outlineLevel="1">
      <c r="C43" s="52"/>
      <c r="D43" s="16" t="s">
        <v>102</v>
      </c>
      <c r="E43" s="16" t="str">
        <f t="shared" si="46"/>
        <v>Per cent</v>
      </c>
      <c r="J43" s="143"/>
      <c r="K43" s="104"/>
      <c r="L43" s="104"/>
      <c r="M43" s="104"/>
      <c r="N43" s="104"/>
      <c r="O43" s="104"/>
      <c r="P43" s="104"/>
      <c r="Q43" s="51"/>
      <c r="R43" s="51"/>
      <c r="S43" s="51"/>
      <c r="T43" s="146"/>
      <c r="U43" s="51"/>
    </row>
    <row r="44" spans="1:33" ht="11.25" customHeight="1" outlineLevel="1">
      <c r="C44" s="52"/>
      <c r="D44" s="16" t="s">
        <v>102</v>
      </c>
      <c r="E44" s="16" t="str">
        <f t="shared" si="46"/>
        <v>Per cent</v>
      </c>
      <c r="J44" s="143"/>
      <c r="K44" s="104"/>
      <c r="L44" s="104"/>
      <c r="M44" s="104"/>
      <c r="N44" s="104"/>
      <c r="O44" s="104"/>
      <c r="P44" s="104"/>
      <c r="Q44" s="51"/>
      <c r="R44" s="51"/>
      <c r="S44" s="51"/>
      <c r="T44" s="146"/>
      <c r="U44" s="51"/>
    </row>
    <row r="45" spans="1:33" ht="11.25" customHeight="1" outlineLevel="1">
      <c r="C45" s="52" t="s">
        <v>105</v>
      </c>
      <c r="D45" s="16" t="s">
        <v>102</v>
      </c>
      <c r="E45" s="16" t="str">
        <f t="shared" si="46"/>
        <v>Per cent</v>
      </c>
      <c r="J45" s="143"/>
      <c r="K45" s="104"/>
      <c r="L45" s="104"/>
      <c r="M45" s="104"/>
      <c r="N45" s="104"/>
      <c r="O45" s="168"/>
      <c r="P45" s="104"/>
      <c r="Q45" s="51">
        <v>0</v>
      </c>
      <c r="R45" s="51">
        <v>0</v>
      </c>
      <c r="S45" s="51">
        <v>0</v>
      </c>
      <c r="T45" s="51">
        <v>0</v>
      </c>
      <c r="U45" s="51">
        <v>0</v>
      </c>
    </row>
    <row r="46" spans="1:33" ht="11.25" customHeight="1" outlineLevel="1"/>
    <row r="47" spans="1:33" ht="11.25" customHeight="1" outlineLevel="1">
      <c r="C47" s="8" t="s">
        <v>106</v>
      </c>
      <c r="D47" s="16" t="s">
        <v>95</v>
      </c>
      <c r="E47" s="16" t="s">
        <v>107</v>
      </c>
      <c r="F47" s="16" t="s">
        <v>108</v>
      </c>
      <c r="J47" s="90" t="str">
        <f t="shared" ref="J47:S47" si="48">IF(J36=J4,IF(COUNTA($C38:$C45)=COUNT(J38:J45),"Ok","Check"),"")</f>
        <v/>
      </c>
      <c r="K47" s="90" t="str">
        <f t="shared" si="48"/>
        <v/>
      </c>
      <c r="L47" s="90" t="str">
        <f t="shared" si="48"/>
        <v/>
      </c>
      <c r="M47" s="90" t="str">
        <f t="shared" si="48"/>
        <v/>
      </c>
      <c r="N47" s="90" t="str">
        <f t="shared" si="48"/>
        <v/>
      </c>
      <c r="O47" s="90" t="str">
        <f t="shared" si="48"/>
        <v/>
      </c>
      <c r="P47" s="90" t="str">
        <f t="shared" si="48"/>
        <v/>
      </c>
      <c r="Q47" s="90" t="str">
        <f t="shared" si="48"/>
        <v>Ok</v>
      </c>
      <c r="R47" s="90" t="str">
        <f t="shared" si="48"/>
        <v>Ok</v>
      </c>
      <c r="S47" s="90" t="str">
        <f t="shared" si="48"/>
        <v>Ok</v>
      </c>
      <c r="T47" s="90" t="str">
        <f>IF(T36=T4,IF(COUNTA($C38:$C45)=COUNT(T38:T45),"Ok","Check"),"")</f>
        <v>Ok</v>
      </c>
      <c r="U47" s="90" t="str">
        <f>IF(U36=U4,IF(COUNTA($C38:$C45)=COUNT(U38:U45),"Ok","Check"),"")</f>
        <v>Ok</v>
      </c>
      <c r="W47" s="89" t="str">
        <f>IF(COUNTIF(J47:T47,"Check")=0,"Ok","Check")</f>
        <v>Ok</v>
      </c>
    </row>
    <row r="48" spans="1:33" ht="11.25" customHeight="1" outlineLevel="1"/>
    <row r="49" spans="1:50" ht="11.25" customHeight="1" outlineLevel="1">
      <c r="C49" s="9" t="s">
        <v>109</v>
      </c>
      <c r="D49" s="21" t="s">
        <v>33</v>
      </c>
      <c r="E49" s="21" t="s">
        <v>53</v>
      </c>
      <c r="J49" s="113"/>
      <c r="K49" s="113"/>
      <c r="L49" s="113"/>
      <c r="M49" s="113"/>
      <c r="N49" s="113"/>
      <c r="O49" s="113"/>
      <c r="P49" s="113"/>
      <c r="Q49" s="113">
        <f>Q4</f>
        <v>45444</v>
      </c>
      <c r="R49" s="113">
        <f t="shared" ref="R49:U49" si="49">R4</f>
        <v>45809</v>
      </c>
      <c r="S49" s="113">
        <f t="shared" si="49"/>
        <v>46174</v>
      </c>
      <c r="T49" s="113">
        <f t="shared" si="49"/>
        <v>46539</v>
      </c>
      <c r="U49" s="113">
        <f t="shared" si="49"/>
        <v>46905</v>
      </c>
    </row>
    <row r="50" spans="1:50" ht="11.25" customHeight="1" outlineLevel="1"/>
    <row r="51" spans="1:50" ht="11.25" customHeight="1" outlineLevel="1">
      <c r="C51" s="100" t="str">
        <f t="shared" ref="C51:C58" si="50">C38</f>
        <v>WPI - DAE</v>
      </c>
      <c r="D51" s="16" t="s">
        <v>102</v>
      </c>
      <c r="E51" s="16" t="str">
        <f t="shared" ref="E51:E58" si="51">percent</f>
        <v>Per cent</v>
      </c>
      <c r="J51" s="143"/>
      <c r="K51" s="104"/>
      <c r="L51" s="104"/>
      <c r="M51" s="104"/>
      <c r="N51" s="104"/>
      <c r="O51" s="104"/>
      <c r="P51" s="104"/>
      <c r="Q51" s="51">
        <v>0</v>
      </c>
      <c r="R51" s="51">
        <v>0</v>
      </c>
      <c r="S51" s="51">
        <v>0</v>
      </c>
      <c r="T51" s="51">
        <v>0</v>
      </c>
      <c r="U51" s="51">
        <v>0</v>
      </c>
    </row>
    <row r="52" spans="1:50" ht="11.25" customHeight="1" outlineLevel="1">
      <c r="C52" s="100" t="str">
        <f t="shared" si="50"/>
        <v>WPI - BIS Oxford</v>
      </c>
      <c r="D52" s="16" t="s">
        <v>102</v>
      </c>
      <c r="E52" s="16" t="str">
        <f t="shared" si="51"/>
        <v>Per cent</v>
      </c>
      <c r="J52" s="143"/>
      <c r="K52" s="104"/>
      <c r="L52" s="104"/>
      <c r="M52" s="104"/>
      <c r="N52" s="104"/>
      <c r="O52" s="104"/>
      <c r="P52" s="104"/>
      <c r="Q52" s="51">
        <v>0</v>
      </c>
      <c r="R52" s="51">
        <v>0</v>
      </c>
      <c r="S52" s="51">
        <v>0</v>
      </c>
      <c r="T52" s="51">
        <v>0</v>
      </c>
      <c r="U52" s="51">
        <v>0</v>
      </c>
    </row>
    <row r="53" spans="1:50" ht="11.25" customHeight="1" outlineLevel="1">
      <c r="C53" s="100" t="str">
        <f t="shared" si="50"/>
        <v>WPI - average</v>
      </c>
      <c r="D53" s="16" t="s">
        <v>102</v>
      </c>
      <c r="E53" s="16" t="str">
        <f t="shared" si="51"/>
        <v>Per cent</v>
      </c>
      <c r="J53" s="143"/>
      <c r="K53" s="104"/>
      <c r="L53" s="104"/>
      <c r="M53" s="104"/>
      <c r="N53" s="104"/>
      <c r="O53" s="104"/>
      <c r="P53" s="104"/>
      <c r="Q53" s="51">
        <v>0.62</v>
      </c>
      <c r="R53" s="51">
        <v>0.62</v>
      </c>
      <c r="S53" s="51">
        <v>0.62</v>
      </c>
      <c r="T53" s="51">
        <v>0.62</v>
      </c>
      <c r="U53" s="51">
        <v>0.62</v>
      </c>
      <c r="W53" s="191" t="s">
        <v>96</v>
      </c>
    </row>
    <row r="54" spans="1:50" ht="11.25" customHeight="1" outlineLevel="1">
      <c r="C54" s="100">
        <f t="shared" si="50"/>
        <v>0</v>
      </c>
      <c r="D54" s="16" t="s">
        <v>102</v>
      </c>
      <c r="E54" s="16" t="str">
        <f t="shared" si="51"/>
        <v>Per cent</v>
      </c>
      <c r="J54" s="143"/>
      <c r="K54" s="104"/>
      <c r="L54" s="104"/>
      <c r="M54" s="104"/>
      <c r="N54" s="104"/>
      <c r="O54" s="104"/>
      <c r="P54" s="104"/>
      <c r="Q54" s="51"/>
      <c r="R54" s="51"/>
      <c r="S54" s="51"/>
      <c r="T54" s="51"/>
      <c r="U54" s="51"/>
    </row>
    <row r="55" spans="1:50" ht="11.25" customHeight="1" outlineLevel="1">
      <c r="C55" s="100">
        <f t="shared" si="50"/>
        <v>0</v>
      </c>
      <c r="D55" s="16" t="s">
        <v>102</v>
      </c>
      <c r="E55" s="16" t="str">
        <f t="shared" si="51"/>
        <v>Per cent</v>
      </c>
      <c r="J55" s="143"/>
      <c r="K55" s="104"/>
      <c r="L55" s="104"/>
      <c r="M55" s="104"/>
      <c r="N55" s="104"/>
      <c r="O55" s="104"/>
      <c r="P55" s="104"/>
      <c r="Q55" s="51"/>
      <c r="R55" s="51"/>
      <c r="S55" s="51"/>
      <c r="T55" s="51"/>
      <c r="U55" s="51"/>
    </row>
    <row r="56" spans="1:50" ht="11.25" customHeight="1" outlineLevel="1">
      <c r="C56" s="100">
        <f t="shared" si="50"/>
        <v>0</v>
      </c>
      <c r="D56" s="16" t="s">
        <v>102</v>
      </c>
      <c r="E56" s="16" t="str">
        <f t="shared" si="51"/>
        <v>Per cent</v>
      </c>
      <c r="J56" s="143"/>
      <c r="K56" s="104"/>
      <c r="L56" s="104"/>
      <c r="M56" s="104"/>
      <c r="N56" s="104"/>
      <c r="O56" s="104"/>
      <c r="P56" s="104"/>
      <c r="Q56" s="51"/>
      <c r="R56" s="51"/>
      <c r="S56" s="51"/>
      <c r="T56" s="51"/>
      <c r="U56" s="51"/>
    </row>
    <row r="57" spans="1:50" ht="11.25" customHeight="1" outlineLevel="1">
      <c r="C57" s="100">
        <f t="shared" si="50"/>
        <v>0</v>
      </c>
      <c r="D57" s="16" t="s">
        <v>102</v>
      </c>
      <c r="E57" s="16" t="str">
        <f t="shared" si="51"/>
        <v>Per cent</v>
      </c>
      <c r="J57" s="143"/>
      <c r="K57" s="104"/>
      <c r="L57" s="104"/>
      <c r="M57" s="104"/>
      <c r="N57" s="104"/>
      <c r="O57" s="104"/>
      <c r="P57" s="104"/>
      <c r="Q57" s="51"/>
      <c r="R57" s="51"/>
      <c r="S57" s="51"/>
      <c r="T57" s="51"/>
      <c r="U57" s="51"/>
    </row>
    <row r="58" spans="1:50" ht="11.25" customHeight="1" outlineLevel="1">
      <c r="C58" s="100" t="str">
        <f t="shared" si="50"/>
        <v>CPI</v>
      </c>
      <c r="D58" s="16" t="s">
        <v>102</v>
      </c>
      <c r="E58" s="16" t="str">
        <f t="shared" si="51"/>
        <v>Per cent</v>
      </c>
      <c r="J58" s="143"/>
      <c r="K58" s="104"/>
      <c r="L58" s="104"/>
      <c r="M58" s="104"/>
      <c r="N58" s="104"/>
      <c r="O58" s="104"/>
      <c r="P58" s="104"/>
      <c r="Q58" s="51">
        <v>0.38</v>
      </c>
      <c r="R58" s="51">
        <v>0.38</v>
      </c>
      <c r="S58" s="51">
        <v>0.38</v>
      </c>
      <c r="T58" s="51">
        <v>0.38</v>
      </c>
      <c r="U58" s="51">
        <v>0.38</v>
      </c>
    </row>
    <row r="59" spans="1:50" ht="11.25" customHeight="1" outlineLevel="1"/>
    <row r="60" spans="1:50" outlineLevel="1">
      <c r="C60" s="8" t="s">
        <v>106</v>
      </c>
      <c r="D60" s="16" t="s">
        <v>95</v>
      </c>
      <c r="E60" s="16" t="s">
        <v>107</v>
      </c>
      <c r="F60" s="16" t="s">
        <v>108</v>
      </c>
      <c r="J60" s="90"/>
      <c r="K60" s="90"/>
      <c r="L60" s="90"/>
      <c r="M60" s="90"/>
      <c r="N60" s="90"/>
      <c r="O60" s="90"/>
      <c r="P60" s="90"/>
      <c r="Q60" s="90" t="str">
        <f t="shared" ref="Q60:S60" si="52">IF(Q49=Q$4,IF(SUM(Q51:Q58)=1,"Ok","Check"),"")</f>
        <v>Ok</v>
      </c>
      <c r="R60" s="90" t="str">
        <f t="shared" si="52"/>
        <v>Ok</v>
      </c>
      <c r="S60" s="90" t="str">
        <f t="shared" si="52"/>
        <v>Ok</v>
      </c>
      <c r="T60" s="90" t="str">
        <f>IF(T49=T$4,IF(SUM(T51:T58)=1,"Ok","Check"),"")</f>
        <v>Ok</v>
      </c>
      <c r="U60" s="90" t="str">
        <f>IF(U49=U$4,IF(SUM(U51:U58)=1,"Ok","Check"),"")</f>
        <v>Ok</v>
      </c>
      <c r="W60" s="89" t="str">
        <f>IF(COUNTIF(J60:T60,"Check")=0,"Ok","Check")</f>
        <v>Ok</v>
      </c>
    </row>
    <row r="61" spans="1:50"/>
    <row r="62" spans="1:50" customFormat="1" ht="12.75">
      <c r="A62" s="37"/>
      <c r="B62" s="43" t="s">
        <v>110</v>
      </c>
      <c r="C62" s="37"/>
      <c r="D62" s="37"/>
      <c r="E62" s="37"/>
      <c r="F62" s="38"/>
      <c r="G62" s="38"/>
      <c r="H62" s="38"/>
      <c r="I62" s="38"/>
      <c r="J62" s="38"/>
      <c r="K62" s="39"/>
      <c r="L62" s="40"/>
      <c r="M62" s="39"/>
      <c r="N62" s="40"/>
      <c r="O62" s="39"/>
      <c r="P62" s="39"/>
      <c r="Q62" s="39"/>
      <c r="R62" s="39"/>
      <c r="S62" s="39"/>
      <c r="T62" s="39"/>
      <c r="U62" s="39"/>
      <c r="V62" s="39"/>
      <c r="W62" s="40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50" outlineLevel="1">
      <c r="G63" s="21"/>
      <c r="H63" s="21"/>
      <c r="Q63" s="157"/>
      <c r="R63" s="157"/>
      <c r="S63" s="157"/>
      <c r="T63" s="157"/>
      <c r="U63" s="157"/>
    </row>
    <row r="64" spans="1:50" outlineLevel="1">
      <c r="C64" s="9" t="s">
        <v>111</v>
      </c>
      <c r="D64" s="21" t="s">
        <v>33</v>
      </c>
      <c r="E64" s="21" t="s">
        <v>53</v>
      </c>
      <c r="F64" s="21" t="s">
        <v>59</v>
      </c>
      <c r="G64" s="21"/>
      <c r="H64" s="21"/>
      <c r="J64" s="113"/>
      <c r="K64" s="113"/>
      <c r="L64" s="113"/>
      <c r="M64" s="113"/>
      <c r="N64" s="113"/>
      <c r="O64" s="113"/>
      <c r="P64" s="113">
        <f>P4</f>
        <v>45078</v>
      </c>
      <c r="Q64" s="113">
        <f t="shared" ref="Q64:U64" si="53">Q4</f>
        <v>45444</v>
      </c>
      <c r="R64" s="113">
        <f t="shared" si="53"/>
        <v>45809</v>
      </c>
      <c r="S64" s="113">
        <f t="shared" si="53"/>
        <v>46174</v>
      </c>
      <c r="T64" s="113">
        <f t="shared" si="53"/>
        <v>46539</v>
      </c>
      <c r="U64" s="113">
        <f t="shared" si="53"/>
        <v>46905</v>
      </c>
      <c r="W64" s="199" t="s">
        <v>112</v>
      </c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</row>
    <row r="65" spans="3:35" ht="12" outlineLevel="1" thickBot="1">
      <c r="C65" s="15"/>
      <c r="G65" s="21"/>
      <c r="H65" s="21"/>
      <c r="K65" s="23"/>
      <c r="L65" s="23"/>
      <c r="M65" s="23"/>
      <c r="N65" s="23"/>
      <c r="O65" s="23"/>
      <c r="P65" s="182" t="s">
        <v>113</v>
      </c>
      <c r="Q65" s="189" t="s">
        <v>113</v>
      </c>
      <c r="R65" s="189" t="s">
        <v>113</v>
      </c>
      <c r="S65" s="157"/>
      <c r="T65" s="157"/>
      <c r="U65" s="157"/>
    </row>
    <row r="66" spans="3:35" outlineLevel="1">
      <c r="C66" s="52" t="s">
        <v>114</v>
      </c>
      <c r="D66" s="16" t="s">
        <v>102</v>
      </c>
      <c r="E66" s="16" t="s">
        <v>115</v>
      </c>
      <c r="F66" s="16" t="s">
        <v>108</v>
      </c>
      <c r="G66" s="21"/>
      <c r="H66" s="21"/>
      <c r="J66" s="143"/>
      <c r="K66" s="137"/>
      <c r="L66" s="137"/>
      <c r="M66" s="137"/>
      <c r="N66" s="137"/>
      <c r="O66" s="138"/>
      <c r="P66" s="183">
        <v>779612.48511496116</v>
      </c>
      <c r="Q66" s="184">
        <v>792536.93120389292</v>
      </c>
      <c r="R66" s="174">
        <v>800063.06523665751</v>
      </c>
      <c r="S66" s="194">
        <f>R66*(1+S77)</f>
        <v>802482.17220713699</v>
      </c>
      <c r="T66" s="194">
        <f>S66*(1+T77)</f>
        <v>800307.79604560148</v>
      </c>
      <c r="U66" s="194">
        <f>T66*(1+U77)</f>
        <v>794292.77499816939</v>
      </c>
      <c r="V66" s="181"/>
      <c r="X66" s="181"/>
    </row>
    <row r="67" spans="3:35" outlineLevel="1">
      <c r="C67" s="52" t="s">
        <v>116</v>
      </c>
      <c r="D67" s="16" t="s">
        <v>102</v>
      </c>
      <c r="E67" s="16" t="s">
        <v>115</v>
      </c>
      <c r="F67" s="16" t="s">
        <v>108</v>
      </c>
      <c r="G67" s="21"/>
      <c r="H67" s="21"/>
      <c r="J67" s="143"/>
      <c r="K67" s="137"/>
      <c r="L67" s="137"/>
      <c r="M67" s="137"/>
      <c r="N67" s="137"/>
      <c r="O67" s="138"/>
      <c r="P67" s="185">
        <v>12573.6982574065</v>
      </c>
      <c r="Q67" s="186">
        <v>12833.373820990941</v>
      </c>
      <c r="R67" s="174">
        <v>13058.329161249871</v>
      </c>
      <c r="S67" s="174">
        <v>13119.81158598653</v>
      </c>
      <c r="T67" s="174">
        <v>13216.766830867855</v>
      </c>
      <c r="U67" s="174">
        <v>13251.289543627034</v>
      </c>
      <c r="V67" s="181"/>
      <c r="X67" s="181"/>
    </row>
    <row r="68" spans="3:35" ht="12" outlineLevel="1" thickBot="1">
      <c r="C68" s="52" t="s">
        <v>117</v>
      </c>
      <c r="D68" s="16" t="s">
        <v>102</v>
      </c>
      <c r="E68" s="16" t="s">
        <v>115</v>
      </c>
      <c r="F68" s="16" t="s">
        <v>108</v>
      </c>
      <c r="G68" s="21"/>
      <c r="H68" s="21"/>
      <c r="J68" s="143"/>
      <c r="K68" s="137"/>
      <c r="L68" s="137"/>
      <c r="M68" s="137"/>
      <c r="N68" s="137"/>
      <c r="O68" s="138"/>
      <c r="P68" s="187">
        <v>65715.469409492842</v>
      </c>
      <c r="Q68" s="188">
        <v>64806.753739237749</v>
      </c>
      <c r="R68" s="138">
        <v>63565.527081328153</v>
      </c>
      <c r="S68" s="190">
        <f>R68*(1+S79)</f>
        <v>61760.354657104261</v>
      </c>
      <c r="T68" s="190">
        <f t="shared" ref="T68:U68" si="54">S68*(1+T79)</f>
        <v>59284.546766748477</v>
      </c>
      <c r="U68" s="190">
        <f t="shared" si="54"/>
        <v>56199.724318584013</v>
      </c>
      <c r="V68" s="181"/>
      <c r="X68" s="181"/>
    </row>
    <row r="69" spans="3:35" outlineLevel="1">
      <c r="C69" s="52"/>
      <c r="D69" s="16" t="s">
        <v>102</v>
      </c>
      <c r="E69" s="16" t="s">
        <v>115</v>
      </c>
      <c r="F69" s="16" t="s">
        <v>108</v>
      </c>
      <c r="G69" s="21"/>
      <c r="H69" s="21"/>
      <c r="J69" s="143"/>
      <c r="K69" s="137"/>
      <c r="L69" s="137"/>
      <c r="M69" s="137"/>
      <c r="N69" s="137"/>
      <c r="O69" s="138"/>
      <c r="P69" s="138"/>
      <c r="Q69" s="138"/>
      <c r="R69" s="159"/>
      <c r="S69" s="138"/>
      <c r="T69" s="138"/>
      <c r="U69" s="138"/>
      <c r="AF69" s="157"/>
      <c r="AG69" s="157"/>
      <c r="AH69" s="157"/>
      <c r="AI69" s="157"/>
    </row>
    <row r="70" spans="3:35" outlineLevel="1">
      <c r="C70" s="52"/>
      <c r="D70" s="16" t="s">
        <v>102</v>
      </c>
      <c r="E70" s="16" t="s">
        <v>115</v>
      </c>
      <c r="F70" s="16" t="s">
        <v>108</v>
      </c>
      <c r="G70" s="21"/>
      <c r="H70" s="21"/>
      <c r="J70" s="143"/>
      <c r="K70" s="137"/>
      <c r="L70" s="137"/>
      <c r="M70" s="137"/>
      <c r="N70" s="137"/>
      <c r="O70" s="138"/>
      <c r="P70" s="138"/>
      <c r="Q70" s="138"/>
      <c r="R70" s="138"/>
      <c r="S70" s="138"/>
      <c r="T70" s="138"/>
      <c r="U70" s="138"/>
    </row>
    <row r="71" spans="3:35" outlineLevel="1">
      <c r="C71" s="52"/>
      <c r="D71" s="16" t="s">
        <v>102</v>
      </c>
      <c r="E71" s="16" t="s">
        <v>115</v>
      </c>
      <c r="F71" s="16" t="s">
        <v>108</v>
      </c>
      <c r="G71" s="21"/>
      <c r="H71" s="21"/>
      <c r="J71" s="143"/>
      <c r="K71" s="137"/>
      <c r="L71" s="137"/>
      <c r="M71" s="137"/>
      <c r="N71" s="137"/>
      <c r="O71" s="138"/>
      <c r="P71" s="138"/>
      <c r="Q71" s="138"/>
      <c r="R71" s="138"/>
      <c r="S71" s="138"/>
      <c r="T71" s="138"/>
      <c r="U71" s="138"/>
    </row>
    <row r="72" spans="3:35" outlineLevel="1">
      <c r="C72" s="15"/>
      <c r="G72" s="21"/>
      <c r="H72" s="21"/>
      <c r="K72" s="23"/>
      <c r="L72" s="23"/>
      <c r="M72" s="23"/>
      <c r="N72" s="23"/>
      <c r="O72" s="23"/>
    </row>
    <row r="73" spans="3:35" outlineLevel="1">
      <c r="C73" s="8" t="s">
        <v>106</v>
      </c>
      <c r="D73" s="16" t="s">
        <v>95</v>
      </c>
      <c r="E73" s="16" t="s">
        <v>107</v>
      </c>
      <c r="F73" s="16" t="s">
        <v>108</v>
      </c>
      <c r="J73" s="90" t="str">
        <f t="shared" ref="J73:S73" si="55">IF(J64=J$4,IF(COUNTA($C66:$C71)=COUNT(J66:J71),"Ok","Check"),"")</f>
        <v/>
      </c>
      <c r="K73" s="90" t="str">
        <f t="shared" si="55"/>
        <v/>
      </c>
      <c r="L73" s="90" t="str">
        <f t="shared" si="55"/>
        <v/>
      </c>
      <c r="M73" s="90" t="str">
        <f t="shared" si="55"/>
        <v/>
      </c>
      <c r="N73" s="90" t="str">
        <f t="shared" si="55"/>
        <v/>
      </c>
      <c r="O73" s="90"/>
      <c r="P73" s="90" t="str">
        <f t="shared" si="55"/>
        <v>Ok</v>
      </c>
      <c r="Q73" s="90" t="str">
        <f t="shared" si="55"/>
        <v>Ok</v>
      </c>
      <c r="R73" s="90" t="str">
        <f t="shared" si="55"/>
        <v>Ok</v>
      </c>
      <c r="S73" s="90" t="str">
        <f t="shared" si="55"/>
        <v>Ok</v>
      </c>
      <c r="T73" s="90" t="str">
        <f>IF(T64=T$4,IF(COUNTA($C66:$C71)=COUNT(T66:T71),"Ok","Check"),"")</f>
        <v>Ok</v>
      </c>
      <c r="U73" s="90" t="str">
        <f>IF(U64=U$4,IF(COUNTA($C66:$C71)=COUNT(U66:U71),"Ok","Check"),"")</f>
        <v>Ok</v>
      </c>
      <c r="W73" s="89" t="str">
        <f>IF(COUNTIF(J73:T73,"Check")=0,"Ok","Check")</f>
        <v>Ok</v>
      </c>
    </row>
    <row r="74" spans="3:35" outlineLevel="1">
      <c r="C74" s="15"/>
      <c r="G74" s="21"/>
      <c r="H74" s="21"/>
      <c r="K74" s="23"/>
      <c r="L74" s="23"/>
      <c r="M74" s="23"/>
      <c r="N74" s="23"/>
      <c r="O74" s="23"/>
    </row>
    <row r="75" spans="3:35" outlineLevel="1">
      <c r="C75" s="9" t="s">
        <v>118</v>
      </c>
      <c r="D75" s="21" t="s">
        <v>33</v>
      </c>
      <c r="E75" s="21" t="s">
        <v>53</v>
      </c>
      <c r="F75" s="21" t="s">
        <v>59</v>
      </c>
      <c r="G75" s="21"/>
      <c r="H75" s="21"/>
      <c r="J75" s="113"/>
      <c r="K75" s="113"/>
      <c r="L75" s="113"/>
      <c r="M75" s="113"/>
      <c r="N75" s="113"/>
      <c r="O75" s="113"/>
      <c r="P75" s="113"/>
      <c r="Q75" s="113">
        <f>Q4</f>
        <v>45444</v>
      </c>
      <c r="R75" s="113">
        <f t="shared" ref="R75:U75" si="56">R4</f>
        <v>45809</v>
      </c>
      <c r="S75" s="113">
        <f t="shared" si="56"/>
        <v>46174</v>
      </c>
      <c r="T75" s="113">
        <f t="shared" si="56"/>
        <v>46539</v>
      </c>
      <c r="U75" s="113">
        <f t="shared" si="56"/>
        <v>46905</v>
      </c>
    </row>
    <row r="76" spans="3:35" outlineLevel="1">
      <c r="C76" s="15"/>
      <c r="G76" s="21"/>
      <c r="H76" s="21"/>
      <c r="K76" s="23"/>
      <c r="L76" s="23"/>
      <c r="M76" s="23"/>
      <c r="N76" s="23"/>
      <c r="O76" s="23"/>
      <c r="AA76" s="56"/>
      <c r="AB76" s="56"/>
      <c r="AC76" s="56"/>
      <c r="AD76" s="56"/>
      <c r="AE76" s="56"/>
      <c r="AF76" s="56"/>
    </row>
    <row r="77" spans="3:35" outlineLevel="1">
      <c r="C77" s="100" t="str">
        <f>C66</f>
        <v>Customer numbers (#)</v>
      </c>
      <c r="D77" s="16" t="s">
        <v>95</v>
      </c>
      <c r="E77" s="16" t="s">
        <v>115</v>
      </c>
      <c r="F77" s="16" t="s">
        <v>108</v>
      </c>
      <c r="G77" s="21"/>
      <c r="H77" s="21"/>
      <c r="J77" s="78" t="str">
        <f t="shared" ref="J77:M77" si="57">IF(ISBLANK(I66),"",IF(ISBLANK(J66),"",LN(J66)-LN(I66)))</f>
        <v/>
      </c>
      <c r="K77" s="78" t="str">
        <f t="shared" si="57"/>
        <v/>
      </c>
      <c r="L77" s="78" t="str">
        <f t="shared" si="57"/>
        <v/>
      </c>
      <c r="M77" s="78" t="str">
        <f t="shared" si="57"/>
        <v/>
      </c>
      <c r="N77" s="78" t="str">
        <f>IF(ISBLANK(M66),"",IF(ISBLANK(N66),"",LN(N66)-LN(M66)))</f>
        <v/>
      </c>
      <c r="O77" s="78" t="str">
        <f t="shared" ref="O77:P77" si="58">IF(ISBLANK(N66),"",IF(ISBLANK(O66),"",LN(O66)-LN(N66)))</f>
        <v/>
      </c>
      <c r="P77" s="78" t="str">
        <f t="shared" si="58"/>
        <v/>
      </c>
      <c r="Q77" s="78">
        <f>IF(ISBLANK(P66),"",IF(ISBLANK(Q66),"",LN(Q66)-LN(P66)))</f>
        <v>1.6442123278324061E-2</v>
      </c>
      <c r="R77" s="78">
        <f>IF(ISBLANK(Q66),"",IF(ISBLANK(R66),"",LN(R66)-LN(Q66)))</f>
        <v>9.4514505528664472E-3</v>
      </c>
      <c r="S77" s="193">
        <v>3.0236453544621416E-3</v>
      </c>
      <c r="T77" s="193">
        <v>-2.7095631988372977E-3</v>
      </c>
      <c r="U77" s="193">
        <v>-7.5158846098375941E-3</v>
      </c>
    </row>
    <row r="78" spans="3:35" outlineLevel="1">
      <c r="C78" s="100" t="str">
        <f t="shared" ref="C78:C82" si="59">C67</f>
        <v>Mains length</v>
      </c>
      <c r="D78" s="16" t="s">
        <v>95</v>
      </c>
      <c r="E78" s="16" t="s">
        <v>115</v>
      </c>
      <c r="F78" s="16" t="s">
        <v>108</v>
      </c>
      <c r="G78" s="21"/>
      <c r="H78" s="21"/>
      <c r="J78" s="78" t="str">
        <f t="shared" ref="J78:T78" si="60">IF(ISBLANK(I67),"",IF(ISBLANK(J67),"",LN(J67)-LN(I67)))</f>
        <v/>
      </c>
      <c r="K78" s="78" t="str">
        <f t="shared" si="60"/>
        <v/>
      </c>
      <c r="L78" s="78" t="str">
        <f t="shared" si="60"/>
        <v/>
      </c>
      <c r="M78" s="78" t="str">
        <f t="shared" si="60"/>
        <v/>
      </c>
      <c r="N78" s="78" t="str">
        <f t="shared" si="60"/>
        <v/>
      </c>
      <c r="O78" s="78" t="str">
        <f t="shared" si="60"/>
        <v/>
      </c>
      <c r="P78" s="78" t="str">
        <f t="shared" si="60"/>
        <v/>
      </c>
      <c r="Q78" s="78">
        <f>IF(ISBLANK(P67),"",IF(ISBLANK(Q67),"",LN(Q67)-LN(P67)))</f>
        <v>2.0441915173341485E-2</v>
      </c>
      <c r="R78" s="78">
        <f>IF(ISBLANK(Q67),"",IF(ISBLANK(R67),"",LN(R67)-LN(Q67)))</f>
        <v>1.7377072574999985E-2</v>
      </c>
      <c r="S78" s="78">
        <f t="shared" si="60"/>
        <v>4.697242510564692E-3</v>
      </c>
      <c r="T78" s="78">
        <f t="shared" si="60"/>
        <v>7.3628154234874899E-3</v>
      </c>
      <c r="U78" s="78">
        <f>IF(ISBLANK(T67),"",IF(ISBLANK(U67),"",LN(U67)-LN(T67)))</f>
        <v>2.6086337317625663E-3</v>
      </c>
    </row>
    <row r="79" spans="3:35" outlineLevel="1">
      <c r="C79" s="100" t="str">
        <f t="shared" si="59"/>
        <v>Energy throughput</v>
      </c>
      <c r="D79" s="16" t="s">
        <v>95</v>
      </c>
      <c r="E79" s="16" t="s">
        <v>115</v>
      </c>
      <c r="F79" s="16" t="s">
        <v>108</v>
      </c>
      <c r="G79" s="21"/>
      <c r="H79" s="21"/>
      <c r="J79" s="78" t="str">
        <f t="shared" ref="J79:R79" si="61">IF(ISBLANK(I68),"",IF(ISBLANK(J68),"",LN(J68)-LN(I68)))</f>
        <v/>
      </c>
      <c r="K79" s="78" t="str">
        <f t="shared" si="61"/>
        <v/>
      </c>
      <c r="L79" s="78" t="str">
        <f t="shared" si="61"/>
        <v/>
      </c>
      <c r="M79" s="78" t="str">
        <f t="shared" si="61"/>
        <v/>
      </c>
      <c r="N79" s="78" t="str">
        <f t="shared" si="61"/>
        <v/>
      </c>
      <c r="O79" s="78" t="str">
        <f t="shared" si="61"/>
        <v/>
      </c>
      <c r="P79" s="78" t="str">
        <f t="shared" si="61"/>
        <v/>
      </c>
      <c r="Q79" s="78">
        <f t="shared" si="61"/>
        <v>-1.3924530720551331E-2</v>
      </c>
      <c r="R79" s="78">
        <f t="shared" si="61"/>
        <v>-1.9338525925014949E-2</v>
      </c>
      <c r="S79" s="193">
        <v>-2.839860702978653E-2</v>
      </c>
      <c r="T79" s="193">
        <v>-4.0087332789805981E-2</v>
      </c>
      <c r="U79" s="193">
        <v>-5.2034174441807191E-2</v>
      </c>
    </row>
    <row r="80" spans="3:35" outlineLevel="1">
      <c r="C80" s="100">
        <f t="shared" si="59"/>
        <v>0</v>
      </c>
      <c r="D80" s="16" t="s">
        <v>95</v>
      </c>
      <c r="E80" s="16" t="s">
        <v>115</v>
      </c>
      <c r="F80" s="16" t="s">
        <v>108</v>
      </c>
      <c r="G80" s="21"/>
      <c r="H80" s="21"/>
      <c r="J80" s="78" t="str">
        <f t="shared" ref="J80:U80" si="62">IF(ISBLANK(I69),"",IF(ISBLANK(J69),"",LN(J69)-LN(I69)))</f>
        <v/>
      </c>
      <c r="K80" s="78" t="str">
        <f t="shared" si="62"/>
        <v/>
      </c>
      <c r="L80" s="78" t="str">
        <f t="shared" si="62"/>
        <v/>
      </c>
      <c r="M80" s="78" t="str">
        <f t="shared" si="62"/>
        <v/>
      </c>
      <c r="N80" s="78" t="str">
        <f t="shared" si="62"/>
        <v/>
      </c>
      <c r="O80" s="78" t="str">
        <f t="shared" si="62"/>
        <v/>
      </c>
      <c r="P80" s="78" t="str">
        <f t="shared" si="62"/>
        <v/>
      </c>
      <c r="Q80" s="78" t="str">
        <f t="shared" si="62"/>
        <v/>
      </c>
      <c r="R80" s="78" t="str">
        <f t="shared" si="62"/>
        <v/>
      </c>
      <c r="S80" s="78" t="str">
        <f t="shared" si="62"/>
        <v/>
      </c>
      <c r="T80" s="78" t="str">
        <f t="shared" si="62"/>
        <v/>
      </c>
      <c r="U80" s="78" t="str">
        <f t="shared" si="62"/>
        <v/>
      </c>
    </row>
    <row r="81" spans="3:38" outlineLevel="1">
      <c r="C81" s="100">
        <f t="shared" si="59"/>
        <v>0</v>
      </c>
      <c r="D81" s="16" t="s">
        <v>95</v>
      </c>
      <c r="E81" s="16" t="s">
        <v>115</v>
      </c>
      <c r="F81" s="16" t="s">
        <v>108</v>
      </c>
      <c r="G81" s="21"/>
      <c r="H81" s="21"/>
      <c r="J81" s="78" t="str">
        <f t="shared" ref="J81:U81" si="63">IF(ISBLANK(I70),"",IF(ISBLANK(J70),"",LN(J70)-LN(I70)))</f>
        <v/>
      </c>
      <c r="K81" s="78" t="str">
        <f t="shared" si="63"/>
        <v/>
      </c>
      <c r="L81" s="78" t="str">
        <f t="shared" si="63"/>
        <v/>
      </c>
      <c r="M81" s="78" t="str">
        <f t="shared" si="63"/>
        <v/>
      </c>
      <c r="N81" s="78" t="str">
        <f t="shared" si="63"/>
        <v/>
      </c>
      <c r="O81" s="78" t="str">
        <f t="shared" si="63"/>
        <v/>
      </c>
      <c r="P81" s="78" t="str">
        <f t="shared" si="63"/>
        <v/>
      </c>
      <c r="Q81" s="78" t="str">
        <f t="shared" si="63"/>
        <v/>
      </c>
      <c r="R81" s="78" t="str">
        <f t="shared" si="63"/>
        <v/>
      </c>
      <c r="S81" s="78" t="str">
        <f t="shared" si="63"/>
        <v/>
      </c>
      <c r="T81" s="78" t="str">
        <f t="shared" si="63"/>
        <v/>
      </c>
      <c r="U81" s="78" t="str">
        <f t="shared" si="63"/>
        <v/>
      </c>
    </row>
    <row r="82" spans="3:38" outlineLevel="1">
      <c r="C82" s="100">
        <f t="shared" si="59"/>
        <v>0</v>
      </c>
      <c r="D82" s="16" t="s">
        <v>95</v>
      </c>
      <c r="E82" s="16" t="s">
        <v>115</v>
      </c>
      <c r="F82" s="16" t="s">
        <v>108</v>
      </c>
      <c r="G82" s="21"/>
      <c r="H82" s="21"/>
      <c r="J82" s="78" t="str">
        <f t="shared" ref="J82:U82" si="64">IF(ISBLANK(I71),"",IF(ISBLANK(J71),"",LN(J71)-LN(I71)))</f>
        <v/>
      </c>
      <c r="K82" s="78" t="str">
        <f t="shared" si="64"/>
        <v/>
      </c>
      <c r="L82" s="78" t="str">
        <f t="shared" si="64"/>
        <v/>
      </c>
      <c r="M82" s="78" t="str">
        <f t="shared" si="64"/>
        <v/>
      </c>
      <c r="N82" s="78" t="str">
        <f t="shared" si="64"/>
        <v/>
      </c>
      <c r="O82" s="78" t="str">
        <f t="shared" si="64"/>
        <v/>
      </c>
      <c r="P82" s="78" t="str">
        <f t="shared" si="64"/>
        <v/>
      </c>
      <c r="Q82" s="78" t="str">
        <f t="shared" si="64"/>
        <v/>
      </c>
      <c r="R82" s="78" t="str">
        <f t="shared" si="64"/>
        <v/>
      </c>
      <c r="S82" s="78" t="str">
        <f t="shared" si="64"/>
        <v/>
      </c>
      <c r="T82" s="78" t="str">
        <f t="shared" si="64"/>
        <v/>
      </c>
      <c r="U82" s="78" t="str">
        <f t="shared" si="64"/>
        <v/>
      </c>
    </row>
    <row r="83" spans="3:38" outlineLevel="1">
      <c r="C83" s="15"/>
      <c r="G83" s="21"/>
      <c r="H83" s="21"/>
      <c r="K83" s="23"/>
      <c r="L83" s="23"/>
      <c r="M83" s="23"/>
      <c r="N83" s="23"/>
      <c r="O83" s="23"/>
    </row>
    <row r="84" spans="3:38" outlineLevel="1">
      <c r="C84" s="9" t="s">
        <v>119</v>
      </c>
      <c r="D84" s="21" t="s">
        <v>33</v>
      </c>
      <c r="E84" s="21" t="s">
        <v>53</v>
      </c>
      <c r="F84" s="21" t="s">
        <v>59</v>
      </c>
      <c r="G84" s="21"/>
      <c r="H84" s="21"/>
      <c r="J84" s="148" t="s">
        <v>120</v>
      </c>
      <c r="K84" s="148" t="s">
        <v>121</v>
      </c>
      <c r="L84" s="148" t="s">
        <v>122</v>
      </c>
      <c r="M84" s="148" t="s">
        <v>123</v>
      </c>
      <c r="N84" s="148"/>
      <c r="O84" s="113"/>
      <c r="P84" s="113"/>
      <c r="Q84" s="113"/>
      <c r="R84" s="113"/>
      <c r="S84" s="113"/>
      <c r="T84" s="113"/>
    </row>
    <row r="85" spans="3:38" outlineLevel="1">
      <c r="C85" s="15"/>
      <c r="G85" s="21"/>
      <c r="H85" s="21"/>
      <c r="K85" s="23"/>
      <c r="L85" s="23"/>
      <c r="M85" s="23"/>
      <c r="N85" s="16"/>
      <c r="O85" s="71"/>
      <c r="P85" s="71"/>
      <c r="Q85" s="71"/>
      <c r="R85" s="71"/>
      <c r="S85" s="71"/>
      <c r="T85" s="71"/>
    </row>
    <row r="86" spans="3:38" outlineLevel="1">
      <c r="C86" s="100" t="str">
        <f>C66</f>
        <v>Customer numbers (#)</v>
      </c>
      <c r="D86" s="16" t="s">
        <v>102</v>
      </c>
      <c r="E86" s="16" t="s">
        <v>115</v>
      </c>
      <c r="F86" s="16" t="s">
        <v>108</v>
      </c>
      <c r="G86" s="21"/>
      <c r="H86" s="21"/>
      <c r="J86" s="154">
        <v>0.27047146401985112</v>
      </c>
      <c r="K86" s="154">
        <v>0.73522458628841614</v>
      </c>
      <c r="L86" s="154">
        <v>0.79805013927576596</v>
      </c>
      <c r="M86" s="154">
        <v>0.96057681125712291</v>
      </c>
      <c r="N86" s="154"/>
      <c r="O86" s="179"/>
      <c r="P86" s="180"/>
      <c r="Q86" s="180"/>
      <c r="R86" s="135"/>
      <c r="S86" s="135"/>
      <c r="T86" s="135"/>
      <c r="W86" s="191" t="s">
        <v>96</v>
      </c>
    </row>
    <row r="87" spans="3:38" outlineLevel="1">
      <c r="C87" s="100" t="str">
        <f t="shared" ref="C87:C91" si="65">C67</f>
        <v>Mains length</v>
      </c>
      <c r="D87" s="16" t="s">
        <v>102</v>
      </c>
      <c r="E87" s="16" t="s">
        <v>115</v>
      </c>
      <c r="F87" s="16" t="s">
        <v>108</v>
      </c>
      <c r="G87" s="21"/>
      <c r="H87" s="21"/>
      <c r="J87" s="154">
        <v>0.72952853598014888</v>
      </c>
      <c r="K87" s="154">
        <v>0.26477541371158392</v>
      </c>
      <c r="L87" s="154">
        <v>0</v>
      </c>
      <c r="M87" s="154">
        <v>0</v>
      </c>
      <c r="N87" s="154"/>
      <c r="O87" s="179"/>
      <c r="P87" s="180"/>
      <c r="Q87" s="180"/>
      <c r="R87" s="135"/>
      <c r="S87" s="135"/>
      <c r="T87" s="135"/>
    </row>
    <row r="88" spans="3:38" outlineLevel="1">
      <c r="C88" s="100" t="str">
        <f t="shared" si="65"/>
        <v>Energy throughput</v>
      </c>
      <c r="D88" s="16" t="s">
        <v>102</v>
      </c>
      <c r="E88" s="16" t="s">
        <v>115</v>
      </c>
      <c r="F88" s="16" t="s">
        <v>108</v>
      </c>
      <c r="G88" s="21"/>
      <c r="H88" s="21"/>
      <c r="J88" s="154">
        <v>0</v>
      </c>
      <c r="K88" s="154">
        <v>0</v>
      </c>
      <c r="L88" s="154">
        <v>0.20194986072423399</v>
      </c>
      <c r="M88" s="154">
        <v>3.9423188742877077E-2</v>
      </c>
      <c r="N88" s="154"/>
      <c r="O88" s="179"/>
      <c r="P88" s="180"/>
      <c r="Q88" s="180"/>
      <c r="R88" s="135"/>
      <c r="S88" s="135"/>
      <c r="T88" s="135"/>
    </row>
    <row r="89" spans="3:38" outlineLevel="1">
      <c r="C89" s="100">
        <f t="shared" si="65"/>
        <v>0</v>
      </c>
      <c r="D89" s="16" t="s">
        <v>102</v>
      </c>
      <c r="E89" s="16" t="s">
        <v>115</v>
      </c>
      <c r="F89" s="16" t="s">
        <v>108</v>
      </c>
      <c r="G89" s="21"/>
      <c r="H89" s="21"/>
      <c r="J89" s="154"/>
      <c r="K89" s="154"/>
      <c r="L89" s="154"/>
      <c r="M89" s="154"/>
      <c r="N89" s="154"/>
      <c r="O89" s="135"/>
      <c r="P89" s="135"/>
      <c r="Q89" s="135"/>
      <c r="R89" s="135"/>
      <c r="S89" s="135"/>
      <c r="T89" s="135"/>
    </row>
    <row r="90" spans="3:38" outlineLevel="1">
      <c r="C90" s="100">
        <f t="shared" si="65"/>
        <v>0</v>
      </c>
      <c r="D90" s="16" t="s">
        <v>102</v>
      </c>
      <c r="E90" s="16" t="s">
        <v>115</v>
      </c>
      <c r="F90" s="16" t="s">
        <v>108</v>
      </c>
      <c r="G90" s="21"/>
      <c r="H90" s="21"/>
      <c r="J90" s="52"/>
      <c r="K90" s="52"/>
      <c r="L90" s="52"/>
      <c r="M90" s="52"/>
      <c r="N90" s="52"/>
      <c r="O90" s="135"/>
      <c r="P90" s="135"/>
      <c r="Q90" s="135"/>
      <c r="R90" s="135"/>
      <c r="S90" s="135"/>
      <c r="T90" s="135"/>
    </row>
    <row r="91" spans="3:38" outlineLevel="1">
      <c r="C91" s="100">
        <f t="shared" si="65"/>
        <v>0</v>
      </c>
      <c r="D91" s="16" t="s">
        <v>102</v>
      </c>
      <c r="E91" s="16" t="s">
        <v>115</v>
      </c>
      <c r="F91" s="16" t="s">
        <v>108</v>
      </c>
      <c r="G91" s="21"/>
      <c r="H91" s="21"/>
      <c r="J91" s="52"/>
      <c r="K91" s="52"/>
      <c r="L91" s="52"/>
      <c r="M91" s="52"/>
      <c r="N91" s="52"/>
      <c r="O91" s="135"/>
      <c r="P91" s="135"/>
      <c r="Q91" s="135"/>
      <c r="R91" s="135"/>
      <c r="S91" s="135"/>
      <c r="T91" s="135"/>
    </row>
    <row r="92" spans="3:38" outlineLevel="1">
      <c r="G92" s="21"/>
      <c r="H92" s="21"/>
      <c r="N92" s="16"/>
    </row>
    <row r="93" spans="3:38" outlineLevel="1">
      <c r="C93" s="8" t="s">
        <v>106</v>
      </c>
      <c r="D93" s="16" t="s">
        <v>95</v>
      </c>
      <c r="E93" s="16" t="s">
        <v>107</v>
      </c>
      <c r="F93" s="16" t="s">
        <v>108</v>
      </c>
      <c r="J93" s="90" t="str">
        <f t="array" ref="J93">IF(ISBLANK(J84),IF(ISBLANK(J86:J91),"Ok","Check"),IF(SUM(J86:J91)=1,"Ok","Check"))</f>
        <v>Ok</v>
      </c>
      <c r="K93" s="90" t="str">
        <f t="array" ref="K93">IF(ISBLANK(K84),IF(ISBLANK(K86:K91),"Ok","Check"),IF(SUM(K86:K91)=1,"Ok","Check"))</f>
        <v>Ok</v>
      </c>
      <c r="L93" s="90" t="str">
        <f t="array" ref="L93">IF(ISBLANK(L84),IF(ISBLANK(L86:L91),"Ok","Check"),IF(SUM(L86:L91)=1,"Ok","Check"))</f>
        <v>Ok</v>
      </c>
      <c r="M93" s="90" t="str">
        <f t="array" ref="M93">IF(ISBLANK(M84),IF(ISBLANK(M86:M91),"Ok","Check"),IF(SUM(M86:M91)=1,"Ok","Check"))</f>
        <v>Ok</v>
      </c>
      <c r="N93" s="90" t="str">
        <f t="array" ref="N93">IF(ISBLANK(N86:N91),"",IF(SUM(N86:N91)=1,"Ok","Check"))</f>
        <v/>
      </c>
      <c r="O93" s="90" t="str">
        <f t="array" ref="O93">IF(ISBLANK(O86:O91),"",IF(SUM(O86:O91)=1,"Ok","Check"))</f>
        <v/>
      </c>
      <c r="P93" s="90" t="str">
        <f t="array" ref="P93">IF(ISBLANK(P86:P91),"",IF(SUM(P86:P91)=1,"Ok","Check"))</f>
        <v/>
      </c>
      <c r="Q93" s="90" t="str">
        <f t="array" ref="Q93">IF(ISBLANK(Q86:Q91),"",IF(SUM(Q86:Q91)=1,"Ok","Check"))</f>
        <v/>
      </c>
      <c r="R93" s="90" t="str">
        <f t="array" ref="R93">IF(ISBLANK(R86:R91),"",IF(SUM(R86:R91)=1,"Ok","Check"))</f>
        <v/>
      </c>
      <c r="S93" s="90" t="str">
        <f t="array" ref="S93">IF(ISBLANK(S86:S91),"",IF(SUM(S86:S91)=1,"Ok","Check"))</f>
        <v/>
      </c>
      <c r="T93" s="90" t="str">
        <f t="array" ref="T93">IF(ISBLANK(T86:T91),"",IF(SUM(T86:T91)=1,"Ok","Check"))</f>
        <v/>
      </c>
      <c r="U93" s="24"/>
      <c r="W93" s="89" t="str">
        <f>IF(COUNTIF(K93:T93,"Check")=0,"Ok","Check")</f>
        <v>Ok</v>
      </c>
    </row>
    <row r="94" spans="3:38" outlineLevel="1"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24"/>
      <c r="W94" s="90"/>
      <c r="AG94" s="192"/>
      <c r="AH94" s="192"/>
      <c r="AI94" s="192"/>
      <c r="AJ94" s="192"/>
      <c r="AK94" s="192"/>
      <c r="AL94" s="192"/>
    </row>
    <row r="95" spans="3:38" outlineLevel="1">
      <c r="C95" s="9" t="s">
        <v>124</v>
      </c>
      <c r="D95" s="21" t="s">
        <v>33</v>
      </c>
      <c r="E95" s="21" t="s">
        <v>53</v>
      </c>
      <c r="F95" s="21" t="s">
        <v>59</v>
      </c>
      <c r="J95" s="113"/>
      <c r="K95" s="113"/>
      <c r="L95" s="113"/>
      <c r="M95" s="113"/>
      <c r="N95" s="113"/>
      <c r="O95" s="113"/>
      <c r="P95" s="113"/>
      <c r="Q95" s="113">
        <f>Q4</f>
        <v>45444</v>
      </c>
      <c r="R95" s="113">
        <f t="shared" ref="R95:U95" si="66">R4</f>
        <v>45809</v>
      </c>
      <c r="S95" s="113">
        <f t="shared" si="66"/>
        <v>46174</v>
      </c>
      <c r="T95" s="113">
        <f t="shared" si="66"/>
        <v>46539</v>
      </c>
      <c r="U95" s="113">
        <f t="shared" si="66"/>
        <v>46905</v>
      </c>
      <c r="W95" s="90"/>
    </row>
    <row r="96" spans="3:38" outlineLevel="1"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24"/>
      <c r="W96" s="90"/>
    </row>
    <row r="97" spans="1:33" outlineLevel="1">
      <c r="C97" s="100" t="str">
        <f t="array" ref="C97:C101">TRANSPOSE(J84:N84)</f>
        <v>SFA CD</v>
      </c>
      <c r="D97" s="16" t="s">
        <v>95</v>
      </c>
      <c r="E97" s="16" t="s">
        <v>115</v>
      </c>
      <c r="F97" s="16" t="s">
        <v>108</v>
      </c>
      <c r="J97" s="78" t="str">
        <f t="shared" ref="J97:S97" si="67">IF(J$95=J$4,SUMPRODUCT(J$77:J$82,$J$86:$J$91),"")</f>
        <v/>
      </c>
      <c r="K97" s="78" t="str">
        <f t="shared" si="67"/>
        <v/>
      </c>
      <c r="L97" s="78" t="str">
        <f t="shared" si="67"/>
        <v/>
      </c>
      <c r="M97" s="78" t="str">
        <f t="shared" si="67"/>
        <v/>
      </c>
      <c r="N97" s="78" t="str">
        <f t="shared" si="67"/>
        <v/>
      </c>
      <c r="O97" s="78" t="str">
        <f t="shared" si="67"/>
        <v/>
      </c>
      <c r="P97" s="78" t="str">
        <f t="shared" si="67"/>
        <v/>
      </c>
      <c r="Q97" s="78">
        <f>IF(Q$95=Q$4,SUMPRODUCT(Q$77:Q$82,$J$86:$J$91),"")</f>
        <v>1.9360085603721388E-2</v>
      </c>
      <c r="R97" s="78">
        <f>IF(R$95=R$4,SUMPRODUCT(R$77:R$82,$J$86:$J$91),"")</f>
        <v>1.5233417983405554E-2</v>
      </c>
      <c r="S97" s="78">
        <f t="shared" si="67"/>
        <v>4.2445822375741758E-3</v>
      </c>
      <c r="T97" s="78">
        <f>IF(T$95=T$4,SUMPRODUCT(T$77:T$82,$J$86:$J$91),"")</f>
        <v>4.6385244313450532E-3</v>
      </c>
      <c r="U97" s="78">
        <f>IF(U$95=U$4,SUMPRODUCT(U$77:U$82,$J$86:$J$91),"")</f>
        <v>-1.2975956658586429E-4</v>
      </c>
      <c r="W97" s="191" t="s">
        <v>96</v>
      </c>
    </row>
    <row r="98" spans="1:33" outlineLevel="1">
      <c r="C98" s="100" t="str">
        <v>LSE CD</v>
      </c>
      <c r="D98" s="16" t="s">
        <v>95</v>
      </c>
      <c r="E98" s="16" t="s">
        <v>115</v>
      </c>
      <c r="F98" s="16" t="s">
        <v>108</v>
      </c>
      <c r="J98" s="78" t="str">
        <f t="shared" ref="J98:S98" si="68">IF(J$95=J$4,SUMPRODUCT(J$77:J$82,$K$86:$K$91),"")</f>
        <v/>
      </c>
      <c r="K98" s="78" t="str">
        <f t="shared" si="68"/>
        <v/>
      </c>
      <c r="L98" s="78" t="str">
        <f t="shared" si="68"/>
        <v/>
      </c>
      <c r="M98" s="78" t="str">
        <f t="shared" si="68"/>
        <v/>
      </c>
      <c r="N98" s="78" t="str">
        <f t="shared" si="68"/>
        <v/>
      </c>
      <c r="O98" s="78" t="str">
        <f t="shared" si="68"/>
        <v/>
      </c>
      <c r="P98" s="78" t="str">
        <f t="shared" si="68"/>
        <v/>
      </c>
      <c r="Q98" s="78">
        <f>IF(Q$95=Q$4,SUMPRODUCT(Q$77:Q$82,$K$86:$K$91),"")</f>
        <v>1.7501169832087542E-2</v>
      </c>
      <c r="R98" s="78">
        <f>IF(R$95=R$4,SUMPRODUCT(R$77:R$82,$K$86:$K$91),"")</f>
        <v>1.1549960402698496E-2</v>
      </c>
      <c r="S98" s="78">
        <f t="shared" si="68"/>
        <v>3.4667727338557248E-3</v>
      </c>
      <c r="T98" s="78">
        <f>IF(T$95=T$4,SUMPRODUCT(T$77:T$82,$K$86:$K$91),"")</f>
        <v>-4.2644982051538716E-5</v>
      </c>
      <c r="U98" s="78">
        <f>IF(U$95=U$4,SUMPRODUCT(U$77:U$82,$K$86:$K$91),"")</f>
        <v>-4.8351610773098921E-3</v>
      </c>
      <c r="W98" s="90"/>
    </row>
    <row r="99" spans="1:33" outlineLevel="1">
      <c r="C99" s="100" t="str">
        <v>LSE TLG</v>
      </c>
      <c r="D99" s="16" t="s">
        <v>95</v>
      </c>
      <c r="E99" s="16" t="s">
        <v>115</v>
      </c>
      <c r="F99" s="16" t="s">
        <v>108</v>
      </c>
      <c r="J99" s="78" t="str">
        <f t="shared" ref="J99:S99" si="69">IF(J$95=J$4,SUMPRODUCT(J$77:J$82,$L$86:$L$91),"")</f>
        <v/>
      </c>
      <c r="K99" s="78" t="str">
        <f t="shared" si="69"/>
        <v/>
      </c>
      <c r="L99" s="78" t="str">
        <f t="shared" si="69"/>
        <v/>
      </c>
      <c r="M99" s="78" t="str">
        <f t="shared" si="69"/>
        <v/>
      </c>
      <c r="N99" s="78" t="str">
        <f t="shared" si="69"/>
        <v/>
      </c>
      <c r="O99" s="78" t="str">
        <f t="shared" si="69"/>
        <v/>
      </c>
      <c r="P99" s="78" t="str">
        <f t="shared" si="69"/>
        <v/>
      </c>
      <c r="Q99" s="78">
        <f t="shared" si="69"/>
        <v>1.0309581732590171E-2</v>
      </c>
      <c r="R99" s="78">
        <f t="shared" si="69"/>
        <v>3.6373188129043264E-3</v>
      </c>
      <c r="S99" s="78">
        <f t="shared" si="69"/>
        <v>-3.3220741381786065E-3</v>
      </c>
      <c r="T99" s="78">
        <f>IF(T$95=T$4,SUMPRODUCT(T$77:T$82,$L$86:$L$91),"")</f>
        <v>-1.0257998561915931E-2</v>
      </c>
      <c r="U99" s="78">
        <f>IF(U$95=U$4,SUMPRODUCT(U$77:U$82,$L$86:$L$91),"")</f>
        <v>-1.6506347041084935E-2</v>
      </c>
      <c r="W99" s="90"/>
    </row>
    <row r="100" spans="1:33" outlineLevel="1">
      <c r="C100" s="100" t="str">
        <v>SFA TLG</v>
      </c>
      <c r="D100" s="16" t="s">
        <v>95</v>
      </c>
      <c r="E100" s="16" t="s">
        <v>115</v>
      </c>
      <c r="F100" s="16" t="s">
        <v>108</v>
      </c>
      <c r="J100" s="78" t="str">
        <f t="shared" ref="J100:S100" si="70">IF(J$95=J$4,SUMPRODUCT(J$77:J$82,$M$86:$M$91),"")</f>
        <v/>
      </c>
      <c r="K100" s="78" t="str">
        <f t="shared" si="70"/>
        <v/>
      </c>
      <c r="L100" s="78" t="str">
        <f t="shared" si="70"/>
        <v/>
      </c>
      <c r="M100" s="78" t="str">
        <f t="shared" si="70"/>
        <v/>
      </c>
      <c r="N100" s="78" t="str">
        <f t="shared" si="70"/>
        <v/>
      </c>
      <c r="O100" s="78" t="str">
        <f t="shared" si="70"/>
        <v/>
      </c>
      <c r="P100" s="78" t="str">
        <f t="shared" si="70"/>
        <v/>
      </c>
      <c r="Q100" s="78">
        <f t="shared" si="70"/>
        <v>1.5244972946236753E-2</v>
      </c>
      <c r="R100" s="78">
        <f t="shared" si="70"/>
        <v>8.3164578762759383E-3</v>
      </c>
      <c r="S100" s="78">
        <f t="shared" si="70"/>
        <v>1.7848799679915869E-3</v>
      </c>
      <c r="T100" s="78">
        <f>IF(T$95=T$4,SUMPRODUCT(T$77:T$82,$M$86:$M$91),"")</f>
        <v>-4.1831140642098275E-3</v>
      </c>
      <c r="U100" s="78">
        <f>IF(U$95=U$4,SUMPRODUCT(U$77:U$82,$M$86:$M$91),"")</f>
        <v>-9.2709375523934365E-3</v>
      </c>
      <c r="W100" s="90"/>
    </row>
    <row r="101" spans="1:33" outlineLevel="1">
      <c r="C101" s="156">
        <v>0</v>
      </c>
      <c r="D101" s="16" t="s">
        <v>95</v>
      </c>
      <c r="E101" s="16" t="s">
        <v>115</v>
      </c>
      <c r="F101" s="16" t="s">
        <v>108</v>
      </c>
      <c r="J101" s="78"/>
      <c r="K101" s="78"/>
      <c r="L101" s="78"/>
      <c r="M101" s="78"/>
      <c r="N101" s="78"/>
      <c r="O101" s="78"/>
      <c r="P101" s="78"/>
      <c r="Q101" s="78">
        <f>IF(Q$95=Q$4,SUMPRODUCT(Q$77:Q$82,$N$86:$N$91),"")</f>
        <v>0</v>
      </c>
      <c r="R101" s="78">
        <f t="shared" ref="R101:U101" si="71">IF(R$95=R$4,SUMPRODUCT(R$77:R$82,$N$86:$N$91),"")</f>
        <v>0</v>
      </c>
      <c r="S101" s="78">
        <f t="shared" si="71"/>
        <v>0</v>
      </c>
      <c r="T101" s="78">
        <f t="shared" si="71"/>
        <v>0</v>
      </c>
      <c r="U101" s="78">
        <f t="shared" si="71"/>
        <v>0</v>
      </c>
      <c r="W101" s="90"/>
    </row>
    <row r="102" spans="1:33" outlineLevel="1">
      <c r="C102" s="15"/>
      <c r="G102" s="21"/>
      <c r="H102" s="21"/>
      <c r="K102" s="23"/>
      <c r="L102" s="23"/>
      <c r="M102" s="23"/>
      <c r="N102" s="23"/>
      <c r="O102" s="23"/>
    </row>
    <row r="103" spans="1:33" customFormat="1" ht="12.75">
      <c r="A103" s="37"/>
      <c r="B103" s="43" t="s">
        <v>125</v>
      </c>
      <c r="C103" s="37"/>
      <c r="D103" s="37"/>
      <c r="E103" s="37"/>
      <c r="F103" s="38"/>
      <c r="G103" s="38"/>
      <c r="H103" s="38"/>
      <c r="I103" s="38"/>
      <c r="J103" s="38"/>
      <c r="K103" s="39"/>
      <c r="L103" s="40"/>
      <c r="M103" s="39"/>
      <c r="N103" s="40"/>
      <c r="O103" s="39"/>
      <c r="P103" s="39"/>
      <c r="Q103" s="39"/>
      <c r="R103" s="39"/>
      <c r="S103" s="39"/>
      <c r="T103" s="39"/>
      <c r="U103" s="39"/>
      <c r="V103" s="39"/>
      <c r="W103" s="40"/>
      <c r="X103" s="41"/>
      <c r="Y103" s="41"/>
      <c r="Z103" s="41"/>
      <c r="AA103" s="41"/>
      <c r="AB103" s="41"/>
      <c r="AC103" s="41"/>
      <c r="AD103" s="41"/>
      <c r="AE103" s="41"/>
      <c r="AF103" s="42"/>
      <c r="AG103" s="42"/>
    </row>
    <row r="104" spans="1:33" outlineLevel="1">
      <c r="G104" s="21"/>
      <c r="H104" s="21"/>
    </row>
    <row r="105" spans="1:33" outlineLevel="1">
      <c r="C105" s="9" t="s">
        <v>126</v>
      </c>
      <c r="D105" s="21" t="s">
        <v>33</v>
      </c>
      <c r="E105" s="21" t="s">
        <v>53</v>
      </c>
      <c r="F105" s="21" t="s">
        <v>59</v>
      </c>
      <c r="G105" s="21"/>
      <c r="H105" s="21"/>
      <c r="J105" s="113"/>
      <c r="K105" s="113"/>
      <c r="L105" s="113"/>
      <c r="M105" s="113"/>
      <c r="N105" s="113"/>
      <c r="O105" s="113"/>
      <c r="P105" s="113"/>
      <c r="Q105" s="113">
        <f>Q4</f>
        <v>45444</v>
      </c>
      <c r="R105" s="113">
        <f t="shared" ref="R105:U105" si="72">R4</f>
        <v>45809</v>
      </c>
      <c r="S105" s="113">
        <f t="shared" si="72"/>
        <v>46174</v>
      </c>
      <c r="T105" s="113">
        <f t="shared" si="72"/>
        <v>46539</v>
      </c>
      <c r="U105" s="113">
        <f t="shared" si="72"/>
        <v>46905</v>
      </c>
    </row>
    <row r="106" spans="1:33" outlineLevel="1">
      <c r="C106" s="15"/>
      <c r="G106" s="21"/>
      <c r="H106" s="21"/>
      <c r="K106" s="23"/>
      <c r="L106" s="23"/>
      <c r="M106" s="23"/>
      <c r="N106" s="23"/>
      <c r="O106" s="23"/>
    </row>
    <row r="107" spans="1:33" outlineLevel="1">
      <c r="C107" s="15" t="s">
        <v>126</v>
      </c>
      <c r="D107" s="16" t="s">
        <v>102</v>
      </c>
      <c r="E107" s="16" t="str">
        <f>percent</f>
        <v>Per cent</v>
      </c>
      <c r="F107" s="16" t="s">
        <v>108</v>
      </c>
      <c r="G107" s="21"/>
      <c r="H107" s="21"/>
      <c r="J107" s="143"/>
      <c r="K107" s="136"/>
      <c r="L107" s="136"/>
      <c r="M107" s="136"/>
      <c r="N107" s="136"/>
      <c r="O107" s="117"/>
      <c r="P107" s="117"/>
      <c r="Q107" s="117">
        <v>3.7009327229280851E-3</v>
      </c>
      <c r="R107" s="117">
        <v>2.4886651553984165E-3</v>
      </c>
      <c r="S107" s="117">
        <v>1.8855664312969951E-3</v>
      </c>
      <c r="T107" s="117">
        <v>1.1524047060677135E-3</v>
      </c>
      <c r="U107" s="117">
        <v>8.8982662494990837E-4</v>
      </c>
      <c r="V107" s="179"/>
      <c r="W107" s="191" t="s">
        <v>96</v>
      </c>
    </row>
    <row r="108" spans="1:33" outlineLevel="1">
      <c r="C108" s="15"/>
      <c r="G108" s="21"/>
      <c r="H108" s="21"/>
      <c r="K108" s="23"/>
      <c r="L108" s="23"/>
      <c r="M108" s="23"/>
      <c r="N108" s="23"/>
      <c r="O108" s="23"/>
      <c r="P108" s="134"/>
      <c r="Q108" s="134"/>
      <c r="R108" s="134"/>
      <c r="S108" s="134"/>
      <c r="T108" s="134"/>
    </row>
    <row r="109" spans="1:33" outlineLevel="1">
      <c r="C109" s="8" t="s">
        <v>106</v>
      </c>
      <c r="D109" s="16" t="s">
        <v>95</v>
      </c>
      <c r="E109" s="16" t="s">
        <v>107</v>
      </c>
      <c r="F109" s="16" t="s">
        <v>108</v>
      </c>
      <c r="J109" s="90" t="str">
        <f t="shared" ref="J109:S109" si="73">IF(J105=J$4,IF(ISBLANK(J107),"Check","Ok"),"")</f>
        <v/>
      </c>
      <c r="K109" s="90" t="str">
        <f t="shared" si="73"/>
        <v/>
      </c>
      <c r="L109" s="90" t="str">
        <f t="shared" si="73"/>
        <v/>
      </c>
      <c r="M109" s="90" t="str">
        <f t="shared" si="73"/>
        <v/>
      </c>
      <c r="N109" s="90" t="str">
        <f t="shared" si="73"/>
        <v/>
      </c>
      <c r="O109" s="90" t="str">
        <f t="shared" si="73"/>
        <v/>
      </c>
      <c r="P109" s="90" t="str">
        <f t="shared" si="73"/>
        <v/>
      </c>
      <c r="Q109" s="90" t="str">
        <f t="shared" si="73"/>
        <v>Ok</v>
      </c>
      <c r="R109" s="90" t="str">
        <f t="shared" si="73"/>
        <v>Ok</v>
      </c>
      <c r="S109" s="90" t="str">
        <f t="shared" si="73"/>
        <v>Ok</v>
      </c>
      <c r="T109" s="90" t="str">
        <f>IF(T105=T$4,IF(ISBLANK(T107),"Check","Ok"),"")</f>
        <v>Ok</v>
      </c>
      <c r="U109" s="90" t="str">
        <f>IF(U105=U$4,IF(ISBLANK(U107),"Check","Ok"),"")</f>
        <v>Ok</v>
      </c>
      <c r="W109" s="89" t="str">
        <f>IF(COUNTIF(J109:T109,"Check")=0,"Ok","Check")</f>
        <v>Ok</v>
      </c>
    </row>
    <row r="110" spans="1:33" outlineLevel="1">
      <c r="C110" s="15"/>
      <c r="G110" s="21"/>
      <c r="H110" s="21"/>
      <c r="K110" s="23"/>
      <c r="L110" s="23"/>
      <c r="M110" s="23"/>
      <c r="N110" s="23"/>
      <c r="O110" s="23"/>
    </row>
    <row r="111" spans="1:33" customFormat="1" ht="12.75">
      <c r="A111" s="37"/>
      <c r="B111" s="43" t="s">
        <v>23</v>
      </c>
      <c r="C111" s="37"/>
      <c r="D111" s="37"/>
      <c r="E111" s="37"/>
      <c r="F111" s="38"/>
      <c r="G111" s="38"/>
      <c r="H111" s="38"/>
      <c r="I111" s="38"/>
      <c r="J111" s="38"/>
      <c r="K111" s="39"/>
      <c r="L111" s="40"/>
      <c r="M111" s="39"/>
      <c r="N111" s="40"/>
      <c r="O111" s="39"/>
      <c r="P111" s="39"/>
      <c r="Q111" s="39"/>
      <c r="R111" s="39"/>
      <c r="S111" s="39"/>
      <c r="T111" s="39"/>
      <c r="U111" s="39"/>
      <c r="V111" s="39"/>
      <c r="W111" s="40"/>
      <c r="X111" s="41"/>
      <c r="Y111" s="41"/>
      <c r="Z111" s="41"/>
      <c r="AA111" s="41"/>
      <c r="AB111" s="41"/>
      <c r="AC111" s="41"/>
      <c r="AD111" s="41"/>
      <c r="AE111" s="41"/>
      <c r="AF111" s="42"/>
      <c r="AG111" s="42"/>
    </row>
  </sheetData>
  <mergeCells count="3">
    <mergeCell ref="K3:M3"/>
    <mergeCell ref="O3:T3"/>
    <mergeCell ref="W64:AX64"/>
  </mergeCells>
  <conditionalFormatting sqref="J93:T94 J96:T96">
    <cfRule type="cellIs" dxfId="118" priority="28" operator="equal">
      <formula>"Check"</formula>
    </cfRule>
    <cfRule type="cellIs" dxfId="117" priority="29" operator="equal">
      <formula>"Ok"</formula>
    </cfRule>
  </conditionalFormatting>
  <conditionalFormatting sqref="J16:U22">
    <cfRule type="cellIs" dxfId="116" priority="35" operator="equal">
      <formula>0</formula>
    </cfRule>
  </conditionalFormatting>
  <conditionalFormatting sqref="J26:U32">
    <cfRule type="cellIs" dxfId="115" priority="36" operator="equal">
      <formula>0</formula>
    </cfRule>
  </conditionalFormatting>
  <conditionalFormatting sqref="J36:U36">
    <cfRule type="expression" dxfId="114" priority="70">
      <formula>J$36=J$4</formula>
    </cfRule>
  </conditionalFormatting>
  <conditionalFormatting sqref="J47:U47">
    <cfRule type="cellIs" dxfId="113" priority="19" operator="equal">
      <formula>"Check"</formula>
    </cfRule>
    <cfRule type="cellIs" dxfId="112" priority="20" operator="equal">
      <formula>"Ok"</formula>
    </cfRule>
  </conditionalFormatting>
  <conditionalFormatting sqref="J49:U49">
    <cfRule type="expression" dxfId="111" priority="40">
      <formula>J$36=J$4</formula>
    </cfRule>
  </conditionalFormatting>
  <conditionalFormatting sqref="J51:U58">
    <cfRule type="expression" dxfId="110" priority="15">
      <formula>J$49=J$4</formula>
    </cfRule>
  </conditionalFormatting>
  <conditionalFormatting sqref="J60:U60">
    <cfRule type="cellIs" dxfId="109" priority="13" operator="equal">
      <formula>"Check"</formula>
    </cfRule>
    <cfRule type="cellIs" dxfId="108" priority="14" operator="equal">
      <formula>"Ok"</formula>
    </cfRule>
  </conditionalFormatting>
  <conditionalFormatting sqref="J64:U64">
    <cfRule type="expression" dxfId="107" priority="45">
      <formula>J$64=J$4</formula>
    </cfRule>
  </conditionalFormatting>
  <conditionalFormatting sqref="J66:U71">
    <cfRule type="expression" dxfId="106" priority="9">
      <formula>J$64=J$4</formula>
    </cfRule>
  </conditionalFormatting>
  <conditionalFormatting sqref="J73:U73">
    <cfRule type="cellIs" dxfId="105" priority="10" operator="equal">
      <formula>"Check"</formula>
    </cfRule>
    <cfRule type="cellIs" dxfId="104" priority="11" operator="equal">
      <formula>"Ok"</formula>
    </cfRule>
  </conditionalFormatting>
  <conditionalFormatting sqref="J75:U75">
    <cfRule type="expression" dxfId="103" priority="39">
      <formula>J$36=J$4</formula>
    </cfRule>
  </conditionalFormatting>
  <conditionalFormatting sqref="J95:U95">
    <cfRule type="expression" dxfId="102" priority="27">
      <formula>J$95=J$4</formula>
    </cfRule>
  </conditionalFormatting>
  <conditionalFormatting sqref="J105:U105">
    <cfRule type="expression" dxfId="101" priority="38">
      <formula>J$36=J$4</formula>
    </cfRule>
  </conditionalFormatting>
  <conditionalFormatting sqref="J107:U107">
    <cfRule type="expression" dxfId="100" priority="8">
      <formula>J$105=J$4</formula>
    </cfRule>
  </conditionalFormatting>
  <conditionalFormatting sqref="J109:U109">
    <cfRule type="cellIs" dxfId="99" priority="6" operator="equal">
      <formula>"Check"</formula>
    </cfRule>
    <cfRule type="cellIs" dxfId="98" priority="7" operator="equal">
      <formula>"Ok"</formula>
    </cfRule>
  </conditionalFormatting>
  <conditionalFormatting sqref="K86:M91">
    <cfRule type="expression" dxfId="97" priority="26">
      <formula>K$84=K$4</formula>
    </cfRule>
  </conditionalFormatting>
  <conditionalFormatting sqref="T1">
    <cfRule type="cellIs" dxfId="96" priority="99" operator="equal">
      <formula>"Check"</formula>
    </cfRule>
    <cfRule type="cellIs" dxfId="95" priority="100" operator="equal">
      <formula>"Ok"</formula>
    </cfRule>
  </conditionalFormatting>
  <conditionalFormatting sqref="U38:U39 J38:U45">
    <cfRule type="expression" dxfId="94" priority="18">
      <formula>J$36=J$4</formula>
    </cfRule>
  </conditionalFormatting>
  <conditionalFormatting sqref="W1">
    <cfRule type="cellIs" dxfId="93" priority="136" operator="equal">
      <formula>"Ok"</formula>
    </cfRule>
    <cfRule type="cellIs" dxfId="92" priority="135" operator="equal">
      <formula>"Check"</formula>
    </cfRule>
  </conditionalFormatting>
  <conditionalFormatting sqref="W47">
    <cfRule type="cellIs" dxfId="91" priority="57" operator="equal">
      <formula>"Check"</formula>
    </cfRule>
    <cfRule type="cellIs" dxfId="90" priority="58" operator="equal">
      <formula>"Ok"</formula>
    </cfRule>
  </conditionalFormatting>
  <conditionalFormatting sqref="W60">
    <cfRule type="cellIs" dxfId="89" priority="87" operator="equal">
      <formula>"Check"</formula>
    </cfRule>
    <cfRule type="cellIs" dxfId="88" priority="88" operator="equal">
      <formula>"Ok"</formula>
    </cfRule>
  </conditionalFormatting>
  <conditionalFormatting sqref="W73">
    <cfRule type="cellIs" dxfId="87" priority="53" operator="equal">
      <formula>"Check"</formula>
    </cfRule>
    <cfRule type="cellIs" dxfId="86" priority="54" operator="equal">
      <formula>"Ok"</formula>
    </cfRule>
  </conditionalFormatting>
  <conditionalFormatting sqref="W93:W96 W98:W101">
    <cfRule type="cellIs" dxfId="85" priority="31" operator="equal">
      <formula>"Check"</formula>
    </cfRule>
    <cfRule type="cellIs" dxfId="84" priority="32" operator="equal">
      <formula>"Ok"</formula>
    </cfRule>
  </conditionalFormatting>
  <conditionalFormatting sqref="W109">
    <cfRule type="cellIs" dxfId="83" priority="61" operator="equal">
      <formula>"Check"</formula>
    </cfRule>
    <cfRule type="cellIs" dxfId="82" priority="62" operator="equal">
      <formula>"Ok"</formula>
    </cfRule>
  </conditionalFormatting>
  <conditionalFormatting sqref="Z16:AA22">
    <cfRule type="cellIs" dxfId="81" priority="2" operator="equal">
      <formula>TRUE</formula>
    </cfRule>
  </conditionalFormatting>
  <dataValidations disablePrompts="1" count="1">
    <dataValidation type="list" allowBlank="1" showInputMessage="1" showErrorMessage="1" sqref="F110 F74 F102 F85 F83" xr:uid="{00000000-0002-0000-0400-000000000000}">
      <formula1>#REF!</formula1>
    </dataValidation>
  </dataValidations>
  <hyperlinks>
    <hyperlink ref="K1" location="Index!A1" display="Back to Index" xr:uid="{00000000-0004-0000-0400-000000000000}"/>
    <hyperlink ref="V1" location="'Check|List'!A1" display="Overall Check:" xr:uid="{00000000-0004-0000-0400-000001000000}"/>
  </hyperlinks>
  <pageMargins left="0.7" right="0.7" top="0.75" bottom="0.75" header="0.3" footer="0.3"/>
  <pageSetup paperSize="9" orientation="portrait" verticalDpi="4" r:id="rId1"/>
  <headerFooter>
    <oddFooter>&amp;C_x000D_&amp;1#&amp;"Century Gothic"&amp;7&amp;K7F7F7F BUSINESS USE ONLY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FFFF99"/>
  </sheetPr>
  <dimension ref="A1:AV52"/>
  <sheetViews>
    <sheetView workbookViewId="0">
      <selection activeCell="W19" sqref="W19"/>
    </sheetView>
  </sheetViews>
  <sheetFormatPr defaultColWidth="0" defaultRowHeight="11.25" zeroHeight="1" outlineLevelRow="1"/>
  <cols>
    <col min="1" max="2" width="1.5" style="8" customWidth="1"/>
    <col min="3" max="3" width="35.1640625" style="8" customWidth="1"/>
    <col min="4" max="4" width="6.5" style="16" customWidth="1"/>
    <col min="5" max="5" width="15.6640625" style="16" customWidth="1"/>
    <col min="6" max="6" width="10.6640625" style="16" customWidth="1"/>
    <col min="7" max="9" width="3.33203125" style="16" customWidth="1"/>
    <col min="10" max="24" width="10.6640625" style="8" customWidth="1"/>
    <col min="25" max="48" width="10.5" style="8" hidden="1" customWidth="1"/>
    <col min="49" max="16384" width="0" style="8" hidden="1"/>
  </cols>
  <sheetData>
    <row r="1" spans="1:31" s="32" customFormat="1" ht="15.75">
      <c r="B1" s="29" t="str">
        <f>Index!$B$1</f>
        <v>AER opex model v1.9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33" t="s">
        <v>29</v>
      </c>
      <c r="S1" s="34" t="str">
        <f>IF(COUNTA($X$8:$X$235)=COUNTIF($X$8:$X$235,"OK"),"OK","Check")</f>
        <v>OK</v>
      </c>
      <c r="T1" s="34"/>
      <c r="V1" s="129" t="s">
        <v>30</v>
      </c>
      <c r="W1" s="34" t="str">
        <f>'Check|List'!$S$1</f>
        <v>Ok</v>
      </c>
    </row>
    <row r="2" spans="1:31" s="36" customFormat="1" ht="13.5" thickBot="1">
      <c r="B2" s="35" t="str">
        <f>Index!$C$11</f>
        <v>Input | Step changes</v>
      </c>
      <c r="C2" s="35"/>
      <c r="D2" s="35"/>
      <c r="E2" s="35"/>
      <c r="F2" s="59"/>
      <c r="G2" s="59"/>
      <c r="H2" s="59"/>
      <c r="I2" s="59"/>
    </row>
    <row r="3" spans="1:31" s="60" customFormat="1">
      <c r="D3" s="124"/>
      <c r="E3" s="124"/>
      <c r="F3" s="124"/>
      <c r="G3" s="124"/>
      <c r="H3" s="124"/>
      <c r="I3" s="124"/>
      <c r="J3" s="109" t="s">
        <v>58</v>
      </c>
      <c r="K3" s="120"/>
      <c r="L3" s="120"/>
      <c r="M3" s="124"/>
      <c r="N3" s="198"/>
      <c r="O3" s="198"/>
      <c r="P3" s="198"/>
      <c r="Q3" s="198"/>
      <c r="R3" s="198"/>
      <c r="S3" s="198"/>
      <c r="T3" s="124"/>
      <c r="U3" s="61"/>
      <c r="V3" s="61"/>
      <c r="W3" s="61"/>
      <c r="X3" s="61"/>
      <c r="Y3" s="61"/>
      <c r="Z3" s="61"/>
      <c r="AA3" s="61"/>
    </row>
    <row r="4" spans="1:31" customFormat="1">
      <c r="A4" s="62"/>
      <c r="B4" s="62"/>
      <c r="C4" s="62"/>
      <c r="D4" s="63" t="s">
        <v>33</v>
      </c>
      <c r="E4" s="63" t="s">
        <v>53</v>
      </c>
      <c r="F4" s="64" t="s">
        <v>59</v>
      </c>
      <c r="G4" s="65"/>
      <c r="H4" s="65"/>
      <c r="I4" s="65"/>
      <c r="J4" s="155">
        <f>DATE(PPFirstYear,MONTH('Input|General'!$G$9),1)</f>
        <v>43435</v>
      </c>
      <c r="K4" s="155">
        <f>DATE(PPFirstYear+1,MONTH('Input|General'!$G$9),1)</f>
        <v>43800</v>
      </c>
      <c r="L4" s="155">
        <f>DATE(PPFirstYear+2,MONTH('Input|General'!$G$9),1)</f>
        <v>44166</v>
      </c>
      <c r="M4" s="155">
        <f>DATE(PPFirstYear+3,MONTH('Input|General'!$G$9),1)</f>
        <v>44531</v>
      </c>
      <c r="N4" s="155">
        <f>DATE(PPFirstYear+4,MONTH('Input|General'!$G$9),1)</f>
        <v>44896</v>
      </c>
      <c r="O4" s="155">
        <f>DATE(PPFirstYear+5,MONTH('Input|General'!$G$10),1)</f>
        <v>45078</v>
      </c>
      <c r="P4" s="155">
        <f>DATE(PPFirstYear+6,MONTH('Input|General'!$G$10),1)</f>
        <v>45444</v>
      </c>
      <c r="Q4" s="155">
        <f>DATE(PPFirstYear+7,MONTH('Input|General'!$G$10),1)</f>
        <v>45809</v>
      </c>
      <c r="R4" s="155">
        <f>DATE(PPFirstYear+8,MONTH('Input|General'!$G$10),1)</f>
        <v>46174</v>
      </c>
      <c r="S4" s="155">
        <f>DATE(PPFirstYear+9,MONTH('Input|General'!$G$10),1)</f>
        <v>46539</v>
      </c>
      <c r="T4" s="155">
        <f>DATE(PPFirstYear+10,MONTH('Input|General'!$G$10),1)</f>
        <v>46905</v>
      </c>
      <c r="U4" s="66"/>
      <c r="V4" s="66"/>
      <c r="W4" s="67"/>
      <c r="X4" s="67"/>
    </row>
    <row r="5" spans="1:31" s="6" customFormat="1" ht="3" customHeight="1">
      <c r="D5" s="27"/>
      <c r="E5" s="27"/>
      <c r="F5" s="27"/>
      <c r="G5" s="27"/>
      <c r="H5" s="27"/>
      <c r="I5" s="27"/>
    </row>
    <row r="6" spans="1:31" s="6" customFormat="1" ht="9" customHeight="1">
      <c r="D6" s="27"/>
      <c r="E6" s="27"/>
      <c r="F6" s="27"/>
      <c r="G6" s="27"/>
      <c r="H6" s="27"/>
      <c r="I6" s="27"/>
    </row>
    <row r="7" spans="1:31" s="6" customFormat="1" ht="3" customHeight="1">
      <c r="D7" s="27"/>
      <c r="E7" s="27"/>
      <c r="F7" s="27"/>
      <c r="G7" s="27"/>
      <c r="H7" s="27"/>
      <c r="I7" s="27"/>
    </row>
    <row r="8" spans="1:31" customFormat="1" ht="12.75">
      <c r="A8" s="37"/>
      <c r="B8" s="43" t="s">
        <v>127</v>
      </c>
      <c r="C8" s="37"/>
      <c r="D8" s="37"/>
      <c r="E8" s="37"/>
      <c r="F8" s="38"/>
      <c r="G8" s="38"/>
      <c r="H8" s="38"/>
      <c r="I8" s="38"/>
      <c r="J8" s="39"/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39"/>
      <c r="W8" s="40"/>
      <c r="X8" s="40"/>
      <c r="Y8" s="41"/>
      <c r="Z8" s="41"/>
      <c r="AA8" s="41"/>
      <c r="AB8" s="41"/>
      <c r="AC8" s="41"/>
      <c r="AD8" s="42"/>
      <c r="AE8" s="42"/>
    </row>
    <row r="9" spans="1:31" outlineLevel="1">
      <c r="G9" s="21"/>
      <c r="H9" s="21"/>
    </row>
    <row r="10" spans="1:31" outlineLevel="1">
      <c r="C10" s="9" t="s">
        <v>128</v>
      </c>
      <c r="D10" s="21" t="s">
        <v>33</v>
      </c>
      <c r="E10" s="21" t="s">
        <v>53</v>
      </c>
      <c r="F10" s="21" t="s">
        <v>59</v>
      </c>
      <c r="G10" s="21"/>
      <c r="H10" s="21"/>
      <c r="I10" s="113"/>
      <c r="J10" s="113" t="str">
        <f t="shared" ref="J10:N10" si="0">IF(YEAR(J$4)&gt;=FPFirstYear,IF(YEAR(J$4)&lt;=FPLastYear,J$4,""),"")</f>
        <v/>
      </c>
      <c r="K10" s="113" t="str">
        <f t="shared" si="0"/>
        <v/>
      </c>
      <c r="L10" s="113" t="str">
        <f t="shared" si="0"/>
        <v/>
      </c>
      <c r="M10" s="113" t="str">
        <f t="shared" si="0"/>
        <v/>
      </c>
      <c r="N10" s="113" t="str">
        <f t="shared" si="0"/>
        <v/>
      </c>
      <c r="O10" s="113"/>
      <c r="P10" s="113">
        <f t="shared" ref="P10:T10" si="1">P$4</f>
        <v>45444</v>
      </c>
      <c r="Q10" s="113">
        <f t="shared" si="1"/>
        <v>45809</v>
      </c>
      <c r="R10" s="113">
        <f t="shared" si="1"/>
        <v>46174</v>
      </c>
      <c r="S10" s="113">
        <f t="shared" si="1"/>
        <v>46539</v>
      </c>
      <c r="T10" s="113">
        <f t="shared" si="1"/>
        <v>46905</v>
      </c>
    </row>
    <row r="11" spans="1:31" outlineLevel="1">
      <c r="G11" s="21"/>
      <c r="H11" s="21"/>
    </row>
    <row r="12" spans="1:31" outlineLevel="1">
      <c r="C12" s="52" t="s">
        <v>129</v>
      </c>
      <c r="D12" s="16" t="s">
        <v>39</v>
      </c>
      <c r="E12" s="102" t="s">
        <v>64</v>
      </c>
      <c r="F12" s="119">
        <v>45078</v>
      </c>
      <c r="G12" s="21"/>
      <c r="H12" s="21"/>
      <c r="J12" s="104"/>
      <c r="K12" s="104"/>
      <c r="L12" s="104"/>
      <c r="M12" s="104"/>
      <c r="N12" s="104"/>
      <c r="O12" s="118"/>
      <c r="P12" s="172">
        <v>7.9880090160790234</v>
      </c>
      <c r="Q12" s="172">
        <v>8.9485483513622643</v>
      </c>
      <c r="R12" s="172">
        <v>5.694896728784399</v>
      </c>
      <c r="S12" s="172">
        <v>4.4143904959390987</v>
      </c>
      <c r="T12" s="172">
        <v>4.1131176610077338</v>
      </c>
      <c r="U12" s="191" t="s">
        <v>130</v>
      </c>
    </row>
    <row r="13" spans="1:31" outlineLevel="1">
      <c r="C13" s="52" t="s">
        <v>131</v>
      </c>
      <c r="D13" s="16" t="s">
        <v>39</v>
      </c>
      <c r="E13" s="102" t="s">
        <v>64</v>
      </c>
      <c r="F13" s="119">
        <v>44531</v>
      </c>
      <c r="G13" s="21"/>
      <c r="H13" s="21"/>
      <c r="J13" s="104"/>
      <c r="K13" s="104"/>
      <c r="L13" s="104"/>
      <c r="M13" s="104"/>
      <c r="N13" s="104"/>
      <c r="O13" s="118"/>
      <c r="P13" s="172">
        <v>0</v>
      </c>
      <c r="Q13" s="172">
        <v>0</v>
      </c>
      <c r="R13" s="172">
        <v>0</v>
      </c>
      <c r="S13" s="172">
        <v>0</v>
      </c>
      <c r="T13" s="172">
        <v>0</v>
      </c>
      <c r="U13" s="191" t="s">
        <v>130</v>
      </c>
    </row>
    <row r="14" spans="1:31" outlineLevel="1">
      <c r="C14" s="52" t="s">
        <v>132</v>
      </c>
      <c r="D14" s="16" t="s">
        <v>39</v>
      </c>
      <c r="E14" s="102" t="s">
        <v>64</v>
      </c>
      <c r="F14" s="119">
        <v>45078</v>
      </c>
      <c r="G14" s="21"/>
      <c r="H14" s="21"/>
      <c r="J14" s="104"/>
      <c r="K14" s="104"/>
      <c r="L14" s="104"/>
      <c r="M14" s="104"/>
      <c r="N14" s="104"/>
      <c r="O14" s="118"/>
      <c r="P14" s="172">
        <v>0</v>
      </c>
      <c r="Q14" s="172">
        <v>0</v>
      </c>
      <c r="R14" s="118">
        <v>1.6535980119798701</v>
      </c>
      <c r="S14" s="118">
        <v>1.69005298338115</v>
      </c>
      <c r="T14" s="118">
        <v>1.7614464590727299</v>
      </c>
      <c r="U14" s="182" t="s">
        <v>133</v>
      </c>
    </row>
    <row r="15" spans="1:31" outlineLevel="1">
      <c r="C15" s="52"/>
      <c r="D15" s="16" t="s">
        <v>39</v>
      </c>
      <c r="E15" s="102" t="s">
        <v>64</v>
      </c>
      <c r="F15" s="119">
        <v>45078</v>
      </c>
      <c r="G15" s="21"/>
      <c r="H15" s="21"/>
      <c r="J15" s="104"/>
      <c r="K15" s="104"/>
      <c r="L15" s="104"/>
      <c r="M15" s="104"/>
      <c r="N15" s="104"/>
      <c r="O15" s="118"/>
      <c r="P15" s="118"/>
      <c r="Q15" s="118"/>
      <c r="R15" s="118"/>
      <c r="S15" s="118"/>
      <c r="T15" s="118"/>
      <c r="U15" s="164"/>
    </row>
    <row r="16" spans="1:31" outlineLevel="1">
      <c r="C16" s="52"/>
      <c r="D16" s="16" t="s">
        <v>39</v>
      </c>
      <c r="E16" s="102" t="s">
        <v>64</v>
      </c>
      <c r="F16" s="119">
        <v>45078</v>
      </c>
      <c r="G16" s="21"/>
      <c r="H16" s="21"/>
      <c r="J16" s="104"/>
      <c r="K16" s="104"/>
      <c r="L16" s="104"/>
      <c r="M16" s="104"/>
      <c r="N16" s="104"/>
      <c r="O16" s="118"/>
      <c r="P16" s="118"/>
      <c r="Q16" s="118"/>
      <c r="R16" s="118"/>
      <c r="S16" s="118"/>
      <c r="T16" s="118"/>
      <c r="U16" s="164"/>
    </row>
    <row r="17" spans="1:31" outlineLevel="1">
      <c r="C17" s="52"/>
      <c r="D17" s="16" t="s">
        <v>39</v>
      </c>
      <c r="E17" s="102" t="s">
        <v>64</v>
      </c>
      <c r="F17" s="119">
        <v>45078</v>
      </c>
      <c r="G17" s="21"/>
      <c r="H17" s="21"/>
      <c r="J17" s="104"/>
      <c r="K17" s="104"/>
      <c r="L17" s="104"/>
      <c r="M17" s="104"/>
      <c r="N17" s="104"/>
      <c r="O17" s="118"/>
      <c r="P17" s="118"/>
      <c r="Q17" s="118"/>
      <c r="R17" s="118"/>
      <c r="S17" s="118"/>
      <c r="T17" s="118"/>
      <c r="U17" s="164"/>
    </row>
    <row r="18" spans="1:31" outlineLevel="1">
      <c r="C18" s="52"/>
      <c r="D18" s="16" t="s">
        <v>39</v>
      </c>
      <c r="E18" s="102" t="s">
        <v>64</v>
      </c>
      <c r="F18" s="119">
        <v>45078</v>
      </c>
      <c r="G18" s="21"/>
      <c r="H18" s="21"/>
      <c r="J18" s="104"/>
      <c r="K18" s="104"/>
      <c r="L18" s="104"/>
      <c r="M18" s="104"/>
      <c r="N18" s="104"/>
      <c r="O18" s="118"/>
      <c r="P18" s="118"/>
      <c r="Q18" s="118"/>
      <c r="R18" s="118"/>
      <c r="S18" s="118"/>
      <c r="T18" s="118"/>
      <c r="U18" s="164"/>
    </row>
    <row r="19" spans="1:31" outlineLevel="1">
      <c r="C19" s="52"/>
      <c r="D19" s="16" t="s">
        <v>39</v>
      </c>
      <c r="E19" s="102" t="s">
        <v>64</v>
      </c>
      <c r="F19" s="119">
        <v>45078</v>
      </c>
      <c r="G19" s="21"/>
      <c r="H19" s="21"/>
      <c r="J19" s="104"/>
      <c r="K19" s="104"/>
      <c r="L19" s="104"/>
      <c r="M19" s="104"/>
      <c r="N19" s="104"/>
      <c r="O19" s="118"/>
      <c r="P19" s="118"/>
      <c r="Q19" s="118"/>
      <c r="R19" s="118"/>
      <c r="S19" s="118"/>
      <c r="T19" s="118"/>
      <c r="U19" s="164"/>
    </row>
    <row r="20" spans="1:31" outlineLevel="1">
      <c r="C20" s="52"/>
      <c r="D20" s="16" t="s">
        <v>39</v>
      </c>
      <c r="E20" s="102" t="s">
        <v>64</v>
      </c>
      <c r="F20" s="119">
        <v>45078</v>
      </c>
      <c r="G20" s="21"/>
      <c r="H20" s="21"/>
      <c r="J20" s="104"/>
      <c r="K20" s="104"/>
      <c r="L20" s="104"/>
      <c r="M20" s="104"/>
      <c r="N20" s="104"/>
      <c r="O20" s="118"/>
      <c r="P20" s="118"/>
      <c r="Q20" s="118"/>
      <c r="R20" s="118"/>
      <c r="S20" s="118"/>
      <c r="T20" s="118"/>
      <c r="U20" s="164"/>
    </row>
    <row r="21" spans="1:31" outlineLevel="1">
      <c r="G21" s="21"/>
      <c r="H21" s="21"/>
      <c r="U21" s="167"/>
    </row>
    <row r="22" spans="1:31" outlineLevel="1">
      <c r="C22" s="8" t="s">
        <v>106</v>
      </c>
      <c r="D22" s="16" t="s">
        <v>95</v>
      </c>
      <c r="E22" s="16" t="s">
        <v>107</v>
      </c>
      <c r="F22" s="16" t="s">
        <v>108</v>
      </c>
      <c r="J22" s="90" t="str">
        <f t="shared" ref="J22:T22" si="2">IF(J10=J4,IF(COUNTA($C12:$C20)=COUNT(J12:J20),"Ok","Check"),"")</f>
        <v/>
      </c>
      <c r="K22" s="90" t="str">
        <f t="shared" si="2"/>
        <v/>
      </c>
      <c r="L22" s="90" t="str">
        <f t="shared" si="2"/>
        <v/>
      </c>
      <c r="M22" s="90" t="str">
        <f t="shared" si="2"/>
        <v/>
      </c>
      <c r="N22" s="90" t="str">
        <f t="shared" si="2"/>
        <v/>
      </c>
      <c r="O22" s="90" t="str">
        <f t="shared" si="2"/>
        <v/>
      </c>
      <c r="P22" s="90" t="str">
        <f t="shared" si="2"/>
        <v>Ok</v>
      </c>
      <c r="Q22" s="90" t="str">
        <f t="shared" si="2"/>
        <v>Ok</v>
      </c>
      <c r="R22" s="90" t="str">
        <f t="shared" si="2"/>
        <v>Ok</v>
      </c>
      <c r="S22" s="90" t="str">
        <f t="shared" si="2"/>
        <v>Ok</v>
      </c>
      <c r="T22" s="90" t="str">
        <f t="shared" si="2"/>
        <v>Ok</v>
      </c>
      <c r="U22" s="90"/>
      <c r="V22" s="24"/>
      <c r="X22" s="89" t="str">
        <f>IF(COUNTIF(J22:U22,"Check")=0,"Ok","Check")</f>
        <v>Ok</v>
      </c>
    </row>
    <row r="23" spans="1:31">
      <c r="G23" s="21"/>
      <c r="H23" s="21"/>
    </row>
    <row r="24" spans="1:31" customFormat="1" ht="12.75">
      <c r="A24" s="37"/>
      <c r="B24" s="43" t="s">
        <v>134</v>
      </c>
      <c r="C24" s="37"/>
      <c r="D24" s="37"/>
      <c r="E24" s="37"/>
      <c r="F24" s="38"/>
      <c r="G24" s="38"/>
      <c r="H24" s="38"/>
      <c r="I24" s="38"/>
      <c r="J24" s="39"/>
      <c r="K24" s="40"/>
      <c r="L24" s="39"/>
      <c r="M24" s="40"/>
      <c r="N24" s="39"/>
      <c r="O24" s="39"/>
      <c r="P24" s="39"/>
      <c r="Q24" s="39"/>
      <c r="R24" s="39"/>
      <c r="S24" s="39"/>
      <c r="T24" s="39"/>
      <c r="U24" s="39"/>
      <c r="V24" s="39"/>
      <c r="W24" s="40"/>
      <c r="X24" s="40"/>
      <c r="Y24" s="41"/>
      <c r="Z24" s="41"/>
      <c r="AA24" s="41"/>
      <c r="AB24" s="41"/>
      <c r="AC24" s="41"/>
      <c r="AD24" s="42"/>
      <c r="AE24" s="42"/>
    </row>
    <row r="25" spans="1:31" outlineLevel="1">
      <c r="G25" s="21"/>
      <c r="H25" s="21"/>
    </row>
    <row r="26" spans="1:31" outlineLevel="1">
      <c r="C26" s="9" t="s">
        <v>135</v>
      </c>
      <c r="D26" s="21" t="s">
        <v>33</v>
      </c>
      <c r="E26" s="21" t="s">
        <v>53</v>
      </c>
      <c r="F26" s="21" t="s">
        <v>59</v>
      </c>
      <c r="G26" s="21"/>
      <c r="H26" s="21"/>
      <c r="J26" s="113" t="str">
        <f t="shared" ref="J26:N26" si="3">IF(YEAR(J$4)&gt;=FPFirstYear,IF(YEAR(J$4)&lt;=FPLastYear,J$4,""),"")</f>
        <v/>
      </c>
      <c r="K26" s="113" t="str">
        <f t="shared" si="3"/>
        <v/>
      </c>
      <c r="L26" s="113" t="str">
        <f t="shared" si="3"/>
        <v/>
      </c>
      <c r="M26" s="113" t="str">
        <f t="shared" si="3"/>
        <v/>
      </c>
      <c r="N26" s="113" t="str">
        <f t="shared" si="3"/>
        <v/>
      </c>
      <c r="O26" s="113"/>
      <c r="P26" s="113">
        <f t="shared" ref="P26:T26" si="4">P$4</f>
        <v>45444</v>
      </c>
      <c r="Q26" s="113">
        <f t="shared" si="4"/>
        <v>45809</v>
      </c>
      <c r="R26" s="113">
        <f t="shared" si="4"/>
        <v>46174</v>
      </c>
      <c r="S26" s="113">
        <f t="shared" si="4"/>
        <v>46539</v>
      </c>
      <c r="T26" s="113">
        <f t="shared" si="4"/>
        <v>46905</v>
      </c>
    </row>
    <row r="27" spans="1:31" outlineLevel="1">
      <c r="G27" s="21"/>
      <c r="H27" s="21"/>
    </row>
    <row r="28" spans="1:31" outlineLevel="1">
      <c r="C28" s="52" t="s">
        <v>136</v>
      </c>
      <c r="D28" s="16" t="s">
        <v>39</v>
      </c>
      <c r="E28" s="102" t="s">
        <v>64</v>
      </c>
      <c r="F28" s="119">
        <v>44531</v>
      </c>
      <c r="G28" s="21"/>
      <c r="H28" s="21"/>
      <c r="J28" s="104"/>
      <c r="K28" s="104"/>
      <c r="L28" s="104"/>
      <c r="M28" s="104"/>
      <c r="N28" s="118"/>
      <c r="O28" s="118"/>
      <c r="P28" s="118">
        <f>1461000/10^6</f>
        <v>1.4610000000000001</v>
      </c>
      <c r="Q28" s="118">
        <f>811000/10^6</f>
        <v>0.81100000000000005</v>
      </c>
      <c r="R28" s="118">
        <f>561000/10^6</f>
        <v>0.56100000000000005</v>
      </c>
      <c r="S28" s="118">
        <f t="shared" ref="S28:T28" si="5">561000/10^6</f>
        <v>0.56100000000000005</v>
      </c>
      <c r="T28" s="118">
        <f t="shared" si="5"/>
        <v>0.56100000000000005</v>
      </c>
      <c r="U28" s="191" t="s">
        <v>130</v>
      </c>
    </row>
    <row r="29" spans="1:31" outlineLevel="1">
      <c r="C29" s="52"/>
      <c r="D29" s="16" t="s">
        <v>39</v>
      </c>
      <c r="E29" s="102" t="s">
        <v>64</v>
      </c>
      <c r="F29" s="119">
        <v>44531</v>
      </c>
      <c r="G29" s="21"/>
      <c r="H29" s="21"/>
      <c r="J29" s="104"/>
      <c r="K29" s="104"/>
      <c r="L29" s="104"/>
      <c r="M29" s="104"/>
      <c r="N29" s="118"/>
      <c r="O29" s="118"/>
      <c r="P29" s="118"/>
      <c r="Q29" s="118"/>
      <c r="R29" s="118"/>
      <c r="S29" s="118"/>
      <c r="T29" s="118"/>
      <c r="U29" s="96"/>
    </row>
    <row r="30" spans="1:31" outlineLevel="1">
      <c r="C30" s="52"/>
      <c r="D30" s="16" t="s">
        <v>39</v>
      </c>
      <c r="E30" s="102" t="s">
        <v>64</v>
      </c>
      <c r="F30" s="119">
        <v>45078</v>
      </c>
      <c r="G30" s="21"/>
      <c r="H30" s="21"/>
      <c r="J30" s="104"/>
      <c r="K30" s="104"/>
      <c r="L30" s="104"/>
      <c r="M30" s="104"/>
      <c r="N30" s="118"/>
      <c r="O30" s="118"/>
      <c r="P30" s="118"/>
      <c r="Q30" s="118"/>
      <c r="R30" s="118"/>
      <c r="S30" s="118"/>
      <c r="T30" s="118"/>
      <c r="U30" s="96"/>
    </row>
    <row r="31" spans="1:31" outlineLevel="1">
      <c r="G31" s="21"/>
      <c r="H31" s="21"/>
    </row>
    <row r="32" spans="1:31" outlineLevel="1">
      <c r="C32" s="8" t="s">
        <v>106</v>
      </c>
      <c r="D32" s="16" t="s">
        <v>95</v>
      </c>
      <c r="E32" s="16" t="s">
        <v>107</v>
      </c>
      <c r="F32" s="16" t="s">
        <v>108</v>
      </c>
      <c r="J32" s="90" t="str">
        <f t="shared" ref="J32:T32" si="6">IF(J26=J4,IF(COUNTA($C28:$C30)=COUNT(J28:J30),"Ok","Check"),"")</f>
        <v/>
      </c>
      <c r="K32" s="90" t="str">
        <f t="shared" si="6"/>
        <v/>
      </c>
      <c r="L32" s="90" t="str">
        <f t="shared" si="6"/>
        <v/>
      </c>
      <c r="M32" s="90" t="str">
        <f t="shared" si="6"/>
        <v/>
      </c>
      <c r="N32" s="90" t="str">
        <f t="shared" si="6"/>
        <v/>
      </c>
      <c r="O32" s="90" t="str">
        <f t="shared" si="6"/>
        <v/>
      </c>
      <c r="P32" s="90" t="str">
        <f>IF(P26=P4,IF(COUNTA($C28:$C30)=COUNT(P28:P30),"Ok","Check"),"")</f>
        <v>Ok</v>
      </c>
      <c r="Q32" s="90" t="str">
        <f t="shared" si="6"/>
        <v>Ok</v>
      </c>
      <c r="R32" s="90" t="str">
        <f t="shared" si="6"/>
        <v>Ok</v>
      </c>
      <c r="S32" s="90" t="str">
        <f t="shared" si="6"/>
        <v>Ok</v>
      </c>
      <c r="T32" s="90" t="str">
        <f t="shared" si="6"/>
        <v>Ok</v>
      </c>
      <c r="U32" s="90"/>
      <c r="V32" s="24"/>
      <c r="X32" s="89" t="str">
        <f>IF(COUNTIF(J32:U32,"Check")=0,"Ok","Check")</f>
        <v>Ok</v>
      </c>
    </row>
    <row r="33" spans="1:31">
      <c r="G33" s="21"/>
      <c r="H33" s="21"/>
    </row>
    <row r="34" spans="1:31" customFormat="1" ht="12.75">
      <c r="A34" s="37"/>
      <c r="B34" s="43" t="s">
        <v>137</v>
      </c>
      <c r="C34" s="37"/>
      <c r="D34" s="37"/>
      <c r="E34" s="37"/>
      <c r="F34" s="38"/>
      <c r="G34" s="38"/>
      <c r="H34" s="38"/>
      <c r="I34" s="38"/>
      <c r="J34" s="39"/>
      <c r="K34" s="40"/>
      <c r="L34" s="39"/>
      <c r="M34" s="40"/>
      <c r="N34" s="39"/>
      <c r="O34" s="39"/>
      <c r="P34" s="39"/>
      <c r="Q34" s="39"/>
      <c r="R34" s="39"/>
      <c r="S34" s="39"/>
      <c r="T34" s="39"/>
      <c r="U34" s="39"/>
      <c r="V34" s="39"/>
      <c r="W34" s="40"/>
      <c r="X34" s="40"/>
      <c r="Y34" s="41"/>
      <c r="Z34" s="41"/>
      <c r="AA34" s="41"/>
      <c r="AB34" s="41"/>
      <c r="AC34" s="41"/>
      <c r="AD34" s="42"/>
      <c r="AE34" s="42"/>
    </row>
    <row r="35" spans="1:31" outlineLevel="1">
      <c r="G35" s="21"/>
      <c r="H35" s="21"/>
    </row>
    <row r="36" spans="1:31" outlineLevel="1">
      <c r="C36" s="9" t="s">
        <v>138</v>
      </c>
      <c r="D36" s="21" t="s">
        <v>33</v>
      </c>
      <c r="E36" s="21" t="s">
        <v>53</v>
      </c>
      <c r="F36" s="21" t="s">
        <v>59</v>
      </c>
      <c r="G36" s="21"/>
      <c r="H36" s="21"/>
      <c r="J36" s="113" t="str">
        <f t="shared" ref="J36:N36" si="7">IF(YEAR(J$4)&gt;=FPFirstYear,IF(YEAR(J$4)&lt;=FPLastYear,J$4,""),"")</f>
        <v/>
      </c>
      <c r="K36" s="113" t="str">
        <f t="shared" si="7"/>
        <v/>
      </c>
      <c r="L36" s="113" t="str">
        <f t="shared" si="7"/>
        <v/>
      </c>
      <c r="M36" s="113" t="str">
        <f t="shared" si="7"/>
        <v/>
      </c>
      <c r="N36" s="113" t="str">
        <f t="shared" si="7"/>
        <v/>
      </c>
      <c r="O36" s="113"/>
      <c r="P36" s="113">
        <f t="shared" ref="P36:T36" si="8">P$4</f>
        <v>45444</v>
      </c>
      <c r="Q36" s="113">
        <f t="shared" si="8"/>
        <v>45809</v>
      </c>
      <c r="R36" s="113">
        <f t="shared" si="8"/>
        <v>46174</v>
      </c>
      <c r="S36" s="113">
        <f t="shared" si="8"/>
        <v>46539</v>
      </c>
      <c r="T36" s="113">
        <f t="shared" si="8"/>
        <v>46905</v>
      </c>
    </row>
    <row r="37" spans="1:31" outlineLevel="1">
      <c r="G37" s="21"/>
      <c r="H37" s="21"/>
    </row>
    <row r="38" spans="1:31" outlineLevel="1">
      <c r="C38" s="15" t="s">
        <v>66</v>
      </c>
      <c r="D38" s="16" t="s">
        <v>139</v>
      </c>
      <c r="E38" s="16" t="s">
        <v>64</v>
      </c>
      <c r="F38" s="147">
        <v>45078</v>
      </c>
      <c r="G38" s="21"/>
      <c r="H38" s="21"/>
      <c r="J38" s="118"/>
      <c r="K38" s="118"/>
      <c r="L38" s="118"/>
      <c r="M38" s="118"/>
      <c r="N38" s="118"/>
      <c r="O38" s="118"/>
      <c r="P38" s="118">
        <v>0</v>
      </c>
      <c r="Q38" s="118">
        <v>0</v>
      </c>
      <c r="R38" s="118">
        <v>0</v>
      </c>
      <c r="S38" s="118">
        <v>0</v>
      </c>
      <c r="T38" s="118">
        <v>0</v>
      </c>
      <c r="U38" s="158"/>
    </row>
    <row r="39" spans="1:31" outlineLevel="1">
      <c r="G39" s="21"/>
      <c r="H39" s="21"/>
      <c r="U39" s="158"/>
    </row>
    <row r="40" spans="1:31" outlineLevel="1">
      <c r="C40" s="8" t="s">
        <v>106</v>
      </c>
      <c r="D40" s="16" t="s">
        <v>95</v>
      </c>
      <c r="E40" s="16" t="s">
        <v>107</v>
      </c>
      <c r="F40" s="16" t="s">
        <v>108</v>
      </c>
      <c r="J40" s="90" t="str">
        <f t="shared" ref="J40:T40" si="9">IF(J36=J4,IF(ISBLANK(J38),"Check","Ok"),"")</f>
        <v/>
      </c>
      <c r="K40" s="90" t="str">
        <f t="shared" si="9"/>
        <v/>
      </c>
      <c r="L40" s="90" t="str">
        <f t="shared" si="9"/>
        <v/>
      </c>
      <c r="M40" s="90" t="str">
        <f t="shared" si="9"/>
        <v/>
      </c>
      <c r="N40" s="90" t="str">
        <f t="shared" si="9"/>
        <v/>
      </c>
      <c r="O40" s="90" t="str">
        <f t="shared" si="9"/>
        <v/>
      </c>
      <c r="P40" s="90" t="str">
        <f t="shared" si="9"/>
        <v>Ok</v>
      </c>
      <c r="Q40" s="90" t="str">
        <f t="shared" si="9"/>
        <v>Ok</v>
      </c>
      <c r="R40" s="90" t="str">
        <f t="shared" si="9"/>
        <v>Ok</v>
      </c>
      <c r="S40" s="90" t="str">
        <f t="shared" si="9"/>
        <v>Ok</v>
      </c>
      <c r="T40" s="90" t="str">
        <f t="shared" si="9"/>
        <v>Ok</v>
      </c>
      <c r="U40" s="90"/>
      <c r="V40" s="24"/>
      <c r="X40" s="89" t="str">
        <f>IF(COUNTIF(J40:U40,"Check")=0,"Ok","Check")</f>
        <v>Ok</v>
      </c>
    </row>
    <row r="41" spans="1:31">
      <c r="G41" s="21"/>
      <c r="H41" s="21"/>
    </row>
    <row r="42" spans="1:31" customFormat="1" ht="12.75">
      <c r="A42" s="37"/>
      <c r="B42" s="43" t="s">
        <v>23</v>
      </c>
      <c r="C42" s="37"/>
      <c r="D42" s="37"/>
      <c r="E42" s="37"/>
      <c r="F42" s="38"/>
      <c r="G42" s="38"/>
      <c r="H42" s="38"/>
      <c r="I42" s="38"/>
      <c r="J42" s="39"/>
      <c r="K42" s="40"/>
      <c r="L42" s="39"/>
      <c r="M42" s="40"/>
      <c r="N42" s="39"/>
      <c r="O42" s="39"/>
      <c r="P42" s="39"/>
      <c r="Q42" s="39"/>
      <c r="R42" s="39"/>
      <c r="S42" s="39"/>
      <c r="T42" s="39"/>
      <c r="U42" s="39"/>
      <c r="V42" s="39"/>
      <c r="W42" s="40"/>
      <c r="X42" s="40"/>
      <c r="Y42" s="41"/>
      <c r="Z42" s="41"/>
      <c r="AA42" s="41"/>
      <c r="AB42" s="41"/>
      <c r="AC42" s="41"/>
      <c r="AD42" s="42"/>
      <c r="AE42" s="42"/>
    </row>
    <row r="43" spans="1:31" hidden="1">
      <c r="G43" s="21"/>
      <c r="H43" s="21"/>
    </row>
    <row r="44" spans="1:31" hidden="1">
      <c r="G44" s="21"/>
      <c r="H44" s="21"/>
    </row>
    <row r="45" spans="1:31" hidden="1">
      <c r="G45" s="21"/>
      <c r="H45" s="21"/>
    </row>
    <row r="46" spans="1:31" hidden="1">
      <c r="G46" s="21"/>
      <c r="H46" s="21"/>
    </row>
    <row r="47" spans="1:31" hidden="1">
      <c r="G47" s="21"/>
      <c r="H47" s="21"/>
    </row>
    <row r="48" spans="1:31" hidden="1">
      <c r="G48" s="21"/>
      <c r="H48" s="21"/>
    </row>
    <row r="49" spans="7:8" hidden="1">
      <c r="G49" s="21"/>
      <c r="H49" s="21"/>
    </row>
    <row r="50" spans="7:8" hidden="1">
      <c r="G50" s="21"/>
      <c r="H50" s="21"/>
    </row>
    <row r="51" spans="7:8" hidden="1">
      <c r="G51" s="21"/>
      <c r="H51" s="21"/>
    </row>
    <row r="52" spans="7:8" hidden="1">
      <c r="G52" s="21"/>
      <c r="H52" s="21"/>
    </row>
  </sheetData>
  <mergeCells count="1">
    <mergeCell ref="N3:S3"/>
  </mergeCells>
  <conditionalFormatting sqref="J28:M30 O29:T30">
    <cfRule type="expression" dxfId="80" priority="19">
      <formula>J$26=J$4</formula>
    </cfRule>
  </conditionalFormatting>
  <conditionalFormatting sqref="J10:T10">
    <cfRule type="expression" dxfId="79" priority="31">
      <formula>J$10=J$4</formula>
    </cfRule>
  </conditionalFormatting>
  <conditionalFormatting sqref="J12:T20">
    <cfRule type="expression" dxfId="78" priority="2">
      <formula>J$10=J$4</formula>
    </cfRule>
  </conditionalFormatting>
  <conditionalFormatting sqref="J26:T26">
    <cfRule type="expression" dxfId="77" priority="5">
      <formula>J$10=J$4</formula>
    </cfRule>
  </conditionalFormatting>
  <conditionalFormatting sqref="J36:T36">
    <cfRule type="expression" dxfId="76" priority="4">
      <formula>J$10=J$4</formula>
    </cfRule>
  </conditionalFormatting>
  <conditionalFormatting sqref="J38:T38">
    <cfRule type="expression" dxfId="75" priority="10">
      <formula>J$36=J$4</formula>
    </cfRule>
  </conditionalFormatting>
  <conditionalFormatting sqref="J22:U22">
    <cfRule type="cellIs" dxfId="74" priority="24" operator="equal">
      <formula>"Check"</formula>
    </cfRule>
    <cfRule type="cellIs" dxfId="73" priority="25" operator="equal">
      <formula>"Ok"</formula>
    </cfRule>
  </conditionalFormatting>
  <conditionalFormatting sqref="J32:U32">
    <cfRule type="cellIs" dxfId="72" priority="20" operator="equal">
      <formula>"Check"</formula>
    </cfRule>
    <cfRule type="cellIs" dxfId="71" priority="21" operator="equal">
      <formula>"Ok"</formula>
    </cfRule>
  </conditionalFormatting>
  <conditionalFormatting sqref="J40:U40">
    <cfRule type="cellIs" dxfId="70" priority="15" operator="equal">
      <formula>"Check"</formula>
    </cfRule>
    <cfRule type="cellIs" dxfId="69" priority="16" operator="equal">
      <formula>"Ok"</formula>
    </cfRule>
  </conditionalFormatting>
  <conditionalFormatting sqref="N28:N30">
    <cfRule type="expression" dxfId="68" priority="13">
      <formula>N$10=N$4</formula>
    </cfRule>
  </conditionalFormatting>
  <conditionalFormatting sqref="O28:T28">
    <cfRule type="expression" dxfId="67" priority="14">
      <formula>O$10=O$4</formula>
    </cfRule>
  </conditionalFormatting>
  <conditionalFormatting sqref="S1:T1">
    <cfRule type="cellIs" dxfId="66" priority="33" operator="equal">
      <formula>"Check"</formula>
    </cfRule>
    <cfRule type="cellIs" dxfId="65" priority="34" operator="equal">
      <formula>"Ok"</formula>
    </cfRule>
  </conditionalFormatting>
  <conditionalFormatting sqref="W1">
    <cfRule type="cellIs" dxfId="64" priority="35" operator="equal">
      <formula>"Check"</formula>
    </cfRule>
    <cfRule type="cellIs" dxfId="63" priority="36" operator="equal">
      <formula>"Ok"</formula>
    </cfRule>
  </conditionalFormatting>
  <conditionalFormatting sqref="X22">
    <cfRule type="cellIs" dxfId="62" priority="26" operator="equal">
      <formula>"Check"</formula>
    </cfRule>
    <cfRule type="cellIs" dxfId="61" priority="27" operator="equal">
      <formula>"Ok"</formula>
    </cfRule>
  </conditionalFormatting>
  <conditionalFormatting sqref="X32">
    <cfRule type="cellIs" dxfId="60" priority="22" operator="equal">
      <formula>"Check"</formula>
    </cfRule>
    <cfRule type="cellIs" dxfId="59" priority="23" operator="equal">
      <formula>"Ok"</formula>
    </cfRule>
  </conditionalFormatting>
  <conditionalFormatting sqref="X40">
    <cfRule type="cellIs" dxfId="58" priority="17" operator="equal">
      <formula>"Check"</formula>
    </cfRule>
    <cfRule type="cellIs" dxfId="57" priority="18" operator="equal">
      <formula>"Ok"</formula>
    </cfRule>
  </conditionalFormatting>
  <dataValidations count="2">
    <dataValidation type="list" allowBlank="1" showInputMessage="1" showErrorMessage="1" sqref="F23 F31 F33 F41" xr:uid="{00000000-0002-0000-0500-000000000000}">
      <formula1>"Real 2010,Real 2011,Real 2012,Real 2013,Real 2014,Real 2015,Nominal"</formula1>
    </dataValidation>
    <dataValidation type="list" allowBlank="1" showInputMessage="1" showErrorMessage="1" sqref="V28:V31 I38 V23 I23 I41 I28:I31 V33 I33 V41 V15:V21 V12:V13" xr:uid="{00000000-0002-0000-0500-000001000000}">
      <formula1>#REF!</formula1>
    </dataValidation>
  </dataValidations>
  <hyperlinks>
    <hyperlink ref="J1" location="Index!A1" display="Back to Index" xr:uid="{00000000-0004-0000-0500-000000000000}"/>
    <hyperlink ref="V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  <headerFooter>
    <oddFooter>&amp;C_x000D_&amp;1#&amp;"Century Gothic"&amp;7&amp;K7F7F7F BUSINESS USE ONLY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 xr:uid="{00000000-0002-0000-0500-000003000000}">
          <x14:formula1>
            <xm:f>'Lookup|Tables'!$C$67:$C$76</xm:f>
          </x14:formula1>
          <xm:sqref>F21</xm:sqref>
        </x14:dataValidation>
        <x14:dataValidation type="list" allowBlank="1" showInputMessage="1" showErrorMessage="1" xr:uid="{00000000-0002-0000-0500-000004000000}">
          <x14:formula1>
            <xm:f>'Lookup|Tables'!$H$41:$H$60</xm:f>
          </x14:formula1>
          <xm:sqref>F38 F28:F30 F12:F20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CCFFCC"/>
  </sheetPr>
  <dimension ref="A1:AM191"/>
  <sheetViews>
    <sheetView topLeftCell="A9" zoomScaleNormal="100" workbookViewId="0">
      <selection activeCell="W81" sqref="W81"/>
    </sheetView>
  </sheetViews>
  <sheetFormatPr defaultColWidth="0" defaultRowHeight="11.25" zeroHeight="1" outlineLevelRow="1"/>
  <cols>
    <col min="1" max="2" width="1.5" style="8" customWidth="1"/>
    <col min="3" max="3" width="32.5" style="8" customWidth="1"/>
    <col min="4" max="4" width="10.6640625" style="16" customWidth="1"/>
    <col min="5" max="5" width="15.6640625" style="16" customWidth="1"/>
    <col min="6" max="6" width="17.5" style="16" customWidth="1"/>
    <col min="7" max="9" width="3.5" style="16" customWidth="1"/>
    <col min="10" max="10" width="16.1640625" style="8" customWidth="1"/>
    <col min="11" max="11" width="13" style="8" customWidth="1"/>
    <col min="12" max="12" width="13.33203125" style="8" customWidth="1"/>
    <col min="13" max="13" width="13" style="8" customWidth="1"/>
    <col min="14" max="15" width="13.1640625" style="8" customWidth="1"/>
    <col min="16" max="24" width="10.6640625" style="8" customWidth="1"/>
    <col min="25" max="39" width="10.5" style="8" hidden="1" customWidth="1"/>
    <col min="40" max="16384" width="10.5" style="8" hidden="1"/>
  </cols>
  <sheetData>
    <row r="1" spans="1:31" s="32" customFormat="1" ht="15.75">
      <c r="B1" s="29" t="str">
        <f>Index!$B$1</f>
        <v>AER opex model v1.9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33" t="s">
        <v>29</v>
      </c>
      <c r="S1" s="34" t="s">
        <v>108</v>
      </c>
      <c r="T1" s="34"/>
      <c r="V1" s="129" t="s">
        <v>30</v>
      </c>
      <c r="W1" s="34" t="str">
        <f>'Check|List'!$S$1</f>
        <v>Ok</v>
      </c>
    </row>
    <row r="2" spans="1:31" s="36" customFormat="1" ht="13.5" thickBot="1">
      <c r="B2" s="35" t="str">
        <f>Index!$C$12</f>
        <v>Calc | Opex Forecast</v>
      </c>
      <c r="C2" s="35"/>
      <c r="D2" s="35"/>
      <c r="E2" s="35"/>
      <c r="F2" s="59"/>
      <c r="G2" s="59"/>
      <c r="H2" s="59"/>
      <c r="I2" s="59"/>
    </row>
    <row r="3" spans="1:31" s="60" customFormat="1">
      <c r="D3" s="124"/>
      <c r="E3" s="124"/>
      <c r="F3" s="124"/>
      <c r="G3" s="124"/>
      <c r="H3" s="124"/>
      <c r="I3" s="124"/>
      <c r="J3" s="120" t="s">
        <v>58</v>
      </c>
      <c r="K3" s="120"/>
      <c r="L3" s="120"/>
      <c r="M3" s="124"/>
      <c r="N3" s="198"/>
      <c r="O3" s="198"/>
      <c r="P3" s="198"/>
      <c r="Q3" s="198"/>
      <c r="R3" s="198"/>
      <c r="S3" s="198"/>
      <c r="T3" s="124"/>
      <c r="U3" s="61"/>
      <c r="V3" s="61"/>
      <c r="W3" s="61"/>
      <c r="X3" s="61"/>
      <c r="Y3" s="61"/>
      <c r="Z3" s="61"/>
      <c r="AA3" s="61"/>
    </row>
    <row r="4" spans="1:31" customFormat="1">
      <c r="A4" s="62"/>
      <c r="B4" s="62"/>
      <c r="C4" s="62"/>
      <c r="D4" s="63" t="s">
        <v>33</v>
      </c>
      <c r="E4" s="63" t="s">
        <v>53</v>
      </c>
      <c r="F4" s="64" t="s">
        <v>59</v>
      </c>
      <c r="G4" s="65"/>
      <c r="H4" s="65"/>
      <c r="I4" s="65"/>
      <c r="J4" s="155">
        <f>DATE(PPFirstYear,MONTH('Input|General'!$G$9),1)</f>
        <v>43435</v>
      </c>
      <c r="K4" s="155">
        <f>DATE(PPFirstYear+1,MONTH('Input|General'!$G$9),1)</f>
        <v>43800</v>
      </c>
      <c r="L4" s="155">
        <f>DATE(PPFirstYear+2,MONTH('Input|General'!$G$9),1)</f>
        <v>44166</v>
      </c>
      <c r="M4" s="155">
        <f>DATE(PPFirstYear+3,MONTH('Input|General'!$G$9),1)</f>
        <v>44531</v>
      </c>
      <c r="N4" s="155">
        <f>DATE(PPFirstYear+4,MONTH('Input|General'!$G$9),1)</f>
        <v>44896</v>
      </c>
      <c r="O4" s="155">
        <f>DATE(PPFirstYear+5,MONTH('Input|General'!$G$10),1)</f>
        <v>45078</v>
      </c>
      <c r="P4" s="155">
        <f>DATE(PPFirstYear+6,MONTH('Input|General'!$G$10),1)</f>
        <v>45444</v>
      </c>
      <c r="Q4" s="155">
        <f>DATE(PPFirstYear+7,MONTH('Input|General'!$G$10),1)</f>
        <v>45809</v>
      </c>
      <c r="R4" s="155">
        <f>DATE(PPFirstYear+8,MONTH('Input|General'!$G$10),1)</f>
        <v>46174</v>
      </c>
      <c r="S4" s="155">
        <f>DATE(PPFirstYear+9,MONTH('Input|General'!$G$10),1)</f>
        <v>46539</v>
      </c>
      <c r="T4" s="155">
        <f>DATE(PPFirstYear+10,MONTH('Input|General'!$G$10),1)</f>
        <v>46905</v>
      </c>
      <c r="U4" s="66"/>
      <c r="V4" s="66"/>
      <c r="W4" s="67"/>
      <c r="X4" s="67"/>
    </row>
    <row r="5" spans="1:31" s="6" customFormat="1" ht="3" customHeight="1">
      <c r="D5" s="27"/>
      <c r="E5" s="27"/>
      <c r="F5" s="27"/>
      <c r="G5" s="27"/>
      <c r="H5" s="27"/>
      <c r="I5" s="27"/>
    </row>
    <row r="6" spans="1:31" s="6" customFormat="1" ht="9" customHeight="1">
      <c r="D6" s="27"/>
      <c r="E6" s="27"/>
      <c r="F6" s="27"/>
      <c r="G6" s="27"/>
      <c r="H6" s="27"/>
      <c r="I6" s="27"/>
    </row>
    <row r="7" spans="1:31" s="6" customFormat="1" ht="3" customHeight="1">
      <c r="D7" s="27"/>
      <c r="E7" s="27"/>
      <c r="F7" s="27"/>
      <c r="G7" s="27"/>
      <c r="H7" s="27"/>
      <c r="I7" s="27"/>
    </row>
    <row r="8" spans="1:31" customFormat="1" ht="12.75">
      <c r="A8" s="37"/>
      <c r="B8" s="43" t="s">
        <v>140</v>
      </c>
      <c r="C8" s="37"/>
      <c r="D8" s="37"/>
      <c r="E8" s="58" t="s">
        <v>64</v>
      </c>
      <c r="F8" s="144">
        <v>45078</v>
      </c>
      <c r="G8" s="38"/>
      <c r="H8" s="38"/>
      <c r="I8" s="38"/>
      <c r="J8" s="39"/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39"/>
      <c r="W8" s="40"/>
      <c r="X8" s="40"/>
      <c r="Y8" s="41"/>
      <c r="Z8" s="41"/>
      <c r="AA8" s="41"/>
      <c r="AB8" s="41"/>
      <c r="AC8" s="41"/>
      <c r="AD8" s="42"/>
      <c r="AE8" s="42"/>
    </row>
    <row r="9" spans="1:31" outlineLevel="1">
      <c r="L9" s="166"/>
    </row>
    <row r="10" spans="1:31" outlineLevel="1">
      <c r="C10" s="9"/>
      <c r="D10" s="21" t="s">
        <v>33</v>
      </c>
      <c r="E10" s="21" t="s">
        <v>53</v>
      </c>
      <c r="F10" s="21" t="s">
        <v>59</v>
      </c>
      <c r="J10" s="113">
        <f>J$4</f>
        <v>43435</v>
      </c>
      <c r="K10" s="113">
        <f t="shared" ref="K10:O10" si="0">K$4</f>
        <v>43800</v>
      </c>
      <c r="L10" s="113">
        <f t="shared" si="0"/>
        <v>44166</v>
      </c>
      <c r="M10" s="113">
        <f t="shared" si="0"/>
        <v>44531</v>
      </c>
      <c r="N10" s="113">
        <f t="shared" si="0"/>
        <v>44896</v>
      </c>
      <c r="O10" s="113">
        <f t="shared" si="0"/>
        <v>45078</v>
      </c>
      <c r="P10" s="113"/>
      <c r="Q10" s="113"/>
      <c r="R10" s="113"/>
      <c r="S10" s="113"/>
      <c r="T10" s="113"/>
    </row>
    <row r="11" spans="1:31" outlineLevel="1">
      <c r="C11" s="15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spans="1:31" outlineLevel="1">
      <c r="C12" s="15" t="s">
        <v>141</v>
      </c>
      <c r="D12" s="72" t="s">
        <v>142</v>
      </c>
      <c r="E12" s="16" t="str">
        <f>'Input|Reported opex'!E79</f>
        <v>$millions</v>
      </c>
      <c r="F12" s="111" t="str">
        <f>'Input|Reported opex'!F79</f>
        <v>nominal</v>
      </c>
      <c r="J12" s="73">
        <f>IF(YEAR(J$4)=BaseYear,'Input|Reported opex'!J70,0)</f>
        <v>0</v>
      </c>
      <c r="K12" s="73">
        <f>IF(YEAR(K$4)=BaseYear,'Input|Reported opex'!K70,0)</f>
        <v>0</v>
      </c>
      <c r="L12" s="73">
        <f>IF(YEAR(L$4)=BaseYear,'Input|Reported opex'!L70,0)</f>
        <v>0</v>
      </c>
      <c r="M12" s="73">
        <f>IF(YEAR(M$4)=BaseYear,'Input|Reported opex'!M70,0)</f>
        <v>49.433800388258653</v>
      </c>
      <c r="N12" s="73">
        <f>IF(YEAR(N$4)=BaseYear,'Input|Reported opex'!N70,0)</f>
        <v>0</v>
      </c>
      <c r="O12" s="73">
        <f>IF(YEAR(O$4)=BaseYear,'Input|Reported opex'!O70,0)</f>
        <v>0</v>
      </c>
      <c r="P12" s="73">
        <f>IF(YEAR(P$4)=BaseYear,'Input|Reported opex'!P70,0)</f>
        <v>0</v>
      </c>
      <c r="Q12" s="73">
        <f>IF(YEAR(Q$4)=BaseYear,'Input|Reported opex'!Q70,0)</f>
        <v>0</v>
      </c>
      <c r="R12" s="73">
        <f>IF(YEAR(R$4)=BaseYear,'Input|Reported opex'!R70,0)</f>
        <v>0</v>
      </c>
      <c r="S12" s="73">
        <f>IF(YEAR(S$4)=BaseYear,'Input|Reported opex'!S70,0)</f>
        <v>0</v>
      </c>
      <c r="T12" s="73"/>
    </row>
    <row r="13" spans="1:31" outlineLevel="1">
      <c r="C13" s="15" t="s">
        <v>141</v>
      </c>
      <c r="D13" s="16" t="s">
        <v>52</v>
      </c>
      <c r="E13" s="16" t="str">
        <f>$E$8</f>
        <v>$millions</v>
      </c>
      <c r="F13" s="111">
        <f>$F$8</f>
        <v>45078</v>
      </c>
      <c r="J13" s="73">
        <f>J12*IF($F12="nominal",LOOKUP($F13,Nominal_to_Real,'Input|Rate of change'!K$26:K$32),INDEX('Input|Rate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K13" s="73">
        <f>K12*IF($F12="nominal",LOOKUP($F13,Nominal_to_Real,'Input|Rate of change'!L$26:L$32),INDEX('Input|Rate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L13" s="73">
        <f>L12*IF($F12="nominal",LOOKUP($F13,Nominal_to_Real,'Input|Rate of change'!M$26:M$32),INDEX('Input|Rate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M13" s="73">
        <f>M12*IF($F12="nominal",LOOKUP($F13,Nominal_to_Real,'Input|Rate of change'!N$26:N$32),INDEX('Input|Rate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55.574830193234668</v>
      </c>
      <c r="N13" s="73">
        <f>N12*IF($F12="nominal",LOOKUP($F13,Nominal_to_Real,'Input|Rate of change'!O$26:O$32),INDEX('Input|Rate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O13" s="73">
        <f>O12*IF($F12="nominal",LOOKUP($F13,Nominal_to_Real,'Input|Rate of change'!P$26:P$32),INDEX('Input|Rate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P13" s="73"/>
      <c r="Q13" s="73"/>
      <c r="R13" s="73"/>
      <c r="S13" s="73">
        <f>S12*IF($F12="nominal",LOOKUP($F13,Nominal_to_Real,'Input|Rate of change'!T$26:T$32),INDEX('Input|Rate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T13" s="73"/>
    </row>
    <row r="14" spans="1:31" outlineLevel="1">
      <c r="C14" s="15" t="s">
        <v>143</v>
      </c>
      <c r="D14" s="72" t="s">
        <v>142</v>
      </c>
      <c r="E14" s="16" t="str">
        <f>'Input|Reported opex'!E15</f>
        <v>$millions</v>
      </c>
      <c r="F14" s="111">
        <f>'Input|Reported opex'!F15</f>
        <v>43070</v>
      </c>
      <c r="J14" s="73">
        <f>IF(YEAR(J$4)=BaseYear,'Input|Reported opex'!J15,0)</f>
        <v>0</v>
      </c>
      <c r="K14" s="73">
        <f>IF(YEAR(K$4)=BaseYear,'Input|Reported opex'!K15,0)</f>
        <v>0</v>
      </c>
      <c r="L14" s="73">
        <f>IF(YEAR(L$4)=BaseYear,'Input|Reported opex'!L15,0)</f>
        <v>0</v>
      </c>
      <c r="M14" s="73">
        <f>IF(YEAR(M$4)=BaseYear,'Input|Reported opex'!M15,0)</f>
        <v>55.346133774432417</v>
      </c>
      <c r="N14" s="73">
        <f>IF(YEAR(N$4)=BaseYear,'Input|Reported opex'!N15,0)</f>
        <v>0</v>
      </c>
      <c r="O14" s="73">
        <f>IF(YEAR(O$4)=BaseYear,'Input|Reported opex'!O15,0)</f>
        <v>0</v>
      </c>
      <c r="P14" s="73">
        <f>IF(YEAR(P$4)=BaseYear,'Input|Reported opex'!P15,0)</f>
        <v>0</v>
      </c>
      <c r="Q14" s="73">
        <f>IF(YEAR(Q$4)=BaseYear,'Input|Reported opex'!Q15,0)</f>
        <v>0</v>
      </c>
      <c r="R14" s="73">
        <f>IF(YEAR(R$4)=BaseYear,'Input|Reported opex'!R15,0)</f>
        <v>0</v>
      </c>
      <c r="S14" s="73">
        <f>IF(YEAR(S$4)=BaseYear,'Input|Reported opex'!S15,0)</f>
        <v>0</v>
      </c>
      <c r="T14" s="73"/>
    </row>
    <row r="15" spans="1:31" outlineLevel="1">
      <c r="C15" s="15" t="s">
        <v>143</v>
      </c>
      <c r="D15" s="16" t="s">
        <v>52</v>
      </c>
      <c r="E15" s="16" t="str">
        <f>$E$8</f>
        <v>$millions</v>
      </c>
      <c r="F15" s="111">
        <f>$F$8</f>
        <v>45078</v>
      </c>
      <c r="J15" s="73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73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73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73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66.180497408565117</v>
      </c>
      <c r="N15" s="73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73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171"/>
      <c r="Q15" s="73"/>
      <c r="R15" s="73"/>
      <c r="S15" s="73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73"/>
    </row>
    <row r="16" spans="1:31" outlineLevel="1">
      <c r="C16" s="15" t="s">
        <v>144</v>
      </c>
      <c r="D16" s="72" t="s">
        <v>142</v>
      </c>
      <c r="E16" s="16" t="str">
        <f>'Input|Reported opex'!E38</f>
        <v>$millions</v>
      </c>
      <c r="F16" s="111">
        <f>'Input|Reported opex'!F38</f>
        <v>44896</v>
      </c>
      <c r="J16" s="73">
        <f>'Input|Reported opex'!J38</f>
        <v>0</v>
      </c>
      <c r="K16" s="73">
        <f>'Input|Reported opex'!K38</f>
        <v>0</v>
      </c>
      <c r="L16" s="73">
        <f>'Input|Reported opex'!L38</f>
        <v>0</v>
      </c>
      <c r="M16" s="73">
        <f>'Input|Reported opex'!M38</f>
        <v>0</v>
      </c>
      <c r="N16" s="73">
        <f>'Input|Reported opex'!N38</f>
        <v>0</v>
      </c>
      <c r="O16" s="73">
        <f>'Input|Reported opex'!O38</f>
        <v>31.323574760646352</v>
      </c>
      <c r="P16" s="73">
        <f>'Input|Reported opex'!P38</f>
        <v>0</v>
      </c>
      <c r="Q16" s="73">
        <f>'Input|Reported opex'!Q38</f>
        <v>0</v>
      </c>
      <c r="R16" s="73">
        <f>'Input|Reported opex'!R38</f>
        <v>0</v>
      </c>
      <c r="S16" s="73">
        <f>'Input|Reported opex'!S38</f>
        <v>0</v>
      </c>
      <c r="T16" s="73">
        <f>'Input|Reported opex'!T38</f>
        <v>0</v>
      </c>
    </row>
    <row r="17" spans="3:20" outlineLevel="1">
      <c r="C17" s="15" t="s">
        <v>144</v>
      </c>
      <c r="D17" s="16" t="s">
        <v>52</v>
      </c>
      <c r="E17" s="16" t="str">
        <f>$E$8</f>
        <v>$millions</v>
      </c>
      <c r="F17" s="111">
        <f>$F$8</f>
        <v>45078</v>
      </c>
      <c r="J17" s="73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73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73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73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73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O17" s="73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32.050522520598662</v>
      </c>
      <c r="P17" s="73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73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73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73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73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5" t="s">
        <v>145</v>
      </c>
      <c r="D18" s="16" t="s">
        <v>52</v>
      </c>
      <c r="E18" s="16" t="str">
        <f>$E$8</f>
        <v>$millions</v>
      </c>
      <c r="F18" s="111">
        <f>$F$8</f>
        <v>45078</v>
      </c>
      <c r="J18" s="73">
        <f>J17*2</f>
        <v>0</v>
      </c>
      <c r="K18" s="73">
        <f t="shared" ref="K18:T18" si="1">K17*2</f>
        <v>0</v>
      </c>
      <c r="L18" s="73">
        <f t="shared" si="1"/>
        <v>0</v>
      </c>
      <c r="M18" s="73">
        <f t="shared" si="1"/>
        <v>0</v>
      </c>
      <c r="N18" s="73">
        <f t="shared" si="1"/>
        <v>0</v>
      </c>
      <c r="O18" s="73">
        <f>O17*2</f>
        <v>64.101045041197324</v>
      </c>
      <c r="P18" s="73">
        <f t="shared" si="1"/>
        <v>0</v>
      </c>
      <c r="Q18" s="73">
        <f t="shared" si="1"/>
        <v>0</v>
      </c>
      <c r="R18" s="73">
        <f t="shared" si="1"/>
        <v>0</v>
      </c>
      <c r="S18" s="73">
        <f t="shared" si="1"/>
        <v>0</v>
      </c>
      <c r="T18" s="73">
        <f t="shared" si="1"/>
        <v>0</v>
      </c>
    </row>
    <row r="19" spans="3:20" outlineLevel="1">
      <c r="C19" s="15"/>
      <c r="F19" s="111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</row>
    <row r="20" spans="3:20" outlineLevel="1">
      <c r="C20" s="15" t="s">
        <v>146</v>
      </c>
      <c r="D20" s="72" t="s">
        <v>142</v>
      </c>
      <c r="E20" s="16" t="str">
        <f>'Input|Reported opex'!E86</f>
        <v>$millions</v>
      </c>
      <c r="F20" s="111" t="str">
        <f>'Input|Reported opex'!F79</f>
        <v>nominal</v>
      </c>
      <c r="J20" s="73">
        <f>IF(YEAR(J$4)=BaseYear,'Input|Reported opex'!J79,0)</f>
        <v>0</v>
      </c>
      <c r="K20" s="73">
        <f>IF(YEAR(K$4)=BaseYear,'Input|Reported opex'!K79,0)</f>
        <v>0</v>
      </c>
      <c r="L20" s="73">
        <f>IF(YEAR(L$4)=BaseYear,'Input|Reported opex'!L79,0)</f>
        <v>0</v>
      </c>
      <c r="M20" s="73">
        <f>IF(YEAR(M$4)=BaseYear,'Input|Reported opex'!M79,0)</f>
        <v>0</v>
      </c>
      <c r="N20" s="73">
        <f>IF(YEAR(N$4)=BaseYear,'Input|Reported opex'!N79,0)</f>
        <v>0</v>
      </c>
      <c r="O20" s="73">
        <f>IF(YEAR(O$4)=BaseYear,'Input|Reported opex'!O79,0)</f>
        <v>0</v>
      </c>
      <c r="P20" s="73">
        <f>IF(YEAR(P$4)=BaseYear,'Input|Reported opex'!P79,0)</f>
        <v>0</v>
      </c>
      <c r="Q20" s="73">
        <f>IF(YEAR(Q$4)=BaseYear,'Input|Reported opex'!Q79,0)</f>
        <v>0</v>
      </c>
      <c r="R20" s="73">
        <f>IF(YEAR(R$4)=BaseYear,'Input|Reported opex'!R79,0)</f>
        <v>0</v>
      </c>
      <c r="S20" s="73">
        <f>IF(YEAR(S$4)=BaseYear,'Input|Reported opex'!S79,0)</f>
        <v>0</v>
      </c>
      <c r="T20" s="73"/>
    </row>
    <row r="21" spans="3:20" outlineLevel="1">
      <c r="C21" s="15" t="s">
        <v>146</v>
      </c>
      <c r="D21" s="16" t="s">
        <v>52</v>
      </c>
      <c r="E21" s="16" t="str">
        <f>$E$8</f>
        <v>$millions</v>
      </c>
      <c r="F21" s="111">
        <f>$F$8</f>
        <v>45078</v>
      </c>
      <c r="J21" s="73">
        <f>J20*IF($F20="nominal",LOOKUP($F21,Nominal_to_Real,'Input|Rate of change'!K$26:K$32),INDEX('Input|Rate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K21" s="73">
        <f>K20*IF($F20="nominal",LOOKUP($F21,Nominal_to_Real,'Input|Rate of change'!L$26:L$32),INDEX('Input|Rate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L21" s="73">
        <f>L20*IF($F20="nominal",LOOKUP($F21,Nominal_to_Real,'Input|Rate of change'!M$26:M$32),INDEX('Input|Rate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M21" s="73">
        <f>M20*IF($F20="nominal",LOOKUP($F21,Nominal_to_Real,'Input|Rate of change'!N$26:N$32),INDEX('Input|Rate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N21" s="73">
        <f>N20*IF($F20="nominal",LOOKUP($F21,Nominal_to_Real,'Input|Rate of change'!O$26:O$32),INDEX('Input|Rate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O21" s="73">
        <f>O20*IF($F20="nominal",LOOKUP($F21,Nominal_to_Real,'Input|Rate of change'!P$26:P$32),INDEX('Input|Rate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P21" s="73">
        <f>P20*IF($F20="nominal",LOOKUP($F21,Nominal_to_Real,'Input|Rate of change'!Q$26:Q$32),INDEX('Input|Rate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Q21" s="73">
        <f>Q20*IF($F20="nominal",LOOKUP($F21,Nominal_to_Real,'Input|Rate of change'!R$26:R$32),INDEX('Input|Rate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R21" s="73">
        <f>R20*IF($F20="nominal",LOOKUP($F21,Nominal_to_Real,'Input|Rate of change'!S$26:S$32),INDEX('Input|Rate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S21" s="73">
        <f>S20*IF($F20="nominal",LOOKUP($F21,Nominal_to_Real,'Input|Rate of change'!T$26:T$32),INDEX('Input|Rate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T21" s="73"/>
    </row>
    <row r="22" spans="3:20" outlineLevel="1">
      <c r="C22" s="15" t="s">
        <v>147</v>
      </c>
      <c r="D22" s="72" t="s">
        <v>142</v>
      </c>
      <c r="E22" s="16" t="str">
        <f>'Input|Reported opex'!E22</f>
        <v>$millions</v>
      </c>
      <c r="F22" s="111">
        <f>'Input|Reported opex'!F29</f>
        <v>43070</v>
      </c>
      <c r="J22" s="73">
        <f>IF(YEAR(J$4)=BaseYear,'Input|Reported opex'!J29,0)</f>
        <v>0</v>
      </c>
      <c r="K22" s="73">
        <f>IF(YEAR(K$4)=BaseYear,'Input|Reported opex'!K29,0)</f>
        <v>0</v>
      </c>
      <c r="L22" s="73">
        <f>IF(YEAR(L$4)=BaseYear,'Input|Reported opex'!L29,0)</f>
        <v>0</v>
      </c>
      <c r="M22" s="73">
        <f>IF(YEAR(M$4)=BaseYear,'Input|Reported opex'!M29,0)</f>
        <v>3.6535190191281295</v>
      </c>
      <c r="N22" s="73">
        <f>IF(YEAR(N$4)=BaseYear,'Input|Reported opex'!N29,0)</f>
        <v>0</v>
      </c>
      <c r="O22" s="73">
        <f>IF(YEAR(O$4)=BaseYear,'Input|Reported opex'!O29,0)</f>
        <v>0</v>
      </c>
      <c r="P22" s="73">
        <f>IF(YEAR(P$4)=BaseYear,'Input|Reported opex'!P29,0)</f>
        <v>0</v>
      </c>
      <c r="Q22" s="73">
        <f>IF(YEAR(Q$4)=BaseYear,'Input|Reported opex'!Q29,0)</f>
        <v>0</v>
      </c>
      <c r="R22" s="73">
        <f>IF(YEAR(R$4)=BaseYear,'Input|Reported opex'!R29,0)</f>
        <v>0</v>
      </c>
      <c r="S22" s="73">
        <f>IF(YEAR(S$4)=BaseYear,'Input|Reported opex'!S29,0)</f>
        <v>0</v>
      </c>
      <c r="T22" s="73"/>
    </row>
    <row r="23" spans="3:20" outlineLevel="1">
      <c r="C23" s="15" t="s">
        <v>147</v>
      </c>
      <c r="D23" s="16" t="s">
        <v>52</v>
      </c>
      <c r="E23" s="16" t="str">
        <f>$E$8</f>
        <v>$millions</v>
      </c>
      <c r="F23" s="111">
        <f>$F$8</f>
        <v>45078</v>
      </c>
      <c r="J23" s="73">
        <f>J22*IF($F22="nominal",LOOKUP($F23,Nominal_to_Real,'Input|Rate of change'!K$26:K$32),INDEX('Input|Rate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K23" s="73">
        <f>K22*IF($F22="nominal",LOOKUP($F23,Nominal_to_Real,'Input|Rate of change'!L$26:L$32),INDEX('Input|Rate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L23" s="73">
        <f>L22*IF($F22="nominal",LOOKUP($F23,Nominal_to_Real,'Input|Rate of change'!M$26:M$32),INDEX('Input|Rate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M23" s="73">
        <f>M22*IF($F22="nominal",LOOKUP($F23,Nominal_to_Real,'Input|Rate of change'!N$26:N$32),INDEX('Input|Rate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4.3687189960367228</v>
      </c>
      <c r="N23" s="73">
        <f>N22*IF($F22="nominal",LOOKUP($F23,Nominal_to_Real,'Input|Rate of change'!O$26:O$32),INDEX('Input|Rate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O23" s="73">
        <f>O22*IF($F22="nominal",LOOKUP($F23,Nominal_to_Real,'Input|Rate of change'!P$26:P$32),INDEX('Input|Rate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P23" s="73">
        <f>P22*IF($F22="nominal",LOOKUP($F23,Nominal_to_Real,'Input|Rate of change'!Q$26:Q$32),INDEX('Input|Rate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Q23" s="73">
        <f>Q22*IF($F22="nominal",LOOKUP($F23,Nominal_to_Real,'Input|Rate of change'!R$26:R$32),INDEX('Input|Rate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R23" s="73">
        <f>R22*IF($F22="nominal",LOOKUP($F23,Nominal_to_Real,'Input|Rate of change'!S$26:S$32),INDEX('Input|Rate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S23" s="73">
        <f>S22*IF($F22="nominal",LOOKUP($F23,Nominal_to_Real,'Input|Rate of change'!T$26:T$32),INDEX('Input|Rate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T23" s="73"/>
    </row>
    <row r="24" spans="3:20" outlineLevel="1">
      <c r="C24" s="15" t="s">
        <v>148</v>
      </c>
      <c r="D24" s="72" t="s">
        <v>142</v>
      </c>
      <c r="E24" s="16" t="str">
        <f>'Input|Reported opex'!E52</f>
        <v>$millions</v>
      </c>
      <c r="F24" s="111">
        <f>'Input|Reported opex'!F52</f>
        <v>44896</v>
      </c>
      <c r="J24" s="73">
        <f>IF(YEAR(J$4)=InterveningPeriod,'Input|Reported opex'!J52,0)</f>
        <v>0</v>
      </c>
      <c r="K24" s="73">
        <f>IF(YEAR(K$4)=InterveningPeriod,'Input|Reported opex'!K52,0)</f>
        <v>0</v>
      </c>
      <c r="L24" s="73">
        <f>IF(YEAR(L$4)=InterveningPeriod,'Input|Reported opex'!L52,0)</f>
        <v>0</v>
      </c>
      <c r="M24" s="73">
        <f>IF(YEAR(M$4)=InterveningPeriod,'Input|Reported opex'!M52,0)</f>
        <v>0</v>
      </c>
      <c r="N24" s="73">
        <f>IF(YEAR(N$4)=InterveningPeriod,'Input|Reported opex'!N52,0)</f>
        <v>0</v>
      </c>
      <c r="O24" s="73">
        <f>IF(YEAR(O$4)=InterveningPeriod,'Input|Reported opex'!O52,0)</f>
        <v>0.4586182624510437</v>
      </c>
      <c r="P24" s="73">
        <f>IF(YEAR(P$4)=InterveningPeriod,'Input|Reported opex'!P52,0)</f>
        <v>0</v>
      </c>
      <c r="Q24" s="73">
        <f>IF(YEAR(Q$4)=InterveningPeriod,'Input|Reported opex'!Q52,0)</f>
        <v>0</v>
      </c>
      <c r="R24" s="73">
        <f>IF(YEAR(R$4)=InterveningPeriod,'Input|Reported opex'!R52,0)</f>
        <v>0</v>
      </c>
      <c r="S24" s="73">
        <f>IF(YEAR(S$4)=InterveningPeriod,'Input|Reported opex'!S52,0)</f>
        <v>0</v>
      </c>
      <c r="T24" s="73">
        <f>IF(YEAR(T$4)=InterveningPeriod,'Input|Reported opex'!T52,0)</f>
        <v>0</v>
      </c>
    </row>
    <row r="25" spans="3:20" outlineLevel="1">
      <c r="C25" s="15" t="s">
        <v>148</v>
      </c>
      <c r="D25" s="16" t="s">
        <v>52</v>
      </c>
      <c r="E25" s="16" t="str">
        <f>$E$8</f>
        <v>$millions</v>
      </c>
      <c r="F25" s="111">
        <f>$F$8</f>
        <v>45078</v>
      </c>
      <c r="J25" s="73">
        <f>J24*IF($F24="nominal",LOOKUP($F25,Nominal_to_Real,'Input|Rate of change'!K$26:K$32),INDEX('Input|Rate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K25" s="73">
        <f>K24*IF($F24="nominal",LOOKUP($F25,Nominal_to_Real,'Input|Rate of change'!L$26:L$32),INDEX('Input|Rate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L25" s="73">
        <f>L24*IF($F24="nominal",LOOKUP($F25,Nominal_to_Real,'Input|Rate of change'!M$26:M$32),INDEX('Input|Rate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M25" s="73">
        <f>M24*IF($F24="nominal",LOOKUP($F25,Nominal_to_Real,'Input|Rate of change'!N$26:N$32),INDEX('Input|Rate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N25" s="73">
        <f>N24*IF($F24="nominal",LOOKUP($F25,Nominal_to_Real,'Input|Rate of change'!O$26:O$32),INDEX('Input|Rate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O25" s="73">
        <f>O24*IF($F24="nominal",LOOKUP($F25,Nominal_to_Real,'Input|Rate of change'!P$26:P$32),INDEX('Input|Rate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0.4692617321415104</v>
      </c>
      <c r="P25" s="73">
        <f>P24*IF($F24="nominal",LOOKUP($F25,Nominal_to_Real,'Input|Rate of change'!Q$26:Q$32),INDEX('Input|Rate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Q25" s="73">
        <f>Q24*IF($F24="nominal",LOOKUP($F25,Nominal_to_Real,'Input|Rate of change'!R$26:R$32),INDEX('Input|Rate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R25" s="73">
        <f>R24*IF($F24="nominal",LOOKUP($F25,Nominal_to_Real,'Input|Rate of change'!S$26:S$32),INDEX('Input|Rate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S25" s="73">
        <f>S24*IF($F24="nominal",LOOKUP($F25,Nominal_to_Real,'Input|Rate of change'!T$26:T$32),INDEX('Input|Rate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T25" s="73">
        <f>T24*IF($F24="nominal",LOOKUP($F25,Nominal_to_Real,'Input|Rate of change'!U$26:U$32),INDEX('Input|Rate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</row>
    <row r="26" spans="3:20" outlineLevel="1">
      <c r="C26" s="15" t="s">
        <v>149</v>
      </c>
      <c r="D26" s="16" t="s">
        <v>52</v>
      </c>
      <c r="E26" s="16" t="str">
        <f>$E$8</f>
        <v>$millions</v>
      </c>
      <c r="F26" s="111">
        <f>$F$8</f>
        <v>45078</v>
      </c>
      <c r="J26" s="73">
        <f>J25*2</f>
        <v>0</v>
      </c>
      <c r="K26" s="73">
        <f t="shared" ref="K26:T26" si="2">K25*2</f>
        <v>0</v>
      </c>
      <c r="L26" s="73">
        <f t="shared" si="2"/>
        <v>0</v>
      </c>
      <c r="M26" s="73">
        <f t="shared" si="2"/>
        <v>0</v>
      </c>
      <c r="N26" s="73">
        <f t="shared" si="2"/>
        <v>0</v>
      </c>
      <c r="O26" s="73">
        <f>O25*2</f>
        <v>0.9385234642830208</v>
      </c>
      <c r="P26" s="73">
        <f t="shared" si="2"/>
        <v>0</v>
      </c>
      <c r="Q26" s="73">
        <f t="shared" si="2"/>
        <v>0</v>
      </c>
      <c r="R26" s="73">
        <f t="shared" si="2"/>
        <v>0</v>
      </c>
      <c r="S26" s="73">
        <f t="shared" si="2"/>
        <v>0</v>
      </c>
      <c r="T26" s="73">
        <f t="shared" si="2"/>
        <v>0</v>
      </c>
    </row>
    <row r="27" spans="3:20" outlineLevel="1">
      <c r="C27" s="15"/>
      <c r="F27" s="203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</row>
    <row r="28" spans="3:20" outlineLevel="1">
      <c r="C28" s="74" t="s">
        <v>150</v>
      </c>
      <c r="D28" s="75" t="s">
        <v>52</v>
      </c>
      <c r="E28" s="75" t="str">
        <f>$E$8</f>
        <v>$millions</v>
      </c>
      <c r="F28" s="111">
        <f>$F$8</f>
        <v>45078</v>
      </c>
      <c r="J28" s="76">
        <f t="shared" ref="J28:S28" si="3">J13</f>
        <v>0</v>
      </c>
      <c r="K28" s="76">
        <f>K13</f>
        <v>0</v>
      </c>
      <c r="L28" s="76">
        <f t="shared" si="3"/>
        <v>0</v>
      </c>
      <c r="M28" s="76">
        <f t="shared" si="3"/>
        <v>55.574830193234668</v>
      </c>
      <c r="N28" s="76">
        <f t="shared" si="3"/>
        <v>0</v>
      </c>
      <c r="O28" s="76">
        <f t="shared" si="3"/>
        <v>0</v>
      </c>
      <c r="P28" s="76">
        <f t="shared" si="3"/>
        <v>0</v>
      </c>
      <c r="Q28" s="76">
        <f t="shared" si="3"/>
        <v>0</v>
      </c>
      <c r="R28" s="76">
        <f t="shared" si="3"/>
        <v>0</v>
      </c>
      <c r="S28" s="76">
        <f t="shared" si="3"/>
        <v>0</v>
      </c>
      <c r="T28" s="76"/>
    </row>
    <row r="29" spans="3:20" outlineLevel="1">
      <c r="C29" s="83"/>
      <c r="F29" s="111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</row>
    <row r="30" spans="3:20" outlineLevel="1">
      <c r="C30" s="83" t="s">
        <v>151</v>
      </c>
      <c r="D30" s="72" t="s">
        <v>142</v>
      </c>
      <c r="E30" s="16" t="str">
        <f>'Input|Reported opex'!E91</f>
        <v>$millions</v>
      </c>
      <c r="F30" s="111">
        <f>'Input|Reported opex'!F91</f>
        <v>45078</v>
      </c>
      <c r="J30" s="76">
        <f>IF('Input|Reported opex'!J$83=J$10,'Input|Reported opex'!J91,0)</f>
        <v>0</v>
      </c>
      <c r="K30" s="76">
        <f>IF('Input|Reported opex'!K$83=K$10,'Input|Reported opex'!K91,0)</f>
        <v>0</v>
      </c>
      <c r="L30" s="76">
        <f>IF('Input|Reported opex'!L$83=L$10,'Input|Reported opex'!L91,0)</f>
        <v>0</v>
      </c>
      <c r="M30" s="76">
        <f>IF('Input|Reported opex'!M$83=M$10,'Input|Reported opex'!M91,0)</f>
        <v>0</v>
      </c>
      <c r="N30" s="76">
        <f>IF('Input|Reported opex'!N$83=N$10,'Input|Reported opex'!N91,0)</f>
        <v>0</v>
      </c>
      <c r="O30" s="76">
        <f>IF('Input|Reported opex'!O$83=O$10,'Input|Reported opex'!O91,0)</f>
        <v>0</v>
      </c>
      <c r="P30" s="76">
        <f>IF('Input|Reported opex'!P$83=P$10,'Input|Reported opex'!P91,0)</f>
        <v>0</v>
      </c>
      <c r="Q30" s="76">
        <f>IF('Input|Reported opex'!Q$83=Q$10,'Input|Reported opex'!Q91,0)</f>
        <v>0</v>
      </c>
      <c r="R30" s="76">
        <f>IF('Input|Reported opex'!R$83=R$10,'Input|Reported opex'!R91,0)</f>
        <v>0</v>
      </c>
      <c r="S30" s="76">
        <f>IF('Input|Reported opex'!S$83=S$10,'Input|Reported opex'!S91,0)</f>
        <v>0</v>
      </c>
      <c r="T30" s="76">
        <f>IF('Input|Reported opex'!T$83=T$10,'Input|Reported opex'!T91,0)</f>
        <v>0</v>
      </c>
    </row>
    <row r="31" spans="3:20" outlineLevel="1">
      <c r="C31" s="83" t="str">
        <f>C30</f>
        <v>Add back non-recurrent efficiency gains in the base year</v>
      </c>
      <c r="D31" s="16" t="s">
        <v>52</v>
      </c>
      <c r="E31" s="16" t="str">
        <f>$E$8</f>
        <v>$millions</v>
      </c>
      <c r="F31" s="111">
        <f>$F$8</f>
        <v>45078</v>
      </c>
      <c r="J31" s="73">
        <f>J30*IF($F30="nominal",LOOKUP($F31,Nominal_to_Real,'Input|Rate of change'!K$26:K$32),INDEX('Input|Rate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K31" s="73">
        <f>K30*IF($F30="nominal",LOOKUP($F31,Nominal_to_Real,'Input|Rate of change'!L$26:L$32),INDEX('Input|Rate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L31" s="73">
        <f>L30*IF($F30="nominal",LOOKUP($F31,Nominal_to_Real,'Input|Rate of change'!M$26:M$32),INDEX('Input|Rate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M31" s="73">
        <f>M30*IF($F30="nominal",LOOKUP($F31,Nominal_to_Real,'Input|Rate of change'!N$26:N$32),INDEX('Input|Rate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N31" s="73">
        <f>N30*IF($F30="nominal",LOOKUP($F31,Nominal_to_Real,'Input|Rate of change'!O$26:O$32),INDEX('Input|Rate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O31" s="73">
        <f>O30*IF($F30="nominal",LOOKUP($F31,Nominal_to_Real,'Input|Rate of change'!P$26:P$32),INDEX('Input|Rate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P31" s="73">
        <f>P30*IF($F30="nominal",LOOKUP($F31,Nominal_to_Real,'Input|Rate of change'!Q$26:Q$32),INDEX('Input|Rate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Q31" s="73">
        <f>Q30*IF($F30="nominal",LOOKUP($F31,Nominal_to_Real,'Input|Rate of change'!R$26:R$32),INDEX('Input|Rate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R31" s="73">
        <f>R30*IF($F30="nominal",LOOKUP($F31,Nominal_to_Real,'Input|Rate of change'!S$26:S$32),INDEX('Input|Rate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S31" s="73">
        <f>S30*IF($F30="nominal",LOOKUP($F31,Nominal_to_Real,'Input|Rate of change'!T$26:T$32),INDEX('Input|Rate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T31" s="76"/>
    </row>
    <row r="32" spans="3:20" outlineLevel="1">
      <c r="C32" s="83"/>
      <c r="F32" s="111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</row>
    <row r="33" spans="3:20" outlineLevel="1">
      <c r="C33" s="83" t="s">
        <v>152</v>
      </c>
      <c r="D33" s="16" t="s">
        <v>52</v>
      </c>
      <c r="E33" s="16" t="str">
        <f>$E$8</f>
        <v>$millions</v>
      </c>
      <c r="F33" s="111">
        <f>$F$8</f>
        <v>45078</v>
      </c>
      <c r="J33" s="76">
        <f t="shared" ref="J33:T33" si="4">IF(YEAR(J$4)=InterveningPeriod,-SUM($J15:$S15)+SUM($J18:$S18),0)</f>
        <v>0</v>
      </c>
      <c r="K33" s="76">
        <f t="shared" si="4"/>
        <v>0</v>
      </c>
      <c r="L33" s="76">
        <f t="shared" si="4"/>
        <v>0</v>
      </c>
      <c r="M33" s="76">
        <f t="shared" si="4"/>
        <v>0</v>
      </c>
      <c r="N33" s="76">
        <f t="shared" si="4"/>
        <v>0</v>
      </c>
      <c r="O33" s="76">
        <f>IF(YEAR(O$4)=InterveningPeriod,-SUM($J15:$S15)+SUM($J18:$S18),0)</f>
        <v>-2.0794523673677929</v>
      </c>
      <c r="P33" s="76">
        <f t="shared" si="4"/>
        <v>0</v>
      </c>
      <c r="Q33" s="76">
        <f t="shared" si="4"/>
        <v>0</v>
      </c>
      <c r="R33" s="76">
        <f t="shared" si="4"/>
        <v>0</v>
      </c>
      <c r="S33" s="76">
        <f t="shared" si="4"/>
        <v>0</v>
      </c>
      <c r="T33" s="76">
        <f t="shared" si="4"/>
        <v>0</v>
      </c>
    </row>
    <row r="34" spans="3:20" outlineLevel="1">
      <c r="C34" s="83"/>
      <c r="F34" s="111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</row>
    <row r="35" spans="3:20" outlineLevel="1">
      <c r="C35" s="83" t="s">
        <v>153</v>
      </c>
      <c r="D35" s="16" t="s">
        <v>52</v>
      </c>
      <c r="E35" s="16" t="str">
        <f>$E$8</f>
        <v>$millions</v>
      </c>
      <c r="F35" s="111">
        <f>$F$8</f>
        <v>45078</v>
      </c>
      <c r="J35" s="76">
        <f t="shared" ref="J35:T35" si="5">IF(YEAR(J$4)=InterveningPeriod,SUM($J28:$S28,$J31:$S31,$J33:$S33),0)</f>
        <v>0</v>
      </c>
      <c r="K35" s="76">
        <f t="shared" si="5"/>
        <v>0</v>
      </c>
      <c r="L35" s="76">
        <f t="shared" si="5"/>
        <v>0</v>
      </c>
      <c r="M35" s="76">
        <f t="shared" si="5"/>
        <v>0</v>
      </c>
      <c r="N35" s="76">
        <f t="shared" si="5"/>
        <v>0</v>
      </c>
      <c r="O35" s="76">
        <f>IF(YEAR(O$4)=InterveningPeriod,SUM($J28:$S28,$J31:$S31,$J33:$S33),0)</f>
        <v>53.495377825866875</v>
      </c>
      <c r="P35" s="76">
        <f t="shared" si="5"/>
        <v>0</v>
      </c>
      <c r="Q35" s="76">
        <f t="shared" si="5"/>
        <v>0</v>
      </c>
      <c r="R35" s="76">
        <f t="shared" si="5"/>
        <v>0</v>
      </c>
      <c r="S35" s="76">
        <f t="shared" si="5"/>
        <v>0</v>
      </c>
      <c r="T35" s="76">
        <f t="shared" si="5"/>
        <v>0</v>
      </c>
    </row>
    <row r="36" spans="3:20" outlineLevel="1">
      <c r="C36" s="83"/>
      <c r="F36" s="111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</row>
    <row r="37" spans="3:20" outlineLevel="1">
      <c r="C37" s="83" t="s">
        <v>154</v>
      </c>
      <c r="D37" s="16" t="s">
        <v>52</v>
      </c>
      <c r="E37" s="16" t="str">
        <f>$E$8</f>
        <v>$millions</v>
      </c>
      <c r="F37" s="111">
        <f>$F$8</f>
        <v>45078</v>
      </c>
      <c r="J37" s="76">
        <f t="shared" ref="J37:T37" si="6">IF(YEAR(J$4)=InterveningPeriod,-(SUM($J21:$S21)-SUM($J23:$S23)+SUM($J26:$S26)),0)</f>
        <v>0</v>
      </c>
      <c r="K37" s="76">
        <f t="shared" si="6"/>
        <v>0</v>
      </c>
      <c r="L37" s="76">
        <f t="shared" si="6"/>
        <v>0</v>
      </c>
      <c r="M37" s="76">
        <f t="shared" si="6"/>
        <v>0</v>
      </c>
      <c r="N37" s="76">
        <f t="shared" si="6"/>
        <v>0</v>
      </c>
      <c r="O37" s="76">
        <f>IF(YEAR(O$4)=InterveningPeriod,-(SUM($J21:$S21)-SUM($J23:$S23)+SUM($J26:$S26)),0)</f>
        <v>3.4301955317537018</v>
      </c>
      <c r="P37" s="76">
        <f t="shared" si="6"/>
        <v>0</v>
      </c>
      <c r="Q37" s="76">
        <f t="shared" si="6"/>
        <v>0</v>
      </c>
      <c r="R37" s="76">
        <f t="shared" si="6"/>
        <v>0</v>
      </c>
      <c r="S37" s="76">
        <f t="shared" si="6"/>
        <v>0</v>
      </c>
      <c r="T37" s="76">
        <f t="shared" si="6"/>
        <v>0</v>
      </c>
    </row>
    <row r="38" spans="3:20" outlineLevel="1">
      <c r="C38" s="83"/>
      <c r="F38" s="111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</row>
    <row r="39" spans="3:20" outlineLevel="1">
      <c r="C39" s="83" t="str">
        <f>'Input|Reported opex'!$C$85</f>
        <v>ESV levies</v>
      </c>
      <c r="D39" s="72" t="s">
        <v>142</v>
      </c>
      <c r="E39" s="16" t="str">
        <f>'Input|Reported opex'!E85</f>
        <v>$millions</v>
      </c>
      <c r="F39" s="111">
        <f>'Input|Reported opex'!F85</f>
        <v>44531</v>
      </c>
      <c r="J39" s="73">
        <f>IF(YEAR(J$4)=InterveningPeriod,'Input|Reported opex'!J85,0)</f>
        <v>0</v>
      </c>
      <c r="K39" s="73">
        <f>IF(YEAR(K$4)=InterveningPeriod,'Input|Reported opex'!K85,0)</f>
        <v>0</v>
      </c>
      <c r="L39" s="73">
        <f>IF(YEAR(L$4)=InterveningPeriod,'Input|Reported opex'!L85,0)</f>
        <v>0</v>
      </c>
      <c r="M39" s="73">
        <f>IF(YEAR(M$4)=InterveningPeriod,'Input|Reported opex'!M85,0)</f>
        <v>0</v>
      </c>
      <c r="N39" s="73">
        <f>IF(YEAR(N$4)=InterveningPeriod,'Input|Reported opex'!N85,0)</f>
        <v>0</v>
      </c>
      <c r="O39" s="73">
        <f>IF(YEAR(O$4)=InterveningPeriod,'Input|Reported opex'!O85,0)</f>
        <v>0</v>
      </c>
      <c r="P39" s="73">
        <f>IF(YEAR(P$4)=InterveningPeriod,'Input|Reported opex'!P85,0)</f>
        <v>0</v>
      </c>
      <c r="Q39" s="73">
        <f>IF(YEAR(Q$4)=InterveningPeriod,'Input|Reported opex'!Q85,0)</f>
        <v>0</v>
      </c>
      <c r="R39" s="73">
        <f>IF(YEAR(R$4)=InterveningPeriod,'Input|Reported opex'!R85,0)</f>
        <v>0</v>
      </c>
      <c r="S39" s="73">
        <f>IF(YEAR(S$4)=InterveningPeriod,'Input|Reported opex'!S85,0)</f>
        <v>0</v>
      </c>
      <c r="T39" s="73">
        <f>IF(YEAR(T$4)=InterveningPeriod,'Input|Reported opex'!T85,0)</f>
        <v>0</v>
      </c>
    </row>
    <row r="40" spans="3:20" outlineLevel="1">
      <c r="C40" s="83" t="str">
        <f>C39</f>
        <v>ESV levies</v>
      </c>
      <c r="D40" s="16" t="s">
        <v>52</v>
      </c>
      <c r="E40" s="16" t="str">
        <f>$E$8</f>
        <v>$millions</v>
      </c>
      <c r="F40" s="111">
        <f>$F$8</f>
        <v>45078</v>
      </c>
      <c r="J40" s="73">
        <f>J39*IF($F39="nominal",LOOKUP($F40,Nominal_to_Real,'Input|Rate of change'!K$26:K$32),INDEX('Input|Rate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K40" s="73">
        <f>K39*IF($F39="nominal",LOOKUP($F40,Nominal_to_Real,'Input|Rate of change'!L$26:L$32),INDEX('Input|Rate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L40" s="73">
        <f>L39*IF($F39="nominal",LOOKUP($F40,Nominal_to_Real,'Input|Rate of change'!M$26:M$32),INDEX('Input|Rate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M40" s="73">
        <f>M39*IF($F39="nominal",LOOKUP($F40,Nominal_to_Real,'Input|Rate of change'!N$26:N$32),INDEX('Input|Rate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N40" s="73">
        <f>N39*IF($F39="nominal",LOOKUP($F40,Nominal_to_Real,'Input|Rate of change'!O$26:O$32),INDEX('Input|Rate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O40" s="73">
        <f>O39*IF($F39="nominal",LOOKUP($F40,Nominal_to_Real,'Input|Rate of change'!P$26:P$32),INDEX('Input|Rate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P40" s="73">
        <f>P39*IF($F39="nominal",LOOKUP($F40,Nominal_to_Real,'Input|Rate of change'!Q$26:Q$32),INDEX('Input|Rate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Q40" s="73">
        <f>Q39*IF($F39="nominal",LOOKUP($F40,Nominal_to_Real,'Input|Rate of change'!R$26:R$32),INDEX('Input|Rate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R40" s="73">
        <f>R39*IF($F39="nominal",LOOKUP($F40,Nominal_to_Real,'Input|Rate of change'!S$26:S$32),INDEX('Input|Rate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S40" s="73">
        <f>S39*IF($F39="nominal",LOOKUP($F40,Nominal_to_Real,'Input|Rate of change'!T$26:T$32),INDEX('Input|Rate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T40" s="76"/>
    </row>
    <row r="41" spans="3:20" outlineLevel="1">
      <c r="C41" s="83"/>
      <c r="F41" s="111"/>
      <c r="J41" s="76"/>
      <c r="K41" s="76"/>
      <c r="L41" s="76"/>
      <c r="M41" s="76"/>
      <c r="N41" s="76"/>
      <c r="O41" s="76"/>
      <c r="P41" s="76"/>
      <c r="Q41" s="76"/>
      <c r="R41" s="73"/>
      <c r="S41" s="73"/>
      <c r="T41" s="73"/>
    </row>
    <row r="42" spans="3:20" outlineLevel="1">
      <c r="C42" s="83" t="str">
        <f>'Input|Reported opex'!$C$86</f>
        <v>Expensed corporate overhead</v>
      </c>
      <c r="D42" s="72" t="s">
        <v>142</v>
      </c>
      <c r="E42" s="16" t="str">
        <f>'Input|Reported opex'!$E$86</f>
        <v>$millions</v>
      </c>
      <c r="F42" s="111">
        <f>'Input|Reported opex'!$F$86</f>
        <v>44531</v>
      </c>
      <c r="J42" s="73">
        <f>IF(YEAR(J$4)=InterveningPeriod,'Input|Reported opex'!J86,0)</f>
        <v>0</v>
      </c>
      <c r="K42" s="73">
        <f>IF(YEAR(K$4)=InterveningPeriod,'Input|Reported opex'!K86,0)</f>
        <v>0</v>
      </c>
      <c r="L42" s="73">
        <f>IF(YEAR(L$4)=InterveningPeriod,'Input|Reported opex'!L86,0)</f>
        <v>0</v>
      </c>
      <c r="M42" s="73">
        <f>IF(YEAR(M$4)=InterveningPeriod,'Input|Reported opex'!M86,0)</f>
        <v>0</v>
      </c>
      <c r="N42" s="73">
        <f>IF(YEAR(N$4)=InterveningPeriod,'Input|Reported opex'!N86,0)</f>
        <v>0</v>
      </c>
      <c r="O42" s="73">
        <f>IF(YEAR(O$4)=InterveningPeriod,'Input|Reported opex'!O86,0)</f>
        <v>0.75977099999999997</v>
      </c>
      <c r="P42" s="73">
        <f>IF(YEAR(P$4)=InterveningPeriod,'Input|Reported opex'!P86,0)</f>
        <v>0</v>
      </c>
      <c r="Q42" s="73">
        <f>IF(YEAR(Q$4)=InterveningPeriod,'Input|Reported opex'!Q86,0)</f>
        <v>0</v>
      </c>
      <c r="R42" s="73">
        <f>IF(YEAR(R$4)=InterveningPeriod,'Input|Reported opex'!R86,0)</f>
        <v>0</v>
      </c>
      <c r="S42" s="73">
        <f>IF(YEAR(S$4)=InterveningPeriod,'Input|Reported opex'!S86,0)</f>
        <v>0</v>
      </c>
      <c r="T42" s="73">
        <f>IF(YEAR(T$4)=InterveningPeriod,'Input|Reported opex'!T86,0)</f>
        <v>0</v>
      </c>
    </row>
    <row r="43" spans="3:20" outlineLevel="1">
      <c r="C43" s="83" t="str">
        <f>C42</f>
        <v>Expensed corporate overhead</v>
      </c>
      <c r="D43" s="16" t="s">
        <v>52</v>
      </c>
      <c r="E43" s="16" t="str">
        <f>$E$8</f>
        <v>$millions</v>
      </c>
      <c r="F43" s="111">
        <f>$F$8</f>
        <v>45078</v>
      </c>
      <c r="J43" s="73">
        <f>J42*IF($F42="nominal",LOOKUP($F43,Nominal_to_Real,'Input|Rate of change'!K$26:K$32),INDEX('Input|Rate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K43" s="73">
        <f>K42*IF($F42="nominal",LOOKUP($F43,Nominal_to_Real,'Input|Rate of change'!L$26:L$32),INDEX('Input|Rate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L43" s="73">
        <f>L42*IF($F42="nominal",LOOKUP($F43,Nominal_to_Real,'Input|Rate of change'!M$26:M$32),INDEX('Input|Rate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M43" s="73">
        <f>M42*IF($F42="nominal",LOOKUP($F43,Nominal_to_Real,'Input|Rate of change'!N$26:N$32),INDEX('Input|Rate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N43" s="73">
        <f>N42*IF($F42="nominal",LOOKUP($F43,Nominal_to_Real,'Input|Rate of change'!O$26:O$32),INDEX('Input|Rate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O43" s="73">
        <f>O42*IF($F42="nominal",LOOKUP($F43,Nominal_to_Real,'Input|Rate of change'!P$26:P$32),INDEX('Input|Rate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0.83959581084336343</v>
      </c>
      <c r="P43" s="73">
        <f>P42*IF($F42="nominal",LOOKUP($F43,Nominal_to_Real,'Input|Rate of change'!Q$26:Q$32),INDEX('Input|Rate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Q43" s="73">
        <f>Q42*IF($F42="nominal",LOOKUP($F43,Nominal_to_Real,'Input|Rate of change'!R$26:R$32),INDEX('Input|Rate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R43" s="73">
        <f>R42*IF($F42="nominal",LOOKUP($F43,Nominal_to_Real,'Input|Rate of change'!S$26:S$32),INDEX('Input|Rate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S43" s="73">
        <f>S42*IF($F42="nominal",LOOKUP($F43,Nominal_to_Real,'Input|Rate of change'!T$26:T$32),INDEX('Input|Rate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T43" s="73"/>
    </row>
    <row r="44" spans="3:20" outlineLevel="1">
      <c r="C44" s="83"/>
      <c r="F44" s="111"/>
      <c r="J44" s="76"/>
      <c r="K44" s="76"/>
      <c r="L44" s="76"/>
      <c r="M44" s="76"/>
      <c r="N44" s="76"/>
      <c r="O44" s="76"/>
      <c r="P44" s="76"/>
      <c r="Q44" s="76"/>
      <c r="R44" s="73"/>
      <c r="S44" s="73"/>
      <c r="T44" s="73"/>
    </row>
    <row r="45" spans="3:20" outlineLevel="1">
      <c r="C45" s="83" t="str">
        <f>'Input|Reported opex'!$C$87</f>
        <v>Remove leases</v>
      </c>
      <c r="D45" s="72" t="s">
        <v>142</v>
      </c>
      <c r="E45" s="16" t="str">
        <f>'Input|Reported opex'!$E$87</f>
        <v>$millions</v>
      </c>
      <c r="F45" s="111">
        <f>'Input|Reported opex'!$F$87</f>
        <v>44531</v>
      </c>
      <c r="J45" s="73">
        <f>IF(YEAR(J$4)=InterveningPeriod,'Input|Reported opex'!J87,0)</f>
        <v>0</v>
      </c>
      <c r="K45" s="73">
        <f>IF(YEAR(K$4)=InterveningPeriod,'Input|Reported opex'!K87,0)</f>
        <v>0</v>
      </c>
      <c r="L45" s="73">
        <f>IF(YEAR(L$4)=InterveningPeriod,'Input|Reported opex'!L87,0)</f>
        <v>0</v>
      </c>
      <c r="M45" s="73">
        <f>IF(YEAR(M$4)=InterveningPeriod,'Input|Reported opex'!M87,0)</f>
        <v>0</v>
      </c>
      <c r="N45" s="73">
        <f>IF(YEAR(N$4)=InterveningPeriod,'Input|Reported opex'!N87,0)</f>
        <v>0</v>
      </c>
      <c r="O45" s="73">
        <f>IF(YEAR(O$4)=InterveningPeriod,'Input|Reported opex'!O87,0)</f>
        <v>-0.9969942883093672</v>
      </c>
      <c r="P45" s="73">
        <f>IF(YEAR(P$4)=InterveningPeriod,'Input|Reported opex'!P87,0)</f>
        <v>0</v>
      </c>
      <c r="Q45" s="73">
        <f>IF(YEAR(Q$4)=InterveningPeriod,'Input|Reported opex'!Q87,0)</f>
        <v>0</v>
      </c>
      <c r="R45" s="73">
        <f>IF(YEAR(R$4)=InterveningPeriod,'Input|Reported opex'!R87,0)</f>
        <v>0</v>
      </c>
      <c r="S45" s="73">
        <f>IF(YEAR(S$4)=InterveningPeriod,'Input|Reported opex'!S87,0)</f>
        <v>0</v>
      </c>
      <c r="T45" s="73">
        <f>IF(YEAR(T$4)=InterveningPeriod,'Input|Reported opex'!T87,0)</f>
        <v>0</v>
      </c>
    </row>
    <row r="46" spans="3:20" outlineLevel="1">
      <c r="C46" s="83" t="str">
        <f>C45</f>
        <v>Remove leases</v>
      </c>
      <c r="D46" s="16" t="s">
        <v>52</v>
      </c>
      <c r="E46" s="16" t="str">
        <f>$E$8</f>
        <v>$millions</v>
      </c>
      <c r="F46" s="111">
        <f>$F$8</f>
        <v>45078</v>
      </c>
      <c r="J46" s="73">
        <f>J45*IF($F45="nominal",LOOKUP($F46,Nominal_to_Real,'Input|Rate of change'!K$26:K$32),INDEX('Input|Rate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K46" s="73">
        <f>K45*IF($F45="nominal",LOOKUP($F46,Nominal_to_Real,'Input|Rate of change'!L$26:L$32),INDEX('Input|Rate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L46" s="73">
        <f>L45*IF($F45="nominal",LOOKUP($F46,Nominal_to_Real,'Input|Rate of change'!M$26:M$32),INDEX('Input|Rate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M46" s="73">
        <f>M45*IF($F45="nominal",LOOKUP($F46,Nominal_to_Real,'Input|Rate of change'!N$26:N$32),INDEX('Input|Rate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N46" s="73">
        <f>N45*IF($F45="nominal",LOOKUP($F46,Nominal_to_Real,'Input|Rate of change'!O$26:O$32),INDEX('Input|Rate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O46" s="73">
        <f>O45*IF($F45="nominal",LOOKUP($F46,Nominal_to_Real,'Input|Rate of change'!P$26:P$32),INDEX('Input|Rate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-1.101742798684479</v>
      </c>
      <c r="P46" s="73">
        <f>P45*IF($F45="nominal",LOOKUP($F46,Nominal_to_Real,'Input|Rate of change'!Q$26:Q$32),INDEX('Input|Rate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Q46" s="73">
        <f>Q45*IF($F45="nominal",LOOKUP($F46,Nominal_to_Real,'Input|Rate of change'!R$26:R$32),INDEX('Input|Rate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R46" s="73">
        <f>R45*IF($F45="nominal",LOOKUP($F46,Nominal_to_Real,'Input|Rate of change'!S$26:S$32),INDEX('Input|Rate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S46" s="73">
        <f>S45*IF($F45="nominal",LOOKUP($F46,Nominal_to_Real,'Input|Rate of change'!T$26:T$32),INDEX('Input|Rate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T46" s="76"/>
    </row>
    <row r="47" spans="3:20" outlineLevel="1">
      <c r="C47" s="83"/>
      <c r="F47" s="111"/>
      <c r="J47" s="76"/>
      <c r="K47" s="76"/>
      <c r="L47" s="76"/>
      <c r="M47" s="76"/>
      <c r="N47" s="76"/>
      <c r="O47" s="76"/>
      <c r="P47" s="76"/>
      <c r="Q47" s="76"/>
      <c r="R47" s="73"/>
      <c r="S47" s="73"/>
      <c r="T47" s="73"/>
    </row>
    <row r="48" spans="3:20" outlineLevel="1">
      <c r="C48" s="83">
        <f>'Input|Reported opex'!$C$88</f>
        <v>0</v>
      </c>
      <c r="D48" s="72" t="s">
        <v>142</v>
      </c>
      <c r="E48" s="16" t="str">
        <f>'Input|Reported opex'!$E$88</f>
        <v>$millions</v>
      </c>
      <c r="F48" s="111">
        <f>'Input|Reported opex'!$F$88</f>
        <v>45078</v>
      </c>
      <c r="J48" s="73">
        <f>IF(YEAR(J$4)=InterveningPeriod,'Input|Reported opex'!J88,0)</f>
        <v>0</v>
      </c>
      <c r="K48" s="73">
        <f>IF(YEAR(K$4)=InterveningPeriod,'Input|Reported opex'!K88,0)</f>
        <v>0</v>
      </c>
      <c r="L48" s="73">
        <f>IF(YEAR(L$4)=InterveningPeriod,'Input|Reported opex'!L88,0)</f>
        <v>0</v>
      </c>
      <c r="M48" s="73">
        <f>IF(YEAR(M$4)=InterveningPeriod,'Input|Reported opex'!M88,0)</f>
        <v>0</v>
      </c>
      <c r="N48" s="73">
        <f>IF(YEAR(N$4)=InterveningPeriod,'Input|Reported opex'!N88,0)</f>
        <v>0</v>
      </c>
      <c r="O48" s="73">
        <f>IF(YEAR(O$4)=InterveningPeriod,'Input|Reported opex'!O88,0)</f>
        <v>0</v>
      </c>
      <c r="P48" s="73">
        <f>IF(YEAR(P$4)=InterveningPeriod,'Input|Reported opex'!P88,0)</f>
        <v>0</v>
      </c>
      <c r="Q48" s="73">
        <f>IF(YEAR(Q$4)=InterveningPeriod,'Input|Reported opex'!Q88,0)</f>
        <v>0</v>
      </c>
      <c r="R48" s="73">
        <f>IF(YEAR(R$4)=InterveningPeriod,'Input|Reported opex'!R88,0)</f>
        <v>0</v>
      </c>
      <c r="S48" s="73">
        <f>IF(YEAR(S$4)=InterveningPeriod,'Input|Reported opex'!S88,0)</f>
        <v>0</v>
      </c>
      <c r="T48" s="73">
        <f>IF(YEAR(T$4)=InterveningPeriod,'Input|Reported opex'!T88,0)</f>
        <v>0</v>
      </c>
    </row>
    <row r="49" spans="1:31" outlineLevel="1">
      <c r="C49" s="83">
        <f>C48</f>
        <v>0</v>
      </c>
      <c r="D49" s="16" t="s">
        <v>52</v>
      </c>
      <c r="E49" s="16" t="str">
        <f>$E$8</f>
        <v>$millions</v>
      </c>
      <c r="F49" s="111">
        <f>$F$8</f>
        <v>45078</v>
      </c>
      <c r="J49" s="73">
        <f>J48*IF($F48="nominal",LOOKUP($F49,Nominal_to_Real,'Input|Rate of change'!K$26:K$32),INDEX('Input|Rate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K49" s="73">
        <f>K48*IF($F48="nominal",LOOKUP($F49,Nominal_to_Real,'Input|Rate of change'!L$26:L$32),INDEX('Input|Rate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L49" s="73">
        <f>L48*IF($F48="nominal",LOOKUP($F49,Nominal_to_Real,'Input|Rate of change'!M$26:M$32),INDEX('Input|Rate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M49" s="73">
        <f>M48*IF($F48="nominal",LOOKUP($F49,Nominal_to_Real,'Input|Rate of change'!N$26:N$32),INDEX('Input|Rate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N49" s="73">
        <f>N48*IF($F48="nominal",LOOKUP($F49,Nominal_to_Real,'Input|Rate of change'!O$26:O$32),INDEX('Input|Rate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O49" s="73">
        <f>O48*IF($F48="nominal",LOOKUP($F49,Nominal_to_Real,'Input|Rate of change'!P$26:P$32),INDEX('Input|Rate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P49" s="73">
        <f>P48*IF($F48="nominal",LOOKUP($F49,Nominal_to_Real,'Input|Rate of change'!Q$26:Q$32),INDEX('Input|Rate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Q49" s="73">
        <f>Q48*IF($F48="nominal",LOOKUP($F49,Nominal_to_Real,'Input|Rate of change'!R$26:R$32),INDEX('Input|Rate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R49" s="73">
        <f>R48*IF($F48="nominal",LOOKUP($F49,Nominal_to_Real,'Input|Rate of change'!S$26:S$32),INDEX('Input|Rate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S49" s="73">
        <f>S48*IF($F48="nominal",LOOKUP($F49,Nominal_to_Real,'Input|Rate of change'!T$26:T$32),INDEX('Input|Rate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T49" s="76"/>
    </row>
    <row r="50" spans="1:31" outlineLevel="1">
      <c r="C50" s="83"/>
      <c r="F50" s="111"/>
      <c r="J50" s="76"/>
      <c r="K50" s="76"/>
      <c r="L50" s="76"/>
      <c r="M50" s="76"/>
      <c r="N50" s="76"/>
      <c r="O50" s="76"/>
      <c r="P50" s="76"/>
      <c r="Q50" s="76"/>
      <c r="R50" s="73"/>
      <c r="S50" s="73"/>
      <c r="T50" s="73"/>
    </row>
    <row r="51" spans="1:31" outlineLevel="1">
      <c r="C51" s="83">
        <f>'Input|Reported opex'!$C$89</f>
        <v>0</v>
      </c>
      <c r="D51" s="72" t="s">
        <v>142</v>
      </c>
      <c r="E51" s="16" t="str">
        <f>'Input|Reported opex'!$E$89</f>
        <v>$millions</v>
      </c>
      <c r="F51" s="111">
        <f>'Input|Reported opex'!$F$89</f>
        <v>45078</v>
      </c>
      <c r="J51" s="73">
        <f>IF(YEAR(J$4)=InterveningPeriod,'Input|Reported opex'!J89,0)</f>
        <v>0</v>
      </c>
      <c r="K51" s="73">
        <f>IF(YEAR(K$4)=InterveningPeriod,'Input|Reported opex'!K89,0)</f>
        <v>0</v>
      </c>
      <c r="L51" s="73">
        <f>IF(YEAR(L$4)=InterveningPeriod,'Input|Reported opex'!L89,0)</f>
        <v>0</v>
      </c>
      <c r="M51" s="73">
        <f>IF(YEAR(M$4)=InterveningPeriod,'Input|Reported opex'!M89,0)</f>
        <v>0</v>
      </c>
      <c r="N51" s="73">
        <f>IF(YEAR(N$4)=InterveningPeriod,'Input|Reported opex'!N89,0)</f>
        <v>0</v>
      </c>
      <c r="O51" s="73">
        <f>IF(YEAR(O$4)=InterveningPeriod,'Input|Reported opex'!O89,0)</f>
        <v>0</v>
      </c>
      <c r="P51" s="73">
        <f>IF(YEAR(P$4)=InterveningPeriod,'Input|Reported opex'!P89,0)</f>
        <v>0</v>
      </c>
      <c r="Q51" s="73">
        <f>IF(YEAR(Q$4)=InterveningPeriod,'Input|Reported opex'!Q89,0)</f>
        <v>0</v>
      </c>
      <c r="R51" s="73">
        <f>IF(YEAR(R$4)=InterveningPeriod,'Input|Reported opex'!R89,0)</f>
        <v>0</v>
      </c>
      <c r="S51" s="73">
        <f>IF(YEAR(S$4)=InterveningPeriod,'Input|Reported opex'!S89,0)</f>
        <v>0</v>
      </c>
      <c r="T51" s="73">
        <f>IF(YEAR(T$4)=InterveningPeriod,'Input|Reported opex'!T89,0)</f>
        <v>0</v>
      </c>
    </row>
    <row r="52" spans="1:31" outlineLevel="1">
      <c r="C52" s="83">
        <f>C51</f>
        <v>0</v>
      </c>
      <c r="D52" s="16" t="s">
        <v>52</v>
      </c>
      <c r="E52" s="16" t="str">
        <f>$E$8</f>
        <v>$millions</v>
      </c>
      <c r="F52" s="111">
        <f>$F$8</f>
        <v>45078</v>
      </c>
      <c r="J52" s="73">
        <f>J51*IF($F51="nominal",LOOKUP($F52,Nominal_to_Real,'Input|Rate of change'!K$26:K$32),INDEX('Input|Rate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K52" s="73">
        <f>K51*IF($F51="nominal",LOOKUP($F52,Nominal_to_Real,'Input|Rate of change'!L$26:L$32),INDEX('Input|Rate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L52" s="73">
        <f>L51*IF($F51="nominal",LOOKUP($F52,Nominal_to_Real,'Input|Rate of change'!M$26:M$32),INDEX('Input|Rate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M52" s="73">
        <f>M51*IF($F51="nominal",LOOKUP($F52,Nominal_to_Real,'Input|Rate of change'!N$26:N$32),INDEX('Input|Rate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N52" s="73">
        <f>N51*IF($F51="nominal",LOOKUP($F52,Nominal_to_Real,'Input|Rate of change'!O$26:O$32),INDEX('Input|Rate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O52" s="73">
        <f>O51*IF($F51="nominal",LOOKUP($F52,Nominal_to_Real,'Input|Rate of change'!P$26:P$32),INDEX('Input|Rate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P52" s="73">
        <f>P51*IF($F51="nominal",LOOKUP($F52,Nominal_to_Real,'Input|Rate of change'!Q$26:Q$32),INDEX('Input|Rate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Q52" s="73">
        <f>Q51*IF($F51="nominal",LOOKUP($F52,Nominal_to_Real,'Input|Rate of change'!R$26:R$32),INDEX('Input|Rate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R52" s="73">
        <f>R51*IF($F51="nominal",LOOKUP($F52,Nominal_to_Real,'Input|Rate of change'!S$26:S$32),INDEX('Input|Rate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S52" s="73">
        <f>S51*IF($F51="nominal",LOOKUP($F52,Nominal_to_Real,'Input|Rate of change'!T$26:T$32),INDEX('Input|Rate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T52" s="76"/>
    </row>
    <row r="53" spans="1:31" outlineLevel="1">
      <c r="C53" s="83"/>
      <c r="F53" s="111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</row>
    <row r="54" spans="1:31" outlineLevel="1">
      <c r="C54" s="83" t="s">
        <v>92</v>
      </c>
      <c r="D54" s="16" t="s">
        <v>95</v>
      </c>
      <c r="E54" s="16" t="str">
        <f>$E$8</f>
        <v>$millions</v>
      </c>
      <c r="F54" s="111">
        <f>$F$8</f>
        <v>45078</v>
      </c>
      <c r="J54" s="76">
        <f>SUM(J35,J40,J43,J46,J49,J52)*'Input|Reported opex'!J93</f>
        <v>0</v>
      </c>
      <c r="K54" s="76">
        <f>SUM(K35,K40,K43,K46,K49,K52)*'Input|Reported opex'!K93</f>
        <v>0</v>
      </c>
      <c r="L54" s="76">
        <f>SUM(L35,L40,L43,L46,L49,L52)*'Input|Reported opex'!L93</f>
        <v>0</v>
      </c>
      <c r="M54" s="76">
        <f>SUM(M35,M40,M43,M46,M49,M52)*'Input|Reported opex'!M93</f>
        <v>0</v>
      </c>
      <c r="N54" s="76">
        <f>SUM(N35,N40,N43,N46,N49,N52)*'Input|Reported opex'!N93</f>
        <v>0</v>
      </c>
      <c r="O54" s="76">
        <f>SUM(O35,O40,O43,O46,O49,O52)*'Input|Reported opex'!O93</f>
        <v>0</v>
      </c>
      <c r="P54" s="76">
        <f>SUM(P35,P40,P43,P46,P49,P52)*'Input|Reported opex'!P93</f>
        <v>0</v>
      </c>
      <c r="Q54" s="76">
        <f>SUM(Q35,Q40,Q43,Q46,Q49,Q52)*'Input|Reported opex'!Q93</f>
        <v>0</v>
      </c>
      <c r="R54" s="76">
        <f>SUM(R35,R40,R43,R46,R49,R52)*'Input|Reported opex'!R93</f>
        <v>0</v>
      </c>
      <c r="S54" s="76">
        <f>SUM(S35,S40,S43,S46,S49,S52)*'Input|Reported opex'!S93</f>
        <v>0</v>
      </c>
      <c r="T54" s="76"/>
    </row>
    <row r="55" spans="1:31" outlineLevel="1">
      <c r="C55" s="83"/>
      <c r="F55" s="111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</row>
    <row r="56" spans="1:31" outlineLevel="1">
      <c r="C56" s="204" t="s">
        <v>155</v>
      </c>
      <c r="D56" s="203" t="s">
        <v>95</v>
      </c>
      <c r="E56" s="203" t="str">
        <f>$E$8</f>
        <v>$millions</v>
      </c>
      <c r="F56" s="205">
        <f>$F$8</f>
        <v>45078</v>
      </c>
      <c r="J56" s="76">
        <f>SUM(J35,J37,J40,J43,J46,J49,J52,J54)</f>
        <v>0</v>
      </c>
      <c r="K56" s="76">
        <f t="shared" ref="K56:S56" si="7">SUM(K35,K37,K40,K43,K46,K49,K52,K54)</f>
        <v>0</v>
      </c>
      <c r="L56" s="76">
        <f t="shared" si="7"/>
        <v>0</v>
      </c>
      <c r="M56" s="76">
        <f t="shared" si="7"/>
        <v>0</v>
      </c>
      <c r="N56" s="76">
        <f t="shared" si="7"/>
        <v>0</v>
      </c>
      <c r="O56" s="76">
        <f>SUM(O35,O37,O40,O43,O46,O49,O52,O54)</f>
        <v>56.663426369779465</v>
      </c>
      <c r="P56" s="76">
        <f t="shared" si="7"/>
        <v>0</v>
      </c>
      <c r="Q56" s="76">
        <f t="shared" si="7"/>
        <v>0</v>
      </c>
      <c r="R56" s="76">
        <f t="shared" si="7"/>
        <v>0</v>
      </c>
      <c r="S56" s="76">
        <f t="shared" si="7"/>
        <v>0</v>
      </c>
      <c r="T56" s="76"/>
    </row>
    <row r="57" spans="1:31">
      <c r="J57" s="71"/>
      <c r="K57" s="71"/>
      <c r="L57" s="71"/>
    </row>
    <row r="58" spans="1:31" customFormat="1" ht="12.75">
      <c r="A58" s="37"/>
      <c r="B58" s="43" t="s">
        <v>156</v>
      </c>
      <c r="C58" s="37"/>
      <c r="D58" s="37"/>
      <c r="E58" s="37"/>
      <c r="F58" s="38"/>
      <c r="G58" s="38"/>
      <c r="H58" s="38"/>
      <c r="I58" s="38"/>
      <c r="J58" s="39"/>
      <c r="K58" s="40"/>
      <c r="L58" s="39"/>
      <c r="M58" s="40"/>
      <c r="N58" s="39"/>
      <c r="O58" s="39"/>
      <c r="P58" s="39"/>
      <c r="Q58" s="39"/>
      <c r="R58" s="39"/>
      <c r="S58" s="39"/>
      <c r="T58" s="39"/>
      <c r="U58" s="39"/>
      <c r="V58" s="39"/>
      <c r="W58" s="40"/>
      <c r="X58" s="40"/>
      <c r="Y58" s="41"/>
      <c r="Z58" s="41"/>
      <c r="AA58" s="41"/>
      <c r="AB58" s="41"/>
      <c r="AC58" s="41"/>
      <c r="AD58" s="42"/>
      <c r="AE58" s="42"/>
    </row>
    <row r="59" spans="1:31" outlineLevel="1"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</row>
    <row r="60" spans="1:31" outlineLevel="1">
      <c r="C60" s="9" t="s">
        <v>157</v>
      </c>
      <c r="D60" s="21" t="s">
        <v>33</v>
      </c>
      <c r="E60" s="21" t="s">
        <v>53</v>
      </c>
      <c r="F60" s="21" t="s">
        <v>59</v>
      </c>
      <c r="J60" s="113"/>
      <c r="K60" s="113"/>
      <c r="L60" s="113"/>
      <c r="M60" s="113"/>
      <c r="N60" s="113"/>
      <c r="O60" s="113"/>
      <c r="P60" s="113">
        <f>P$4</f>
        <v>45444</v>
      </c>
      <c r="Q60" s="113">
        <f t="shared" ref="Q60:T60" si="8">Q$4</f>
        <v>45809</v>
      </c>
      <c r="R60" s="113">
        <f t="shared" si="8"/>
        <v>46174</v>
      </c>
      <c r="S60" s="113">
        <f t="shared" si="8"/>
        <v>46539</v>
      </c>
      <c r="T60" s="113">
        <f t="shared" si="8"/>
        <v>46905</v>
      </c>
    </row>
    <row r="61" spans="1:31" hidden="1" outlineLevel="1">
      <c r="C61" s="9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</row>
    <row r="62" spans="1:31" hidden="1" outlineLevel="1">
      <c r="B62" s="9"/>
      <c r="C62" s="77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</row>
    <row r="63" spans="1:31" outlineLevel="1">
      <c r="C63" s="15" t="s">
        <v>158</v>
      </c>
      <c r="D63" s="16" t="s">
        <v>52</v>
      </c>
      <c r="E63" s="16" t="s">
        <v>93</v>
      </c>
      <c r="F63" s="16" t="s">
        <v>108</v>
      </c>
      <c r="J63" s="78">
        <f ca="1">IF(J60=J4,AVERAGE(OFFSET('Input|Rate of change'!K97,0,0,COUNTA('Input|Rate of change'!$J$84:$N$84),1)),0)</f>
        <v>0</v>
      </c>
      <c r="K63" s="78">
        <f ca="1">IF(K60=K4,AVERAGE(OFFSET('Input|Rate of change'!L97,0,0,COUNTA('Input|Rate of change'!$J$84:$N$84),1)),0)</f>
        <v>0</v>
      </c>
      <c r="L63" s="78">
        <f ca="1">IF(L60=L4,AVERAGE(OFFSET('Input|Rate of change'!M97,0,0,COUNTA('Input|Rate of change'!$J$84:$N$84),1)),0)</f>
        <v>0</v>
      </c>
      <c r="M63" s="78">
        <f ca="1">IF(M60=M4,AVERAGE(OFFSET('Input|Rate of change'!N97,0,0,COUNTA('Input|Rate of change'!$J$84:$N$84),1)),0)</f>
        <v>0</v>
      </c>
      <c r="N63" s="78">
        <f ca="1">IF(N60=N4,AVERAGE(OFFSET('Input|Rate of change'!O97,0,0,COUNTA('Input|Rate of change'!$J$84:$N$84),1)),0)</f>
        <v>0</v>
      </c>
      <c r="O63" s="78">
        <f ca="1">IF(O60=O4,AVERAGE(OFFSET('Input|Rate of change'!P97,0,0,COUNTA('Input|Rate of change'!$J$84:$N$84),1)),0)</f>
        <v>0</v>
      </c>
      <c r="P63" s="78">
        <f ca="1">IF(P60=P4,AVERAGE(OFFSET('Input|Rate of change'!Q97,0,0,COUNTA('Input|Rate of change'!$J$84:$N$84),1)),0)</f>
        <v>1.5603952528658961E-2</v>
      </c>
      <c r="Q63" s="78">
        <f ca="1">IF(Q60=Q4,AVERAGE(OFFSET('Input|Rate of change'!R97,0,0,COUNTA('Input|Rate of change'!$J$84:$N$84),1)),0)</f>
        <v>9.6842887688210789E-3</v>
      </c>
      <c r="R63" s="78">
        <f ca="1">IF(R60=R4,AVERAGE(OFFSET('Input|Rate of change'!S97,0,0,COUNTA('Input|Rate of change'!$J$84:$N$84),1)),0)</f>
        <v>1.54354020031072E-3</v>
      </c>
      <c r="S63" s="78">
        <f ca="1">IF(S60=S4,AVERAGE(OFFSET('Input|Rate of change'!T97,0,0,COUNTA('Input|Rate of change'!$J$84:$N$84),1)),0)</f>
        <v>-2.4613082942080613E-3</v>
      </c>
      <c r="T63" s="78">
        <f ca="1">IF(T60=T4,AVERAGE(OFFSET('Input|Rate of change'!U97,0,0,COUNTA('Input|Rate of change'!$J$84:$N$84),1)),0)</f>
        <v>-7.6855513093435322E-3</v>
      </c>
      <c r="U63" s="157"/>
    </row>
    <row r="64" spans="1:31" outlineLevel="1"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157"/>
    </row>
    <row r="65" spans="1:31" outlineLevel="1">
      <c r="C65" s="15" t="s">
        <v>100</v>
      </c>
      <c r="D65" s="16" t="s">
        <v>52</v>
      </c>
      <c r="E65" s="16" t="s">
        <v>93</v>
      </c>
      <c r="F65" s="16" t="s">
        <v>108</v>
      </c>
      <c r="J65" s="78">
        <f>SUMPRODUCT('Input|Rate of change'!K38:K45,'Input|Rate of change'!K51:K58)</f>
        <v>0</v>
      </c>
      <c r="K65" s="78">
        <f>SUMPRODUCT('Input|Rate of change'!L38:L45,'Input|Rate of change'!L51:L58)</f>
        <v>0</v>
      </c>
      <c r="L65" s="78">
        <f>SUMPRODUCT('Input|Rate of change'!M38:M45,'Input|Rate of change'!M51:M58)</f>
        <v>0</v>
      </c>
      <c r="M65" s="78">
        <f>SUMPRODUCT('Input|Rate of change'!N38:N45,'Input|Rate of change'!N51:N58)</f>
        <v>0</v>
      </c>
      <c r="N65" s="78">
        <f>SUMPRODUCT('Input|Rate of change'!O38:O45,'Input|Rate of change'!O51:O58)</f>
        <v>0</v>
      </c>
      <c r="O65" s="78">
        <f>SUMPRODUCT('Input|Rate of change'!P38:P45,'Input|Rate of change'!P51:P58)</f>
        <v>0</v>
      </c>
      <c r="P65" s="78">
        <f>SUMPRODUCT('Input|Rate of change'!Q38:Q45,'Input|Rate of change'!Q51:Q58)</f>
        <v>6.0643316064568501E-3</v>
      </c>
      <c r="Q65" s="78">
        <f>SUMPRODUCT('Input|Rate of change'!R38:R45,'Input|Rate of change'!R51:R58)</f>
        <v>9.3593431697880144E-3</v>
      </c>
      <c r="R65" s="78">
        <f>SUMPRODUCT('Input|Rate of change'!S38:S45,'Input|Rate of change'!S51:S58)</f>
        <v>8.7115874713229336E-3</v>
      </c>
      <c r="S65" s="78">
        <f>SUMPRODUCT('Input|Rate of change'!T38:T45,'Input|Rate of change'!T51:T58)</f>
        <v>3.9407726451511412E-3</v>
      </c>
      <c r="T65" s="78">
        <f>SUMPRODUCT('Input|Rate of change'!U38:U45,'Input|Rate of change'!U51:U58)</f>
        <v>3.3294950115579976E-3</v>
      </c>
      <c r="U65" s="157"/>
    </row>
    <row r="66" spans="1:31" outlineLevel="1">
      <c r="C66" s="15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157"/>
    </row>
    <row r="67" spans="1:31" outlineLevel="1">
      <c r="C67" s="15" t="s">
        <v>159</v>
      </c>
      <c r="D67" s="16" t="s">
        <v>52</v>
      </c>
      <c r="E67" s="16" t="s">
        <v>93</v>
      </c>
      <c r="F67" s="16" t="s">
        <v>108</v>
      </c>
      <c r="J67" s="78">
        <f>'Input|Rate of change'!K107</f>
        <v>0</v>
      </c>
      <c r="K67" s="78">
        <f>'Input|Rate of change'!L107</f>
        <v>0</v>
      </c>
      <c r="L67" s="78">
        <f>'Input|Rate of change'!M107</f>
        <v>0</v>
      </c>
      <c r="M67" s="78">
        <f>'Input|Rate of change'!N107</f>
        <v>0</v>
      </c>
      <c r="N67" s="78">
        <f>'Input|Rate of change'!O107</f>
        <v>0</v>
      </c>
      <c r="O67" s="78">
        <f>'Input|Rate of change'!P107</f>
        <v>0</v>
      </c>
      <c r="P67" s="78">
        <f>'Input|Rate of change'!Q107</f>
        <v>3.7009327229280851E-3</v>
      </c>
      <c r="Q67" s="78">
        <f>'Input|Rate of change'!R107</f>
        <v>2.4886651553984165E-3</v>
      </c>
      <c r="R67" s="78">
        <f>'Input|Rate of change'!S107</f>
        <v>1.8855664312969951E-3</v>
      </c>
      <c r="S67" s="78">
        <f>'Input|Rate of change'!T107</f>
        <v>1.1524047060677135E-3</v>
      </c>
      <c r="T67" s="78">
        <f>'Input|Rate of change'!U107</f>
        <v>8.8982662494990837E-4</v>
      </c>
      <c r="U67" s="157"/>
    </row>
    <row r="68" spans="1:31" outlineLevel="1">
      <c r="C68" s="15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</row>
    <row r="69" spans="1:31" outlineLevel="1">
      <c r="C69" s="79" t="s">
        <v>160</v>
      </c>
      <c r="D69" s="75" t="s">
        <v>52</v>
      </c>
      <c r="E69" s="75" t="s">
        <v>93</v>
      </c>
      <c r="F69" s="75" t="s">
        <v>108</v>
      </c>
      <c r="J69" s="97">
        <f ca="1">(1+J63)*(1+J65)*(1-J67)-1</f>
        <v>0</v>
      </c>
      <c r="K69" s="97">
        <f t="shared" ref="K69:R69" ca="1" si="9">(1+K63)*(1+K65)*(1-K67)-1</f>
        <v>0</v>
      </c>
      <c r="L69" s="97">
        <f t="shared" ca="1" si="9"/>
        <v>0</v>
      </c>
      <c r="M69" s="97">
        <f t="shared" ca="1" si="9"/>
        <v>0</v>
      </c>
      <c r="N69" s="97">
        <f t="shared" ca="1" si="9"/>
        <v>0</v>
      </c>
      <c r="O69" s="97">
        <f t="shared" ca="1" si="9"/>
        <v>0</v>
      </c>
      <c r="P69" s="97">
        <f ca="1">(1+P63)*(1+P65)*(1-P67)-1</f>
        <v>1.7981435882718833E-2</v>
      </c>
      <c r="Q69" s="97">
        <f t="shared" ca="1" si="9"/>
        <v>1.6597986572835177E-2</v>
      </c>
      <c r="R69" s="97">
        <f t="shared" ca="1" si="9"/>
        <v>8.3636458467020169E-3</v>
      </c>
      <c r="S69" s="97">
        <f ca="1">(1+S63)*(1+S65)*(1-S67)-1</f>
        <v>3.1566642449720739E-4</v>
      </c>
      <c r="T69" s="97">
        <f t="shared" ref="T69" ca="1" si="10">(1+T63)*(1+T65)*(1-T67)-1</f>
        <v>-5.2675730228297635E-3</v>
      </c>
    </row>
    <row r="70" spans="1:31" outlineLevel="1">
      <c r="C70" s="9" t="s">
        <v>161</v>
      </c>
      <c r="D70" s="16" t="s">
        <v>52</v>
      </c>
      <c r="E70" s="16" t="s">
        <v>93</v>
      </c>
      <c r="F70" s="16" t="s">
        <v>108</v>
      </c>
      <c r="J70" s="78" t="str">
        <f t="array" ref="J70">IF(J$60=J$4,PRODUCT(1+$J69:J69)-1,"")</f>
        <v/>
      </c>
      <c r="K70" s="78" t="str">
        <f t="array" ref="K70">IF(K$60=K$4,PRODUCT(1+$J69:K69)-1,"")</f>
        <v/>
      </c>
      <c r="L70" s="78" t="str">
        <f t="array" ref="L70">IF(L$60=L$4,PRODUCT(1+$J69:L69)-1,"")</f>
        <v/>
      </c>
      <c r="M70" s="78" t="str">
        <f t="array" ref="M70">IF(M$60=M$4,PRODUCT(1+$J69:M69)-1,"")</f>
        <v/>
      </c>
      <c r="N70" s="78" t="str">
        <f t="array" ref="N70">IF(N$60=N$4,PRODUCT(1+$J69:N69)-1,"")</f>
        <v/>
      </c>
      <c r="O70" s="78" t="str">
        <f t="array" ref="O70">IF(O$60=O$4,PRODUCT(1+$J69:O69)-1,"")</f>
        <v/>
      </c>
      <c r="P70" s="78" cm="1">
        <f t="array" aca="1" ref="P70" ca="1">IF(P$60=P$4,PRODUCT(1+$J69:P69)-1,"")</f>
        <v>1.7981435882718833E-2</v>
      </c>
      <c r="Q70" s="78" cm="1">
        <f t="array" aca="1" ref="Q70" ca="1">IF(Q$60=Q$4,PRODUCT(1+$J69:Q69)-1,"")</f>
        <v>3.4877878086895686E-2</v>
      </c>
      <c r="R70" s="78">
        <f t="array" aca="1" ref="R70" ca="1">IF(R$60=R$4,PRODUCT(1+$J69:R69)-1,"")</f>
        <v>4.353323015380095E-2</v>
      </c>
      <c r="S70" s="78" cm="1">
        <f t="array" aca="1" ref="S70" ca="1">IF(S$60=S$4,PRODUCT(1+$J69:S69)-1,"")</f>
        <v>4.3862638557407685E-2</v>
      </c>
      <c r="T70" s="78">
        <f t="array" aca="1" ref="T70" ca="1">IF(T$60=T$4,PRODUCT(1+$J69:T69)-1,"")</f>
        <v>3.8364015883002756E-2</v>
      </c>
    </row>
    <row r="71" spans="1:31">
      <c r="J71" s="71"/>
      <c r="K71" s="71"/>
      <c r="L71" s="71"/>
      <c r="M71" s="71"/>
      <c r="N71" s="71"/>
      <c r="O71" s="80"/>
      <c r="P71" s="80"/>
      <c r="Q71" s="80"/>
      <c r="R71" s="80"/>
      <c r="S71" s="80"/>
      <c r="T71" s="80"/>
    </row>
    <row r="72" spans="1:31" customFormat="1" ht="12.75">
      <c r="A72" s="37"/>
      <c r="B72" s="43" t="s">
        <v>162</v>
      </c>
      <c r="C72" s="37"/>
      <c r="D72" s="37"/>
      <c r="E72" s="37"/>
      <c r="F72" s="38"/>
      <c r="G72" s="38"/>
      <c r="H72" s="38"/>
      <c r="I72" s="38"/>
      <c r="J72" s="39"/>
      <c r="K72" s="40"/>
      <c r="L72" s="39"/>
      <c r="M72" s="40"/>
      <c r="N72" s="39"/>
      <c r="O72" s="39"/>
      <c r="P72" s="39"/>
      <c r="Q72" s="39"/>
      <c r="R72" s="39"/>
      <c r="S72" s="39"/>
      <c r="T72" s="39"/>
      <c r="U72" s="39"/>
      <c r="V72" s="39"/>
      <c r="W72" s="40"/>
      <c r="X72" s="40"/>
      <c r="Y72" s="41"/>
      <c r="Z72" s="41"/>
      <c r="AA72" s="41"/>
      <c r="AB72" s="41"/>
      <c r="AC72" s="41"/>
      <c r="AD72" s="42"/>
      <c r="AE72" s="42"/>
    </row>
    <row r="73" spans="1:31" outlineLevel="1">
      <c r="C73" s="15"/>
      <c r="J73" s="71"/>
      <c r="K73" s="71"/>
      <c r="L73" s="71"/>
    </row>
    <row r="74" spans="1:31" outlineLevel="1">
      <c r="C74" s="9" t="s">
        <v>163</v>
      </c>
      <c r="D74" s="21" t="s">
        <v>33</v>
      </c>
      <c r="E74" s="21" t="s">
        <v>53</v>
      </c>
      <c r="F74" s="21" t="s">
        <v>59</v>
      </c>
      <c r="J74" s="113"/>
      <c r="K74" s="113"/>
      <c r="L74" s="113"/>
      <c r="M74" s="113"/>
      <c r="N74" s="113"/>
      <c r="O74" s="113"/>
      <c r="P74" s="113">
        <f>P$4</f>
        <v>45444</v>
      </c>
      <c r="Q74" s="113">
        <f t="shared" ref="Q74:T74" si="11">Q$4</f>
        <v>45809</v>
      </c>
      <c r="R74" s="113">
        <f t="shared" si="11"/>
        <v>46174</v>
      </c>
      <c r="S74" s="113">
        <f t="shared" si="11"/>
        <v>46539</v>
      </c>
      <c r="T74" s="113">
        <f t="shared" si="11"/>
        <v>46905</v>
      </c>
    </row>
    <row r="75" spans="1:31" outlineLevel="1">
      <c r="C75" s="9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 spans="1:31" outlineLevel="1">
      <c r="C76" s="81" t="str">
        <f>'Input|Step changes'!C12</f>
        <v>Expensing of IT projects</v>
      </c>
      <c r="D76" s="16" t="s">
        <v>52</v>
      </c>
      <c r="E76" s="16" t="str">
        <f t="shared" ref="E76:E94" si="12">$E$8</f>
        <v>$millions</v>
      </c>
      <c r="F76" s="111">
        <f t="shared" ref="F76:F86" si="13">$F$8</f>
        <v>45078</v>
      </c>
      <c r="J76" s="85">
        <f>'Input|Step changes'!J12*IF('Input|Step changes'!$F12="nominal",LOOKUP($F76,Nominal_to_Real,'Input|Rate of change'!N$26:N$32),INDEX('Input|Rate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K76" s="85">
        <f>'Input|Step changes'!K12*IF('Input|Step changes'!$F12="nominal",LOOKUP($F76,Nominal_to_Real,'Input|Rate of change'!O$26:O$32),INDEX('Input|Rate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L76" s="85">
        <f>'Input|Step changes'!L12*IF('Input|Step changes'!$F12="nominal",LOOKUP($F76,Nominal_to_Real,'Input|Rate of change'!P$26:P$32),INDEX('Input|Rate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M76" s="85">
        <f>'Input|Step changes'!M12*IF('Input|Step changes'!$F12="nominal",LOOKUP($F76,Nominal_to_Real,'Input|Rate of change'!Q$26:Q$32),INDEX('Input|Rate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N76" s="85">
        <f>'Input|Step changes'!N12*IF('Input|Step changes'!$F12="nominal",LOOKUP($F76,Nominal_to_Real,'Input|Rate of change'!R$26:R$32),INDEX('Input|Rate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O76" s="85">
        <f>'Input|Step changes'!O12*IF('Input|Step changes'!$F12="nominal",LOOKUP($F76,Nominal_to_Real,'Input|Rate of change'!S$26:S$32),INDEX('Input|Rate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P76" s="85">
        <f>'Input|Step changes'!P12*IF('Input|Step changes'!$F12="nominal",LOOKUP($F76,Nominal_to_Real,'Input|Rate of change'!T$26:T$32),INDEX('Input|Rate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7.9880090160790234</v>
      </c>
      <c r="Q76" s="85">
        <f>'Input|Step changes'!Q12*IF('Input|Step changes'!$F12="nominal",LOOKUP($F76,Nominal_to_Real,'Input|Rate of change'!U$26:U$32),INDEX('Input|Rate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8.9485483513622643</v>
      </c>
      <c r="R76" s="85">
        <f>'Input|Step changes'!R12*IF('Input|Step changes'!$F12="nominal",LOOKUP($F76,Nominal_to_Real,'Input|Rate of change'!V$26:V$32),INDEX('Input|Rate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5.694896728784399</v>
      </c>
      <c r="S76" s="85">
        <f>'Input|Step changes'!S12*IF('Input|Step changes'!$F12="nominal",LOOKUP($F76,Nominal_to_Real,'Input|Rate of change'!W$26:W$32),INDEX('Input|Rate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4.4143904959390987</v>
      </c>
      <c r="T76" s="85">
        <f>'Input|Step changes'!T12*IF('Input|Step changes'!$F12="nominal",LOOKUP($F76,Nominal_to_Real,'Input|Rate of change'!X$26:X$32),INDEX('Input|Rate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4.1131176610077338</v>
      </c>
    </row>
    <row r="77" spans="1:31" outlineLevel="1">
      <c r="C77" s="81" t="str">
        <f>'Input|Step changes'!C13</f>
        <v>EPA</v>
      </c>
      <c r="D77" s="16" t="s">
        <v>52</v>
      </c>
      <c r="E77" s="16" t="str">
        <f t="shared" si="12"/>
        <v>$millions</v>
      </c>
      <c r="F77" s="111">
        <f t="shared" si="13"/>
        <v>45078</v>
      </c>
      <c r="J77" s="85">
        <f>'Input|Step changes'!J13*IF('Input|Step changes'!$F13="nominal",LOOKUP($F77,Nominal_to_Real,'Input|Rate of change'!N$26:N$32),INDEX('Input|Rate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K77" s="85">
        <f>'Input|Step changes'!K13*IF('Input|Step changes'!$F13="nominal",LOOKUP($F77,Nominal_to_Real,'Input|Rate of change'!O$26:O$32),INDEX('Input|Rate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L77" s="85">
        <f>'Input|Step changes'!L13*IF('Input|Step changes'!$F13="nominal",LOOKUP($F77,Nominal_to_Real,'Input|Rate of change'!P$26:P$32),INDEX('Input|Rate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M77" s="85">
        <f>'Input|Step changes'!M13*IF('Input|Step changes'!$F13="nominal",LOOKUP($F77,Nominal_to_Real,'Input|Rate of change'!Q$26:Q$32),INDEX('Input|Rate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N77" s="85">
        <f>'Input|Step changes'!N13*IF('Input|Step changes'!$F13="nominal",LOOKUP($F77,Nominal_to_Real,'Input|Rate of change'!R$26:R$32),INDEX('Input|Rate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O77" s="85">
        <f>'Input|Step changes'!O13*IF('Input|Step changes'!$F13="nominal",LOOKUP($F77,Nominal_to_Real,'Input|Rate of change'!S$26:S$32),INDEX('Input|Rate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P77" s="85">
        <f>'Input|Step changes'!P13*IF('Input|Step changes'!$F13="nominal",LOOKUP($F77,Nominal_to_Real,'Input|Rate of change'!T$26:T$32),INDEX('Input|Rate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Q77" s="85">
        <f>'Input|Step changes'!Q13*IF('Input|Step changes'!$F13="nominal",LOOKUP($F77,Nominal_to_Real,'Input|Rate of change'!U$26:U$32),INDEX('Input|Rate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R77" s="85">
        <f>'Input|Step changes'!R13*IF('Input|Step changes'!$F13="nominal",LOOKUP($F77,Nominal_to_Real,'Input|Rate of change'!V$26:V$32),INDEX('Input|Rate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S77" s="85">
        <f>'Input|Step changes'!S13*IF('Input|Step changes'!$F13="nominal",LOOKUP($F77,Nominal_to_Real,'Input|Rate of change'!W$26:W$32),INDEX('Input|Rate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T77" s="85">
        <f>'Input|Step changes'!T13*IF('Input|Step changes'!$F13="nominal",LOOKUP($F77,Nominal_to_Real,'Input|Rate of change'!X$26:X$32),INDEX('Input|Rate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</row>
    <row r="78" spans="1:31" outlineLevel="1">
      <c r="C78" s="81" t="str">
        <f>'Input|Step changes'!C14</f>
        <v>ESV Levy</v>
      </c>
      <c r="D78" s="16" t="s">
        <v>52</v>
      </c>
      <c r="E78" s="16" t="str">
        <f t="shared" si="12"/>
        <v>$millions</v>
      </c>
      <c r="F78" s="111">
        <f t="shared" si="13"/>
        <v>45078</v>
      </c>
      <c r="J78" s="85">
        <f>'Input|Step changes'!J14*IF('Input|Step changes'!$F14="nominal",LOOKUP($F78,Nominal_to_Real,'Input|Rate of change'!N$26:N$32),INDEX('Input|Rate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K78" s="85">
        <f>'Input|Step changes'!K14*IF('Input|Step changes'!$F14="nominal",LOOKUP($F78,Nominal_to_Real,'Input|Rate of change'!O$26:O$32),INDEX('Input|Rate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L78" s="85">
        <f>'Input|Step changes'!L14*IF('Input|Step changes'!$F14="nominal",LOOKUP($F78,Nominal_to_Real,'Input|Rate of change'!P$26:P$32),INDEX('Input|Rate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M78" s="85">
        <f>'Input|Step changes'!M14*IF('Input|Step changes'!$F14="nominal",LOOKUP($F78,Nominal_to_Real,'Input|Rate of change'!Q$26:Q$32),INDEX('Input|Rate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N78" s="85">
        <f>'Input|Step changes'!N14*IF('Input|Step changes'!$F14="nominal",LOOKUP($F78,Nominal_to_Real,'Input|Rate of change'!R$26:R$32),INDEX('Input|Rate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O78" s="85">
        <f>'Input|Step changes'!O14*IF('Input|Step changes'!$F14="nominal",LOOKUP($F78,Nominal_to_Real,'Input|Rate of change'!S$26:S$32),INDEX('Input|Rate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P78" s="85">
        <f>'Input|Step changes'!P14*IF('Input|Step changes'!$F14="nominal",LOOKUP($F78,Nominal_to_Real,'Input|Rate of change'!T$26:T$32),INDEX('Input|Rate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Q78" s="85">
        <f>'Input|Step changes'!Q14*IF('Input|Step changes'!$F14="nominal",LOOKUP($F78,Nominal_to_Real,'Input|Rate of change'!U$26:U$32),INDEX('Input|Rate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R78" s="85">
        <f>'Input|Step changes'!R14*IF('Input|Step changes'!$F14="nominal",LOOKUP($F78,Nominal_to_Real,'Input|Rate of change'!V$26:V$32),INDEX('Input|Rate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1.6535980119798701</v>
      </c>
      <c r="S78" s="85">
        <f>'Input|Step changes'!S14*IF('Input|Step changes'!$F14="nominal",LOOKUP($F78,Nominal_to_Real,'Input|Rate of change'!W$26:W$32),INDEX('Input|Rate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1.69005298338115</v>
      </c>
      <c r="T78" s="85">
        <f>'Input|Step changes'!T14*IF('Input|Step changes'!$F14="nominal",LOOKUP($F78,Nominal_to_Real,'Input|Rate of change'!X$26:X$32),INDEX('Input|Rate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1.7614464590727299</v>
      </c>
      <c r="V78" s="85"/>
      <c r="W78" s="85"/>
      <c r="X78" s="85"/>
    </row>
    <row r="79" spans="1:31" outlineLevel="1">
      <c r="C79" s="81">
        <f>'Input|Step changes'!C15</f>
        <v>0</v>
      </c>
      <c r="D79" s="16" t="s">
        <v>52</v>
      </c>
      <c r="E79" s="16" t="str">
        <f t="shared" si="12"/>
        <v>$millions</v>
      </c>
      <c r="F79" s="111">
        <f t="shared" si="13"/>
        <v>45078</v>
      </c>
      <c r="J79" s="85">
        <f>'Input|Step changes'!J15*IF('Input|Step changes'!$F15="nominal",LOOKUP($F79,Nominal_to_Real,'Input|Rate of change'!N$26:N$32),INDEX('Input|Rate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K79" s="85">
        <f>'Input|Step changes'!K15*IF('Input|Step changes'!$F15="nominal",LOOKUP($F79,Nominal_to_Real,'Input|Rate of change'!O$26:O$32),INDEX('Input|Rate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L79" s="85">
        <f>'Input|Step changes'!L15*IF('Input|Step changes'!$F15="nominal",LOOKUP($F79,Nominal_to_Real,'Input|Rate of change'!P$26:P$32),INDEX('Input|Rate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M79" s="85">
        <f>'Input|Step changes'!M15*IF('Input|Step changes'!$F15="nominal",LOOKUP($F79,Nominal_to_Real,'Input|Rate of change'!Q$26:Q$32),INDEX('Input|Rate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N79" s="85">
        <f>'Input|Step changes'!N15*IF('Input|Step changes'!$F15="nominal",LOOKUP($F79,Nominal_to_Real,'Input|Rate of change'!R$26:R$32),INDEX('Input|Rate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O79" s="85">
        <f>'Input|Step changes'!O15*IF('Input|Step changes'!$F15="nominal",LOOKUP($F79,Nominal_to_Real,'Input|Rate of change'!S$26:S$32),INDEX('Input|Rate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P79" s="85">
        <f>'Input|Step changes'!P15*IF('Input|Step changes'!$F15="nominal",LOOKUP($F79,Nominal_to_Real,'Input|Rate of change'!T$26:T$32),INDEX('Input|Rate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Q79" s="85">
        <f>'Input|Step changes'!Q15*IF('Input|Step changes'!$F15="nominal",LOOKUP($F79,Nominal_to_Real,'Input|Rate of change'!U$26:U$32),INDEX('Input|Rate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R79" s="85">
        <f>'Input|Step changes'!R15*IF('Input|Step changes'!$F15="nominal",LOOKUP($F79,Nominal_to_Real,'Input|Rate of change'!V$26:V$32),INDEX('Input|Rate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S79" s="85">
        <f>'Input|Step changes'!S15*IF('Input|Step changes'!$F15="nominal",LOOKUP($F79,Nominal_to_Real,'Input|Rate of change'!W$26:W$32),INDEX('Input|Rate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T79" s="85">
        <f>'Input|Step changes'!T15*IF('Input|Step changes'!$F15="nominal",LOOKUP($F79,Nominal_to_Real,'Input|Rate of change'!X$26:X$32),INDEX('Input|Rate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</row>
    <row r="80" spans="1:31" outlineLevel="1">
      <c r="C80" s="81">
        <f>'Input|Step changes'!C16</f>
        <v>0</v>
      </c>
      <c r="D80" s="16" t="s">
        <v>52</v>
      </c>
      <c r="E80" s="16" t="str">
        <f t="shared" si="12"/>
        <v>$millions</v>
      </c>
      <c r="F80" s="111">
        <f t="shared" si="13"/>
        <v>45078</v>
      </c>
      <c r="J80" s="85">
        <f>'Input|Step changes'!J16*IF('Input|Step changes'!$F16="nominal",LOOKUP($F80,Nominal_to_Real,'Input|Rate of change'!N$26:N$32),INDEX('Input|Rate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K80" s="85">
        <f>'Input|Step changes'!K16*IF('Input|Step changes'!$F16="nominal",LOOKUP($F80,Nominal_to_Real,'Input|Rate of change'!O$26:O$32),INDEX('Input|Rate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L80" s="85">
        <f>'Input|Step changes'!L16*IF('Input|Step changes'!$F16="nominal",LOOKUP($F80,Nominal_to_Real,'Input|Rate of change'!P$26:P$32),INDEX('Input|Rate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M80" s="85">
        <f>'Input|Step changes'!M16*IF('Input|Step changes'!$F16="nominal",LOOKUP($F80,Nominal_to_Real,'Input|Rate of change'!Q$26:Q$32),INDEX('Input|Rate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N80" s="85">
        <f>'Input|Step changes'!N16*IF('Input|Step changes'!$F16="nominal",LOOKUP($F80,Nominal_to_Real,'Input|Rate of change'!R$26:R$32),INDEX('Input|Rate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O80" s="85">
        <f>'Input|Step changes'!O16*IF('Input|Step changes'!$F16="nominal",LOOKUP($F80,Nominal_to_Real,'Input|Rate of change'!S$26:S$32),INDEX('Input|Rate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P80" s="85">
        <f>'Input|Step changes'!P16*IF('Input|Step changes'!$F16="nominal",LOOKUP($F80,Nominal_to_Real,'Input|Rate of change'!T$26:T$32),INDEX('Input|Rate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Q80" s="85">
        <f>'Input|Step changes'!Q16*IF('Input|Step changes'!$F16="nominal",LOOKUP($F80,Nominal_to_Real,'Input|Rate of change'!U$26:U$32),INDEX('Input|Rate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R80" s="85">
        <f>'Input|Step changes'!R16*IF('Input|Step changes'!$F16="nominal",LOOKUP($F80,Nominal_to_Real,'Input|Rate of change'!V$26:V$32),INDEX('Input|Rate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S80" s="85">
        <f>'Input|Step changes'!S16*IF('Input|Step changes'!$F16="nominal",LOOKUP($F80,Nominal_to_Real,'Input|Rate of change'!W$26:W$32),INDEX('Input|Rate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T80" s="85">
        <f>'Input|Step changes'!T16*IF('Input|Step changes'!$F16="nominal",LOOKUP($F80,Nominal_to_Real,'Input|Rate of change'!X$26:X$32),INDEX('Input|Rate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</row>
    <row r="81" spans="1:39" outlineLevel="1">
      <c r="C81" s="81">
        <f>'Input|Step changes'!C17</f>
        <v>0</v>
      </c>
      <c r="D81" s="16" t="s">
        <v>52</v>
      </c>
      <c r="E81" s="16" t="str">
        <f t="shared" si="12"/>
        <v>$millions</v>
      </c>
      <c r="F81" s="111">
        <f t="shared" si="13"/>
        <v>45078</v>
      </c>
      <c r="J81" s="85">
        <f>'Input|Step changes'!J17*IF('Input|Step changes'!$F17="nominal",LOOKUP($F81,Nominal_to_Real,'Input|Rate of change'!N$26:N$32),INDEX('Input|Rate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K81" s="85">
        <f>'Input|Step changes'!K17*IF('Input|Step changes'!$F17="nominal",LOOKUP($F81,Nominal_to_Real,'Input|Rate of change'!O$26:O$32),INDEX('Input|Rate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L81" s="85">
        <f>'Input|Step changes'!L17*IF('Input|Step changes'!$F17="nominal",LOOKUP($F81,Nominal_to_Real,'Input|Rate of change'!P$26:P$32),INDEX('Input|Rate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M81" s="85">
        <f>'Input|Step changes'!M17*IF('Input|Step changes'!$F17="nominal",LOOKUP($F81,Nominal_to_Real,'Input|Rate of change'!Q$26:Q$32),INDEX('Input|Rate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N81" s="85">
        <f>'Input|Step changes'!N17*IF('Input|Step changes'!$F17="nominal",LOOKUP($F81,Nominal_to_Real,'Input|Rate of change'!R$26:R$32),INDEX('Input|Rate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O81" s="85">
        <f>'Input|Step changes'!O17*IF('Input|Step changes'!$F17="nominal",LOOKUP($F81,Nominal_to_Real,'Input|Rate of change'!S$26:S$32),INDEX('Input|Rate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P81" s="85">
        <f>'Input|Step changes'!P17*IF('Input|Step changes'!$F17="nominal",LOOKUP($F81,Nominal_to_Real,'Input|Rate of change'!T$26:T$32),INDEX('Input|Rate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Q81" s="85">
        <f>'Input|Step changes'!Q17*IF('Input|Step changes'!$F17="nominal",LOOKUP($F81,Nominal_to_Real,'Input|Rate of change'!U$26:U$32),INDEX('Input|Rate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R81" s="85">
        <f>'Input|Step changes'!R17*IF('Input|Step changes'!$F17="nominal",LOOKUP($F81,Nominal_to_Real,'Input|Rate of change'!V$26:V$32),INDEX('Input|Rate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S81" s="85">
        <f>'Input|Step changes'!S17*IF('Input|Step changes'!$F17="nominal",LOOKUP($F81,Nominal_to_Real,'Input|Rate of change'!W$26:W$32),INDEX('Input|Rate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T81" s="85">
        <f>'Input|Step changes'!T17*IF('Input|Step changes'!$F17="nominal",LOOKUP($F81,Nominal_to_Real,'Input|Rate of change'!X$26:X$32),INDEX('Input|Rate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</row>
    <row r="82" spans="1:39" outlineLevel="1">
      <c r="C82" s="81">
        <f>'Input|Step changes'!C18</f>
        <v>0</v>
      </c>
      <c r="D82" s="16" t="s">
        <v>52</v>
      </c>
      <c r="E82" s="16" t="str">
        <f t="shared" si="12"/>
        <v>$millions</v>
      </c>
      <c r="F82" s="111">
        <f t="shared" si="13"/>
        <v>45078</v>
      </c>
      <c r="J82" s="85">
        <f>'Input|Step changes'!J18*IF('Input|Step changes'!$F18="nominal",LOOKUP($F82,Nominal_to_Real,'Input|Rate of change'!N$26:N$32),INDEX('Input|Rate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K82" s="85">
        <f>'Input|Step changes'!K18*IF('Input|Step changes'!$F18="nominal",LOOKUP($F82,Nominal_to_Real,'Input|Rate of change'!O$26:O$32),INDEX('Input|Rate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L82" s="85">
        <f>'Input|Step changes'!L18*IF('Input|Step changes'!$F18="nominal",LOOKUP($F82,Nominal_to_Real,'Input|Rate of change'!P$26:P$32),INDEX('Input|Rate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M82" s="85">
        <f>'Input|Step changes'!M18*IF('Input|Step changes'!$F18="nominal",LOOKUP($F82,Nominal_to_Real,'Input|Rate of change'!Q$26:Q$32),INDEX('Input|Rate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N82" s="85">
        <f>'Input|Step changes'!N18*IF('Input|Step changes'!$F18="nominal",LOOKUP($F82,Nominal_to_Real,'Input|Rate of change'!R$26:R$32),INDEX('Input|Rate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O82" s="85">
        <f>'Input|Step changes'!O18*IF('Input|Step changes'!$F18="nominal",LOOKUP($F82,Nominal_to_Real,'Input|Rate of change'!S$26:S$32),INDEX('Input|Rate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P82" s="85">
        <f>'Input|Step changes'!P18*IF('Input|Step changes'!$F18="nominal",LOOKUP($F82,Nominal_to_Real,'Input|Rate of change'!T$26:T$32),INDEX('Input|Rate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Q82" s="85">
        <f>'Input|Step changes'!Q18*IF('Input|Step changes'!$F18="nominal",LOOKUP($F82,Nominal_to_Real,'Input|Rate of change'!U$26:U$32),INDEX('Input|Rate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R82" s="85">
        <f>'Input|Step changes'!R18*IF('Input|Step changes'!$F18="nominal",LOOKUP($F82,Nominal_to_Real,'Input|Rate of change'!V$26:V$32),INDEX('Input|Rate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S82" s="85">
        <f>'Input|Step changes'!S18*IF('Input|Step changes'!$F18="nominal",LOOKUP($F82,Nominal_to_Real,'Input|Rate of change'!W$26:W$32),INDEX('Input|Rate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T82" s="85">
        <f>'Input|Step changes'!T18*IF('Input|Step changes'!$F18="nominal",LOOKUP($F82,Nominal_to_Real,'Input|Rate of change'!X$26:X$32),INDEX('Input|Rate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</row>
    <row r="83" spans="1:39" outlineLevel="1">
      <c r="C83" s="81">
        <f>'Input|Step changes'!C19</f>
        <v>0</v>
      </c>
      <c r="D83" s="16" t="s">
        <v>52</v>
      </c>
      <c r="E83" s="16" t="str">
        <f t="shared" si="12"/>
        <v>$millions</v>
      </c>
      <c r="F83" s="111">
        <f t="shared" si="13"/>
        <v>45078</v>
      </c>
      <c r="J83" s="85">
        <f>'Input|Step changes'!J19*IF('Input|Step changes'!$F19="nominal",LOOKUP($F83,Nominal_to_Real,'Input|Rate of change'!N$26:N$32),INDEX('Input|Rate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K83" s="85">
        <f>'Input|Step changes'!K19*IF('Input|Step changes'!$F19="nominal",LOOKUP($F83,Nominal_to_Real,'Input|Rate of change'!O$26:O$32),INDEX('Input|Rate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L83" s="85">
        <f>'Input|Step changes'!L19*IF('Input|Step changes'!$F19="nominal",LOOKUP($F83,Nominal_to_Real,'Input|Rate of change'!P$26:P$32),INDEX('Input|Rate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M83" s="85">
        <f>'Input|Step changes'!M19*IF('Input|Step changes'!$F19="nominal",LOOKUP($F83,Nominal_to_Real,'Input|Rate of change'!Q$26:Q$32),INDEX('Input|Rate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N83" s="85">
        <f>'Input|Step changes'!N19*IF('Input|Step changes'!$F19="nominal",LOOKUP($F83,Nominal_to_Real,'Input|Rate of change'!R$26:R$32),INDEX('Input|Rate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O83" s="85">
        <f>'Input|Step changes'!O19*IF('Input|Step changes'!$F19="nominal",LOOKUP($F83,Nominal_to_Real,'Input|Rate of change'!S$26:S$32),INDEX('Input|Rate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P83" s="85">
        <f>'Input|Step changes'!P19*IF('Input|Step changes'!$F19="nominal",LOOKUP($F83,Nominal_to_Real,'Input|Rate of change'!T$26:T$32),INDEX('Input|Rate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Q83" s="85">
        <f>'Input|Step changes'!Q19*IF('Input|Step changes'!$F19="nominal",LOOKUP($F83,Nominal_to_Real,'Input|Rate of change'!U$26:U$32),INDEX('Input|Rate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R83" s="85">
        <f>'Input|Step changes'!R19*IF('Input|Step changes'!$F19="nominal",LOOKUP($F83,Nominal_to_Real,'Input|Rate of change'!V$26:V$32),INDEX('Input|Rate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S83" s="85">
        <f>'Input|Step changes'!S19*IF('Input|Step changes'!$F19="nominal",LOOKUP($F83,Nominal_to_Real,'Input|Rate of change'!W$26:W$32),INDEX('Input|Rate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T83" s="85">
        <f>'Input|Step changes'!T19*IF('Input|Step changes'!$F19="nominal",LOOKUP($F83,Nominal_to_Real,'Input|Rate of change'!X$26:X$32),INDEX('Input|Rate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</row>
    <row r="84" spans="1:39" outlineLevel="1">
      <c r="C84" s="81">
        <f>'Input|Step changes'!C20</f>
        <v>0</v>
      </c>
      <c r="D84" s="16" t="s">
        <v>52</v>
      </c>
      <c r="E84" s="16" t="str">
        <f t="shared" si="12"/>
        <v>$millions</v>
      </c>
      <c r="F84" s="111">
        <f t="shared" si="13"/>
        <v>45078</v>
      </c>
      <c r="J84" s="85">
        <f>'Input|Step changes'!J20*IF('Input|Step changes'!$F20="nominal",LOOKUP($F84,Nominal_to_Real,'Input|Rate of change'!N$26:N$32),INDEX('Input|Rate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K84" s="85">
        <f>'Input|Step changes'!K20*IF('Input|Step changes'!$F20="nominal",LOOKUP($F84,Nominal_to_Real,'Input|Rate of change'!O$26:O$32),INDEX('Input|Rate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L84" s="85">
        <f>'Input|Step changes'!L20*IF('Input|Step changes'!$F20="nominal",LOOKUP($F84,Nominal_to_Real,'Input|Rate of change'!P$26:P$32),INDEX('Input|Rate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M84" s="85">
        <f>'Input|Step changes'!M20*IF('Input|Step changes'!$F20="nominal",LOOKUP($F84,Nominal_to_Real,'Input|Rate of change'!Q$26:Q$32),INDEX('Input|Rate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N84" s="85">
        <f>'Input|Step changes'!N20*IF('Input|Step changes'!$F20="nominal",LOOKUP($F84,Nominal_to_Real,'Input|Rate of change'!R$26:R$32),INDEX('Input|Rate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O84" s="85">
        <f>'Input|Step changes'!O20*IF('Input|Step changes'!$F20="nominal",LOOKUP($F84,Nominal_to_Real,'Input|Rate of change'!S$26:S$32),INDEX('Input|Rate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P84" s="85">
        <f>'Input|Step changes'!P20*IF('Input|Step changes'!$F20="nominal",LOOKUP($F84,Nominal_to_Real,'Input|Rate of change'!T$26:T$32),INDEX('Input|Rate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Q84" s="85">
        <f>'Input|Step changes'!Q20*IF('Input|Step changes'!$F20="nominal",LOOKUP($F84,Nominal_to_Real,'Input|Rate of change'!U$26:U$32),INDEX('Input|Rate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R84" s="85">
        <f>'Input|Step changes'!R20*IF('Input|Step changes'!$F20="nominal",LOOKUP($F84,Nominal_to_Real,'Input|Rate of change'!V$26:V$32),INDEX('Input|Rate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S84" s="85">
        <f>'Input|Step changes'!S20*IF('Input|Step changes'!$F20="nominal",LOOKUP($F84,Nominal_to_Real,'Input|Rate of change'!W$26:W$32),INDEX('Input|Rate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T84" s="85">
        <f>'Input|Step changes'!T20*IF('Input|Step changes'!$F20="nominal",LOOKUP($F84,Nominal_to_Real,'Input|Rate of change'!X$26:X$32),INDEX('Input|Rate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</row>
    <row r="85" spans="1:39" outlineLevel="1">
      <c r="C85" s="81"/>
      <c r="F85" s="203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</row>
    <row r="86" spans="1:39" outlineLevel="1">
      <c r="C86" s="74" t="s">
        <v>164</v>
      </c>
      <c r="D86" s="82" t="s">
        <v>52</v>
      </c>
      <c r="E86" s="82" t="str">
        <f>$E$8</f>
        <v>$millions</v>
      </c>
      <c r="F86" s="121">
        <f t="shared" si="13"/>
        <v>45078</v>
      </c>
      <c r="G86" s="21"/>
      <c r="H86" s="21"/>
      <c r="I86" s="21"/>
      <c r="J86" s="86">
        <f>SUM(J75:J85)</f>
        <v>0</v>
      </c>
      <c r="K86" s="86">
        <f t="shared" ref="K86:S86" si="14">SUM(K75:K85)</f>
        <v>0</v>
      </c>
      <c r="L86" s="86">
        <f t="shared" si="14"/>
        <v>0</v>
      </c>
      <c r="M86" s="86">
        <f t="shared" si="14"/>
        <v>0</v>
      </c>
      <c r="N86" s="86">
        <f t="shared" si="14"/>
        <v>0</v>
      </c>
      <c r="O86" s="86">
        <f t="shared" si="14"/>
        <v>0</v>
      </c>
      <c r="P86" s="86">
        <f t="shared" si="14"/>
        <v>7.9880090160790234</v>
      </c>
      <c r="Q86" s="86">
        <f t="shared" si="14"/>
        <v>8.9485483513622643</v>
      </c>
      <c r="R86" s="86">
        <f t="shared" si="14"/>
        <v>7.3484947407642691</v>
      </c>
      <c r="S86" s="86">
        <f t="shared" si="14"/>
        <v>6.1044434793202491</v>
      </c>
      <c r="T86" s="86">
        <f t="shared" ref="T86" si="15">SUM(T75:T85)</f>
        <v>5.8745641200804641</v>
      </c>
    </row>
    <row r="87" spans="1:39">
      <c r="C87" s="83"/>
      <c r="J87" s="71"/>
      <c r="K87" s="71"/>
      <c r="L87" s="71"/>
      <c r="M87" s="71"/>
      <c r="N87" s="23"/>
      <c r="O87" s="23"/>
      <c r="P87" s="23"/>
      <c r="Q87" s="23"/>
      <c r="R87" s="23"/>
      <c r="S87" s="23"/>
      <c r="T87" s="23"/>
    </row>
    <row r="88" spans="1:39" customFormat="1" ht="12.75">
      <c r="A88" s="37"/>
      <c r="B88" s="43" t="s">
        <v>165</v>
      </c>
      <c r="C88" s="37"/>
      <c r="D88" s="37"/>
      <c r="E88" s="37"/>
      <c r="F88" s="38"/>
      <c r="G88" s="38"/>
      <c r="H88" s="38"/>
      <c r="I88" s="38"/>
      <c r="J88" s="39"/>
      <c r="K88" s="40"/>
      <c r="L88" s="39"/>
      <c r="M88" s="40"/>
      <c r="N88" s="39"/>
      <c r="O88" s="39"/>
      <c r="P88" s="39"/>
      <c r="Q88" s="39"/>
      <c r="R88" s="39"/>
      <c r="S88" s="39"/>
      <c r="T88" s="39"/>
      <c r="U88" s="39"/>
      <c r="V88" s="39"/>
      <c r="W88" s="40"/>
      <c r="X88" s="40"/>
      <c r="Y88" s="41"/>
      <c r="Z88" s="41"/>
      <c r="AA88" s="41"/>
      <c r="AB88" s="41"/>
      <c r="AC88" s="41"/>
      <c r="AD88" s="42"/>
      <c r="AE88" s="42"/>
    </row>
    <row r="89" spans="1:39" outlineLevel="1">
      <c r="C89" s="15"/>
      <c r="J89" s="85"/>
      <c r="K89" s="85"/>
      <c r="L89" s="85"/>
      <c r="M89" s="85"/>
      <c r="N89" s="85"/>
    </row>
    <row r="90" spans="1:39" outlineLevel="1">
      <c r="C90" s="9" t="s">
        <v>135</v>
      </c>
      <c r="D90" s="21" t="s">
        <v>33</v>
      </c>
      <c r="E90" s="21" t="s">
        <v>53</v>
      </c>
      <c r="F90" s="21" t="s">
        <v>59</v>
      </c>
      <c r="J90" s="85"/>
      <c r="K90" s="85"/>
      <c r="L90" s="85"/>
      <c r="M90" s="85"/>
      <c r="N90" s="85"/>
      <c r="O90" s="113"/>
      <c r="P90" s="113">
        <f>P$4</f>
        <v>45444</v>
      </c>
      <c r="Q90" s="113">
        <f t="shared" ref="Q90:T90" si="16">Q$4</f>
        <v>45809</v>
      </c>
      <c r="R90" s="113">
        <f t="shared" si="16"/>
        <v>46174</v>
      </c>
      <c r="S90" s="113">
        <f t="shared" si="16"/>
        <v>46539</v>
      </c>
      <c r="T90" s="113">
        <f t="shared" si="16"/>
        <v>46905</v>
      </c>
    </row>
    <row r="91" spans="1:39" outlineLevel="1">
      <c r="C91" s="9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</row>
    <row r="92" spans="1:39" outlineLevel="1">
      <c r="C92" s="81" t="str">
        <f>'Input|Step changes'!C28</f>
        <v>Priority Service program</v>
      </c>
      <c r="D92" s="16" t="s">
        <v>52</v>
      </c>
      <c r="E92" s="16" t="str">
        <f t="shared" si="12"/>
        <v>$millions</v>
      </c>
      <c r="F92" s="111">
        <f t="shared" ref="F92:F94" si="17">$F$8</f>
        <v>45078</v>
      </c>
      <c r="J92" s="85">
        <f>'Input|Step changes'!J28*IF('Input|Step changes'!$F28="nominal",LOOKUP($F92,Nominal_to_Real,'Input|Rate of change'!J$26:J$32),INDEX('Input|Rate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K92" s="85">
        <f>'Input|Step changes'!K28*IF('Input|Step changes'!$F28="nominal",LOOKUP($F92,Nominal_to_Real,'Input|Rate of change'!K$26:K$32),INDEX('Input|Rate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L92" s="85">
        <f>'Input|Step changes'!L28*IF('Input|Step changes'!$F28="nominal",LOOKUP($F92,Nominal_to_Real,'Input|Rate of change'!L$26:L$32),INDEX('Input|Rate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M92" s="85">
        <f>'Input|Step changes'!M28*IF('Input|Step changes'!$F28="nominal",LOOKUP($F92,Nominal_to_Real,'Input|Rate of change'!M$26:M$32),INDEX('Input|Rate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N92" s="85">
        <f>'Input|Step changes'!N28*IF('Input|Step changes'!$F28="nominal",LOOKUP($F92,Nominal_to_Real,'Input|Rate of change'!N$26:N$32),INDEX('Input|Rate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O92" s="85">
        <f>'Input|Step changes'!O28*IF('Input|Step changes'!$F28="nominal",LOOKUP($F92,Nominal_to_Real,'Input|Rate of change'!O$26:O$32),INDEX('Input|Rate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P92" s="85">
        <f>'Input|Step changes'!P28*IF('Input|Step changes'!$F28="nominal",LOOKUP($F92,Nominal_to_Real,'Input|Rate of change'!P$26:P$32),INDEX('Input|Rate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1.6144989472382523</v>
      </c>
      <c r="Q92" s="85">
        <f>'Input|Step changes'!Q28*IF('Input|Step changes'!$F28="nominal",LOOKUP($F92,Nominal_to_Real,'Input|Rate of change'!Q$26:Q$32),INDEX('Input|Rate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0.89620715004122009</v>
      </c>
      <c r="R92" s="85">
        <f>'Input|Step changes'!R28*IF('Input|Step changes'!$F28="nominal",LOOKUP($F92,Nominal_to_Real,'Input|Rate of change'!R$26:R$32),INDEX('Input|Rate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0.6199410741962077</v>
      </c>
      <c r="S92" s="85">
        <f>'Input|Step changes'!S28*IF('Input|Step changes'!$F28="nominal",LOOKUP($F92,Nominal_to_Real,'Input|Rate of change'!S$26:S$32),INDEX('Input|Rate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0.6199410741962077</v>
      </c>
      <c r="T92" s="85">
        <f>'Input|Step changes'!T28*IF('Input|Step changes'!$F28="nominal",LOOKUP($F92,Nominal_to_Real,'Input|Rate of change'!T$26:T$32),INDEX('Input|Rate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0.6199410741962077</v>
      </c>
    </row>
    <row r="93" spans="1:39" outlineLevel="1">
      <c r="C93" s="81">
        <f>'Input|Step changes'!C29</f>
        <v>0</v>
      </c>
      <c r="D93" s="16" t="s">
        <v>52</v>
      </c>
      <c r="E93" s="16" t="str">
        <f t="shared" si="12"/>
        <v>$millions</v>
      </c>
      <c r="F93" s="111">
        <f t="shared" si="17"/>
        <v>45078</v>
      </c>
      <c r="J93" s="85">
        <f>'Input|Step changes'!J29*IF('Input|Step changes'!$F29="nominal",LOOKUP($F93,Nominal_to_Real,'Input|Rate of change'!J$26:J$32),INDEX('Input|Rate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K93" s="85">
        <f>'Input|Step changes'!K29*IF('Input|Step changes'!$F29="nominal",LOOKUP($F93,Nominal_to_Real,'Input|Rate of change'!K$26:K$32),INDEX('Input|Rate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L93" s="85">
        <f>'Input|Step changes'!L29*IF('Input|Step changes'!$F29="nominal",LOOKUP($F93,Nominal_to_Real,'Input|Rate of change'!L$26:L$32),INDEX('Input|Rate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M93" s="85">
        <f>'Input|Step changes'!M29*IF('Input|Step changes'!$F29="nominal",LOOKUP($F93,Nominal_to_Real,'Input|Rate of change'!M$26:M$32),INDEX('Input|Rate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N93" s="85">
        <f>'Input|Step changes'!N29*IF('Input|Step changes'!$F29="nominal",LOOKUP($F93,Nominal_to_Real,'Input|Rate of change'!N$26:N$32),INDEX('Input|Rate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O93" s="85">
        <f>'Input|Step changes'!O29*IF('Input|Step changes'!$F29="nominal",LOOKUP($F93,Nominal_to_Real,'Input|Rate of change'!O$26:O$32),INDEX('Input|Rate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P93" s="85">
        <f>'Input|Step changes'!P29*IF('Input|Step changes'!$F29="nominal",LOOKUP($F93,Nominal_to_Real,'Input|Rate of change'!P$26:P$32),INDEX('Input|Rate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Q93" s="85">
        <f>'Input|Step changes'!Q29*IF('Input|Step changes'!$F29="nominal",LOOKUP($F93,Nominal_to_Real,'Input|Rate of change'!Q$26:Q$32),INDEX('Input|Rate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R93" s="85">
        <f>'Input|Step changes'!R29*IF('Input|Step changes'!$F29="nominal",LOOKUP($F93,Nominal_to_Real,'Input|Rate of change'!R$26:R$32),INDEX('Input|Rate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S93" s="85">
        <f>'Input|Step changes'!S29*IF('Input|Step changes'!$F29="nominal",LOOKUP($F93,Nominal_to_Real,'Input|Rate of change'!S$26:S$32),INDEX('Input|Rate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T93" s="85">
        <f>'Input|Step changes'!T29*IF('Input|Step changes'!$F29="nominal",LOOKUP($F93,Nominal_to_Real,'Input|Rate of change'!T$26:T$32),INDEX('Input|Rate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</row>
    <row r="94" spans="1:39" outlineLevel="1">
      <c r="C94" s="81">
        <f>'Input|Step changes'!C30</f>
        <v>0</v>
      </c>
      <c r="D94" s="16" t="s">
        <v>52</v>
      </c>
      <c r="E94" s="16" t="str">
        <f t="shared" si="12"/>
        <v>$millions</v>
      </c>
      <c r="F94" s="111">
        <f t="shared" si="17"/>
        <v>45078</v>
      </c>
      <c r="J94" s="85">
        <f>'Input|Step changes'!J30*IF('Input|Step changes'!$F30="nominal",LOOKUP($F94,Nominal_to_Real,'Input|Rate of change'!J$26:J$32),INDEX('Input|Rate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K94" s="85">
        <f>'Input|Step changes'!K30*IF('Input|Step changes'!$F30="nominal",LOOKUP($F94,Nominal_to_Real,'Input|Rate of change'!K$26:K$32),INDEX('Input|Rate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L94" s="85">
        <f>'Input|Step changes'!L30*IF('Input|Step changes'!$F30="nominal",LOOKUP($F94,Nominal_to_Real,'Input|Rate of change'!L$26:L$32),INDEX('Input|Rate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M94" s="85">
        <f>'Input|Step changes'!M30*IF('Input|Step changes'!$F30="nominal",LOOKUP($F94,Nominal_to_Real,'Input|Rate of change'!M$26:M$32),INDEX('Input|Rate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N94" s="85">
        <f>'Input|Step changes'!N30*IF('Input|Step changes'!$F30="nominal",LOOKUP($F94,Nominal_to_Real,'Input|Rate of change'!N$26:N$32),INDEX('Input|Rate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O94" s="85">
        <f>'Input|Step changes'!O30*IF('Input|Step changes'!$F30="nominal",LOOKUP($F94,Nominal_to_Real,'Input|Rate of change'!O$26:O$32),INDEX('Input|Rate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P94" s="85">
        <f>'Input|Step changes'!P30*IF('Input|Step changes'!$F30="nominal",LOOKUP($F94,Nominal_to_Real,'Input|Rate of change'!P$26:P$32),INDEX('Input|Rate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Q94" s="85">
        <f>'Input|Step changes'!Q30*IF('Input|Step changes'!$F30="nominal",LOOKUP($F94,Nominal_to_Real,'Input|Rate of change'!Q$26:Q$32),INDEX('Input|Rate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R94" s="85">
        <f>'Input|Step changes'!R30*IF('Input|Step changes'!$F30="nominal",LOOKUP($F94,Nominal_to_Real,'Input|Rate of change'!R$26:R$32),INDEX('Input|Rate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S94" s="85">
        <f>'Input|Step changes'!S30*IF('Input|Step changes'!$F30="nominal",LOOKUP($F94,Nominal_to_Real,'Input|Rate of change'!S$26:S$32),INDEX('Input|Rate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T94" s="85">
        <f>'Input|Step changes'!T30*IF('Input|Step changes'!$F30="nominal",LOOKUP($F94,Nominal_to_Real,'Input|Rate of change'!T$26:T$32),INDEX('Input|Rate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</row>
    <row r="95" spans="1:39" outlineLevel="1">
      <c r="C95" s="81"/>
      <c r="D95" s="72"/>
      <c r="F95" s="203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</row>
    <row r="96" spans="1:39" outlineLevel="1">
      <c r="C96" s="74" t="s">
        <v>166</v>
      </c>
      <c r="D96" s="82" t="s">
        <v>52</v>
      </c>
      <c r="E96" s="82" t="str">
        <f>$E$8</f>
        <v>$millions</v>
      </c>
      <c r="F96" s="121">
        <f t="shared" ref="F96" si="18">$F$8</f>
        <v>45078</v>
      </c>
      <c r="G96" s="21"/>
      <c r="H96" s="21"/>
      <c r="I96" s="21"/>
      <c r="J96" s="86">
        <f>SUM(J91:J95)</f>
        <v>0</v>
      </c>
      <c r="K96" s="86">
        <f t="shared" ref="K96:S96" si="19">SUM(K91:K95)</f>
        <v>0</v>
      </c>
      <c r="L96" s="86">
        <f t="shared" si="19"/>
        <v>0</v>
      </c>
      <c r="M96" s="86">
        <f t="shared" si="19"/>
        <v>0</v>
      </c>
      <c r="N96" s="86">
        <f t="shared" si="19"/>
        <v>0</v>
      </c>
      <c r="O96" s="86">
        <f t="shared" si="19"/>
        <v>0</v>
      </c>
      <c r="P96" s="86">
        <f t="shared" si="19"/>
        <v>1.6144989472382523</v>
      </c>
      <c r="Q96" s="86">
        <f t="shared" si="19"/>
        <v>0.89620715004122009</v>
      </c>
      <c r="R96" s="86">
        <f t="shared" si="19"/>
        <v>0.6199410741962077</v>
      </c>
      <c r="S96" s="86">
        <f t="shared" si="19"/>
        <v>0.6199410741962077</v>
      </c>
      <c r="T96" s="86">
        <f t="shared" ref="T96" si="20">SUM(T91:T95)</f>
        <v>0.6199410741962077</v>
      </c>
    </row>
    <row r="97" spans="1:31">
      <c r="C97" s="83"/>
      <c r="J97" s="71"/>
      <c r="K97" s="71"/>
      <c r="L97" s="71"/>
      <c r="M97" s="71"/>
      <c r="N97" s="23"/>
      <c r="O97" s="23"/>
      <c r="P97" s="23"/>
      <c r="Q97" s="23"/>
      <c r="R97" s="23"/>
      <c r="S97" s="23"/>
      <c r="T97" s="23"/>
    </row>
    <row r="98" spans="1:31" customFormat="1" ht="12.75">
      <c r="A98" s="37"/>
      <c r="B98" s="43" t="s">
        <v>167</v>
      </c>
      <c r="C98" s="37"/>
      <c r="D98" s="37"/>
      <c r="E98" s="37"/>
      <c r="F98" s="38"/>
      <c r="G98" s="38"/>
      <c r="H98" s="38"/>
      <c r="I98" s="38"/>
      <c r="J98" s="39"/>
      <c r="K98" s="40"/>
      <c r="L98" s="39"/>
      <c r="M98" s="40"/>
      <c r="N98" s="39"/>
      <c r="O98" s="39"/>
      <c r="P98" s="39"/>
      <c r="Q98" s="39"/>
      <c r="R98" s="39"/>
      <c r="S98" s="39"/>
      <c r="T98" s="39"/>
      <c r="U98" s="39"/>
      <c r="V98" s="39"/>
      <c r="W98" s="40"/>
      <c r="X98" s="40"/>
      <c r="Y98" s="41"/>
      <c r="Z98" s="41"/>
      <c r="AA98" s="41"/>
      <c r="AB98" s="41"/>
      <c r="AC98" s="41"/>
      <c r="AD98" s="42"/>
      <c r="AE98" s="42"/>
    </row>
    <row r="99" spans="1:31" outlineLevel="1">
      <c r="C99" s="15"/>
      <c r="J99" s="71"/>
      <c r="K99" s="71"/>
      <c r="L99" s="71"/>
    </row>
    <row r="100" spans="1:31" outlineLevel="1">
      <c r="C100" s="9"/>
      <c r="J100" s="113"/>
      <c r="K100" s="113"/>
      <c r="L100" s="113"/>
      <c r="M100" s="113"/>
      <c r="N100" s="113"/>
      <c r="O100" s="113"/>
      <c r="P100" s="113">
        <f>P$4</f>
        <v>45444</v>
      </c>
      <c r="Q100" s="113">
        <f t="shared" ref="Q100:T100" si="21">Q$4</f>
        <v>45809</v>
      </c>
      <c r="R100" s="113">
        <f t="shared" si="21"/>
        <v>46174</v>
      </c>
      <c r="S100" s="113">
        <f t="shared" si="21"/>
        <v>46539</v>
      </c>
      <c r="T100" s="113">
        <f t="shared" si="21"/>
        <v>46905</v>
      </c>
    </row>
    <row r="101" spans="1:31" outlineLevel="1">
      <c r="C101" s="9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</row>
    <row r="102" spans="1:31" outlineLevel="1">
      <c r="C102" s="83" t="s">
        <v>168</v>
      </c>
      <c r="D102" s="21" t="s">
        <v>52</v>
      </c>
      <c r="E102" s="21" t="str">
        <f>$E$8</f>
        <v>$millions</v>
      </c>
      <c r="F102" s="121">
        <f t="shared" ref="F102:F104" si="22">$F$8</f>
        <v>45078</v>
      </c>
      <c r="J102" s="103"/>
      <c r="K102" s="103"/>
      <c r="L102" s="103"/>
      <c r="M102" s="103"/>
      <c r="N102" s="103"/>
      <c r="O102" s="103"/>
      <c r="P102" s="103">
        <f ca="1">(1+P70)*SUM($J56:$S56)+P86</f>
        <v>65.670325154021839</v>
      </c>
      <c r="Q102" s="103">
        <f t="shared" ref="Q102:T102" ca="1" si="23">(1+Q70)*SUM($J56:$S56)+Q86</f>
        <v>67.588274798052694</v>
      </c>
      <c r="R102" s="103">
        <f ca="1">(1+R70)*SUM($J56:$S56)+R86</f>
        <v>66.478663092002293</v>
      </c>
      <c r="S102" s="103">
        <f t="shared" ca="1" si="23"/>
        <v>65.253277239381632</v>
      </c>
      <c r="T102" s="103">
        <f t="shared" ca="1" si="23"/>
        <v>64.711827079095514</v>
      </c>
    </row>
    <row r="103" spans="1:31" outlineLevel="1">
      <c r="C103" s="83" t="s">
        <v>169</v>
      </c>
      <c r="D103" s="21" t="s">
        <v>52</v>
      </c>
      <c r="E103" s="21" t="str">
        <f>$E$8</f>
        <v>$millions</v>
      </c>
      <c r="F103" s="121">
        <f t="shared" si="22"/>
        <v>45078</v>
      </c>
      <c r="J103" s="103"/>
      <c r="K103" s="103"/>
      <c r="L103" s="103"/>
      <c r="M103" s="103"/>
      <c r="N103" s="103"/>
      <c r="O103" s="103"/>
      <c r="P103" s="103">
        <f ca="1">(1+P70)*SUM($J56:$S56)+P86+P96</f>
        <v>67.284824101260085</v>
      </c>
      <c r="Q103" s="103">
        <f t="shared" ref="Q103:T103" ca="1" si="24">(1+Q70)*SUM($J56:$S56)+Q86+Q96</f>
        <v>68.484481948093915</v>
      </c>
      <c r="R103" s="103">
        <f t="shared" ca="1" si="24"/>
        <v>67.098604166198498</v>
      </c>
      <c r="S103" s="103">
        <f t="shared" ca="1" si="24"/>
        <v>65.873218313577837</v>
      </c>
      <c r="T103" s="103">
        <f t="shared" ca="1" si="24"/>
        <v>65.331768153291719</v>
      </c>
    </row>
    <row r="104" spans="1:31" outlineLevel="1">
      <c r="C104" s="83" t="s">
        <v>170</v>
      </c>
      <c r="D104" s="21" t="s">
        <v>52</v>
      </c>
      <c r="E104" s="21" t="str">
        <f>$E$8</f>
        <v>$millions</v>
      </c>
      <c r="F104" s="121">
        <f t="shared" si="22"/>
        <v>45078</v>
      </c>
      <c r="J104" s="103"/>
      <c r="K104" s="103"/>
      <c r="L104" s="103"/>
      <c r="M104" s="103"/>
      <c r="N104" s="103"/>
      <c r="O104" s="103"/>
      <c r="P104" s="103">
        <f ca="1">P103+'Input|Step changes'!P38</f>
        <v>67.284824101260085</v>
      </c>
      <c r="Q104" s="103">
        <f ca="1">Q103+'Input|Step changes'!Q38</f>
        <v>68.484481948093915</v>
      </c>
      <c r="R104" s="103">
        <f ca="1">R103+'Input|Step changes'!R38</f>
        <v>67.098604166198498</v>
      </c>
      <c r="S104" s="103">
        <f ca="1">S103+'Input|Step changes'!S38</f>
        <v>65.873218313577837</v>
      </c>
      <c r="T104" s="103">
        <f ca="1">T103+'Input|Step changes'!T38</f>
        <v>65.331768153291719</v>
      </c>
    </row>
    <row r="105" spans="1:31">
      <c r="C105" s="83"/>
      <c r="J105" s="71"/>
      <c r="K105" s="71"/>
      <c r="L105" s="71"/>
      <c r="M105" s="71"/>
      <c r="N105" s="23"/>
      <c r="O105" s="23"/>
      <c r="P105" s="23"/>
      <c r="Q105" s="23"/>
      <c r="R105" s="23"/>
      <c r="S105" s="23"/>
      <c r="T105" s="23"/>
    </row>
    <row r="106" spans="1:31" customFormat="1" ht="12.75">
      <c r="A106" s="37"/>
      <c r="B106" s="43" t="s">
        <v>23</v>
      </c>
      <c r="C106" s="37"/>
      <c r="D106" s="37"/>
      <c r="E106" s="37"/>
      <c r="F106" s="38"/>
      <c r="G106" s="38"/>
      <c r="H106" s="38"/>
      <c r="I106" s="38"/>
      <c r="J106" s="39"/>
      <c r="K106" s="40"/>
      <c r="L106" s="39"/>
      <c r="M106" s="40"/>
      <c r="N106" s="39"/>
      <c r="O106" s="39"/>
      <c r="P106" s="39"/>
      <c r="Q106" s="39"/>
      <c r="R106" s="39"/>
      <c r="S106" s="39"/>
      <c r="T106" s="39"/>
      <c r="U106" s="39"/>
      <c r="V106" s="39"/>
      <c r="W106" s="40"/>
      <c r="X106" s="40"/>
      <c r="Y106" s="41"/>
      <c r="Z106" s="41"/>
      <c r="AA106" s="41"/>
      <c r="AB106" s="41"/>
      <c r="AC106" s="41"/>
      <c r="AD106" s="42"/>
      <c r="AE106" s="42"/>
    </row>
    <row r="115" s="8" customFormat="1" hidden="1"/>
    <row r="116" s="8" customFormat="1" hidden="1"/>
    <row r="117" s="8" customFormat="1" hidden="1"/>
    <row r="118" s="8" customFormat="1" hidden="1"/>
    <row r="119" s="8" customFormat="1" hidden="1"/>
    <row r="120" s="8" customFormat="1" hidden="1"/>
    <row r="121" s="8" customFormat="1" hidden="1"/>
    <row r="122" s="8" customFormat="1" hidden="1"/>
    <row r="123" s="8" customFormat="1" hidden="1"/>
    <row r="124" s="8" customFormat="1" hidden="1"/>
    <row r="125" s="8" customFormat="1" hidden="1"/>
    <row r="126" s="8" customFormat="1" hidden="1"/>
    <row r="127" s="8" customFormat="1" hidden="1"/>
    <row r="128" s="8" customFormat="1" hidden="1"/>
    <row r="129" s="8" customFormat="1" hidden="1"/>
    <row r="130" s="8" customFormat="1" hidden="1"/>
    <row r="131" s="8" customFormat="1" hidden="1"/>
    <row r="132" s="8" customFormat="1" hidden="1"/>
    <row r="133" s="8" customFormat="1" hidden="1"/>
    <row r="134" s="8" customFormat="1" hidden="1"/>
    <row r="135" s="8" customFormat="1" hidden="1"/>
    <row r="136" s="8" customFormat="1" hidden="1"/>
    <row r="137" s="8" customFormat="1" hidden="1"/>
    <row r="138" s="8" customFormat="1" hidden="1"/>
    <row r="139" s="8" customFormat="1" hidden="1"/>
    <row r="140" s="8" customFormat="1" hidden="1"/>
    <row r="141" s="8" customFormat="1" hidden="1"/>
    <row r="142" s="8" customFormat="1" hidden="1"/>
    <row r="143" s="8" customFormat="1" hidden="1"/>
    <row r="144" s="8" customFormat="1" hidden="1"/>
    <row r="145" s="8" customFormat="1" hidden="1"/>
    <row r="146" s="8" customFormat="1" hidden="1"/>
    <row r="147" s="8" customFormat="1" hidden="1"/>
    <row r="148" s="8" customFormat="1" hidden="1"/>
    <row r="149" s="8" customFormat="1" hidden="1"/>
    <row r="150" s="8" customFormat="1" hidden="1"/>
    <row r="151" s="8" customFormat="1" hidden="1"/>
    <row r="152" s="8" customFormat="1" hidden="1"/>
    <row r="153" s="8" customFormat="1" hidden="1"/>
    <row r="154" s="8" customFormat="1" hidden="1"/>
    <row r="155" s="8" customFormat="1" hidden="1"/>
    <row r="156" s="8" customFormat="1" hidden="1"/>
    <row r="157" s="8" customFormat="1" hidden="1"/>
    <row r="158" s="8" customFormat="1" hidden="1"/>
    <row r="159" s="8" customFormat="1" hidden="1"/>
    <row r="160" s="8" customFormat="1" hidden="1"/>
    <row r="161" s="8" customFormat="1" hidden="1"/>
    <row r="162" s="8" customFormat="1" hidden="1"/>
    <row r="163" s="8" customFormat="1" hidden="1"/>
    <row r="164" s="8" customFormat="1" hidden="1"/>
    <row r="165" s="8" customFormat="1" hidden="1"/>
    <row r="166" s="8" customFormat="1" hidden="1"/>
    <row r="167" s="8" customFormat="1" hidden="1"/>
    <row r="168" s="8" customFormat="1" hidden="1"/>
    <row r="169" s="8" customFormat="1" hidden="1"/>
    <row r="170" s="8" customFormat="1" hidden="1"/>
    <row r="171" s="8" customFormat="1" hidden="1"/>
    <row r="172" s="8" customFormat="1" hidden="1"/>
    <row r="173" s="8" customFormat="1" hidden="1"/>
    <row r="174" s="8" customFormat="1" hidden="1"/>
    <row r="175" s="8" customFormat="1" hidden="1"/>
    <row r="176" s="8" customFormat="1" hidden="1"/>
    <row r="177" s="8" customFormat="1" hidden="1"/>
    <row r="178" s="8" customFormat="1" hidden="1"/>
    <row r="179" s="8" customFormat="1" hidden="1"/>
    <row r="180" s="8" customFormat="1" hidden="1"/>
    <row r="181" s="8" customFormat="1" hidden="1"/>
    <row r="182" s="8" customFormat="1" hidden="1"/>
    <row r="183" s="8" customFormat="1" hidden="1"/>
    <row r="184" s="8" customFormat="1" hidden="1"/>
    <row r="185" s="8" customFormat="1" hidden="1"/>
    <row r="186" s="8" customFormat="1" hidden="1"/>
    <row r="187" s="8" customFormat="1" hidden="1"/>
    <row r="188" s="8" customFormat="1" hidden="1"/>
    <row r="189" s="8" customFormat="1" hidden="1"/>
    <row r="190" s="8" customFormat="1" hidden="1"/>
    <row r="191" s="8" customFormat="1" hidden="1"/>
  </sheetData>
  <mergeCells count="1">
    <mergeCell ref="N3:S3"/>
  </mergeCells>
  <conditionalFormatting sqref="J89:N90">
    <cfRule type="cellIs" dxfId="56" priority="1" operator="equal">
      <formula>0</formula>
    </cfRule>
  </conditionalFormatting>
  <conditionalFormatting sqref="J100:O100">
    <cfRule type="expression" dxfId="55" priority="154">
      <formula>J$100=J$4</formula>
    </cfRule>
  </conditionalFormatting>
  <conditionalFormatting sqref="J15:S16 K16:T16">
    <cfRule type="cellIs" dxfId="54" priority="31" operator="equal">
      <formula>0</formula>
    </cfRule>
  </conditionalFormatting>
  <conditionalFormatting sqref="J10:T10">
    <cfRule type="expression" dxfId="53" priority="51">
      <formula>J$10=J$4</formula>
    </cfRule>
  </conditionalFormatting>
  <conditionalFormatting sqref="J12:T26">
    <cfRule type="cellIs" dxfId="52" priority="8" operator="equal">
      <formula>0</formula>
    </cfRule>
  </conditionalFormatting>
  <conditionalFormatting sqref="J27:T27">
    <cfRule type="expression" dxfId="51" priority="50">
      <formula>J$10=J$4</formula>
    </cfRule>
  </conditionalFormatting>
  <conditionalFormatting sqref="J28:T56">
    <cfRule type="cellIs" dxfId="50" priority="4" operator="equal">
      <formula>0</formula>
    </cfRule>
  </conditionalFormatting>
  <conditionalFormatting sqref="J56:T56">
    <cfRule type="expression" dxfId="49" priority="49">
      <formula>J$10=J$4</formula>
    </cfRule>
  </conditionalFormatting>
  <conditionalFormatting sqref="J60:T60 J74:T74 O90:T90 P100:T100">
    <cfRule type="expression" dxfId="48" priority="151">
      <formula>J$60=J$4</formula>
    </cfRule>
  </conditionalFormatting>
  <conditionalFormatting sqref="J63:T67">
    <cfRule type="cellIs" dxfId="47" priority="123" operator="equal">
      <formula>0</formula>
    </cfRule>
  </conditionalFormatting>
  <conditionalFormatting sqref="J69:T69">
    <cfRule type="expression" dxfId="46" priority="145">
      <formula>J$60=J$4</formula>
    </cfRule>
  </conditionalFormatting>
  <conditionalFormatting sqref="J69:T70">
    <cfRule type="cellIs" dxfId="45" priority="42" operator="equal">
      <formula>0</formula>
    </cfRule>
  </conditionalFormatting>
  <conditionalFormatting sqref="J76:T84 J92:T94">
    <cfRule type="cellIs" dxfId="44" priority="121" operator="equal">
      <formula>0</formula>
    </cfRule>
  </conditionalFormatting>
  <conditionalFormatting sqref="J86:T86">
    <cfRule type="expression" dxfId="43" priority="149">
      <formula>J$74=J$4</formula>
    </cfRule>
    <cfRule type="cellIs" dxfId="42" priority="150" operator="equal">
      <formula>0</formula>
    </cfRule>
  </conditionalFormatting>
  <conditionalFormatting sqref="J96:T96">
    <cfRule type="expression" dxfId="41" priority="147">
      <formula>J$90=J$4</formula>
    </cfRule>
    <cfRule type="cellIs" dxfId="40" priority="148" operator="equal">
      <formula>0</formula>
    </cfRule>
  </conditionalFormatting>
  <conditionalFormatting sqref="J102:T104">
    <cfRule type="cellIs" dxfId="39" priority="52" operator="equal">
      <formula>0</formula>
    </cfRule>
  </conditionalFormatting>
  <conditionalFormatting sqref="S1:T1">
    <cfRule type="cellIs" dxfId="38" priority="130" operator="equal">
      <formula>"Check"</formula>
    </cfRule>
    <cfRule type="cellIs" dxfId="37" priority="131" operator="equal">
      <formula>"Ok"</formula>
    </cfRule>
  </conditionalFormatting>
  <conditionalFormatting sqref="V78:X78">
    <cfRule type="cellIs" dxfId="36" priority="2" operator="equal">
      <formula>0</formula>
    </cfRule>
  </conditionalFormatting>
  <conditionalFormatting sqref="W1">
    <cfRule type="cellIs" dxfId="35" priority="132" operator="equal">
      <formula>"Check"</formula>
    </cfRule>
    <cfRule type="cellIs" dxfId="34" priority="133" operator="equal">
      <formula>"Ok"</formula>
    </cfRule>
  </conditionalFormatting>
  <dataValidations disablePrompts="1" count="2">
    <dataValidation type="list" allowBlank="1" showInputMessage="1" showErrorMessage="1" sqref="F97 F95 F105 F87" xr:uid="{00000000-0002-0000-0600-000000000000}">
      <formula1>"Real 2010,Real 2011,Real 2012,Real 2013,Real 2014,Real 2015,Nominal"</formula1>
    </dataValidation>
    <dataValidation type="list" allowBlank="1" showInputMessage="1" showErrorMessage="1" sqref="F85" xr:uid="{00000000-0002-0000-0600-000001000000}">
      <formula1>$G$62:$G$68</formula1>
    </dataValidation>
  </dataValidations>
  <hyperlinks>
    <hyperlink ref="J1" location="Index!A1" display="Back to Index" xr:uid="{00000000-0004-0000-0600-000000000000}"/>
    <hyperlink ref="V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headerFooter>
    <oddFooter>&amp;C_x000D_&amp;1#&amp;"Century Gothic"&amp;7&amp;K7F7F7F BUSINESS USE ONLY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6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600-000003000000}">
          <x14:formula1>
            <xm:f>'Lookup|Tables'!$H$65:$H$71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3" tint="0.59999389629810485"/>
  </sheetPr>
  <dimension ref="A1:AV24"/>
  <sheetViews>
    <sheetView zoomScaleNormal="100" workbookViewId="0">
      <selection activeCell="F12" sqref="F12"/>
    </sheetView>
  </sheetViews>
  <sheetFormatPr defaultColWidth="0" defaultRowHeight="11.25" zeroHeight="1"/>
  <cols>
    <col min="1" max="2" width="1.5" style="8" customWidth="1"/>
    <col min="3" max="3" width="59.6640625" style="8" bestFit="1" customWidth="1"/>
    <col min="4" max="4" width="27.6640625" style="16" customWidth="1"/>
    <col min="5" max="5" width="15.6640625" style="16" customWidth="1"/>
    <col min="6" max="6" width="10.6640625" style="16" customWidth="1"/>
    <col min="7" max="9" width="3.33203125" style="16" customWidth="1"/>
    <col min="10" max="24" width="10.6640625" style="8" customWidth="1"/>
    <col min="25" max="48" width="0" style="8" hidden="1" customWidth="1"/>
    <col min="49" max="16384" width="10.5" style="8" hidden="1"/>
  </cols>
  <sheetData>
    <row r="1" spans="1:27" s="32" customFormat="1" ht="15.75">
      <c r="B1" s="29" t="str">
        <f>Index!$B$1</f>
        <v>AER opex model v1.9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P1" s="12"/>
      <c r="S1" s="33" t="s">
        <v>29</v>
      </c>
      <c r="T1" s="34" t="s">
        <v>108</v>
      </c>
      <c r="V1" s="129" t="s">
        <v>30</v>
      </c>
      <c r="W1" s="34" t="str">
        <f>'Check|List'!$S$1</f>
        <v>Ok</v>
      </c>
    </row>
    <row r="2" spans="1:27" s="36" customFormat="1" ht="13.5" thickBot="1">
      <c r="B2" s="35" t="e">
        <f>Index!#REF!</f>
        <v>#REF!</v>
      </c>
      <c r="C2" s="35"/>
      <c r="D2" s="35"/>
      <c r="E2" s="35"/>
      <c r="F2" s="59"/>
      <c r="G2" s="59"/>
      <c r="H2" s="59"/>
      <c r="I2" s="59"/>
    </row>
    <row r="3" spans="1:27" s="60" customFormat="1">
      <c r="D3" s="124"/>
      <c r="E3" s="124"/>
      <c r="F3" s="124"/>
      <c r="G3" s="124"/>
      <c r="H3" s="124"/>
      <c r="I3" s="124"/>
      <c r="J3" s="120" t="s">
        <v>58</v>
      </c>
      <c r="K3" s="120"/>
      <c r="L3" s="120"/>
      <c r="M3" s="124"/>
      <c r="N3" s="198"/>
      <c r="O3" s="198"/>
      <c r="P3" s="198"/>
      <c r="Q3" s="198"/>
      <c r="R3" s="198"/>
      <c r="S3" s="198"/>
      <c r="T3" s="198"/>
      <c r="U3" s="61"/>
      <c r="V3" s="61"/>
      <c r="W3" s="61"/>
      <c r="X3" s="61"/>
      <c r="Y3" s="61"/>
      <c r="Z3" s="61"/>
      <c r="AA3" s="61"/>
    </row>
    <row r="4" spans="1:27" customFormat="1">
      <c r="A4" s="62"/>
      <c r="B4" s="62"/>
      <c r="C4" s="62"/>
      <c r="D4" s="63" t="s">
        <v>33</v>
      </c>
      <c r="E4" s="63" t="s">
        <v>53</v>
      </c>
      <c r="F4" s="64" t="s">
        <v>59</v>
      </c>
      <c r="G4" s="65"/>
      <c r="H4" s="65"/>
      <c r="I4" s="65"/>
      <c r="J4" s="155">
        <f>DATE(PPFirstYear,MONTH('Input|General'!$G$9),1)</f>
        <v>43435</v>
      </c>
      <c r="K4" s="155">
        <f>DATE(PPFirstYear+1,MONTH('Input|General'!$G$9),1)</f>
        <v>43800</v>
      </c>
      <c r="L4" s="155">
        <f>DATE(PPFirstYear+2,MONTH('Input|General'!$G$9),1)</f>
        <v>44166</v>
      </c>
      <c r="M4" s="155">
        <f>DATE(PPFirstYear+3,MONTH('Input|General'!$G$9),1)</f>
        <v>44531</v>
      </c>
      <c r="N4" s="155">
        <f>DATE(PPFirstYear+4,MONTH('Input|General'!$G$9),1)</f>
        <v>44896</v>
      </c>
      <c r="O4" s="155">
        <f>DATE(PPFirstYear+5,MONTH('Input|General'!$G$10),1)</f>
        <v>45078</v>
      </c>
      <c r="P4" s="155">
        <f>DATE(PPFirstYear+6,MONTH('Input|General'!$G$10),1)</f>
        <v>45444</v>
      </c>
      <c r="Q4" s="155">
        <f>DATE(PPFirstYear+7,MONTH('Input|General'!$G$10),1)</f>
        <v>45809</v>
      </c>
      <c r="R4" s="155">
        <f>DATE(PPFirstYear+8,MONTH('Input|General'!$G$10),1)</f>
        <v>46174</v>
      </c>
      <c r="S4" s="155">
        <f>DATE(PPFirstYear+9,MONTH('Input|General'!$G$10),1)</f>
        <v>46539</v>
      </c>
      <c r="T4" s="155">
        <f>DATE(PPFirstYear+10,MONTH('Input|General'!$G$10),1)</f>
        <v>46905</v>
      </c>
      <c r="U4" s="66"/>
      <c r="V4" s="66"/>
      <c r="W4" s="67"/>
      <c r="X4" s="67"/>
    </row>
    <row r="5" spans="1:27" s="6" customFormat="1" ht="3" customHeight="1">
      <c r="D5" s="27"/>
      <c r="E5" s="27"/>
      <c r="F5" s="27"/>
      <c r="G5" s="27"/>
      <c r="H5" s="27"/>
      <c r="I5" s="27"/>
    </row>
    <row r="6" spans="1:27" s="6" customFormat="1" ht="9" customHeight="1">
      <c r="D6" s="27"/>
      <c r="E6" s="27"/>
      <c r="F6" s="27"/>
      <c r="G6" s="27"/>
      <c r="H6" s="27"/>
      <c r="I6" s="27"/>
    </row>
    <row r="7" spans="1:27" s="6" customFormat="1" ht="3" customHeight="1">
      <c r="D7" s="27"/>
      <c r="E7" s="27"/>
      <c r="F7" s="27"/>
      <c r="G7" s="27"/>
      <c r="H7" s="27"/>
      <c r="I7" s="27"/>
    </row>
    <row r="8" spans="1:27" customFormat="1" ht="12.75">
      <c r="A8" s="37"/>
      <c r="B8" s="43" t="s">
        <v>171</v>
      </c>
      <c r="C8" s="37"/>
      <c r="D8" s="37"/>
      <c r="E8" s="58" t="s">
        <v>64</v>
      </c>
      <c r="F8" s="144">
        <v>45078</v>
      </c>
      <c r="G8" s="38"/>
      <c r="H8" s="38"/>
      <c r="I8" s="38"/>
      <c r="J8" s="101" t="s">
        <v>172</v>
      </c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39"/>
      <c r="W8" s="40"/>
      <c r="X8" s="40"/>
    </row>
    <row r="9" spans="1:27" ht="4.5" customHeight="1"/>
    <row r="10" spans="1:27">
      <c r="M10" s="71"/>
      <c r="N10" s="71"/>
      <c r="O10" s="71"/>
      <c r="P10" s="71"/>
      <c r="Q10" s="71"/>
      <c r="R10" s="71"/>
      <c r="S10" s="71"/>
      <c r="T10" s="71"/>
    </row>
    <row r="11" spans="1:27">
      <c r="C11" s="9" t="s">
        <v>173</v>
      </c>
      <c r="D11" s="21" t="s">
        <v>33</v>
      </c>
      <c r="E11" s="21" t="s">
        <v>53</v>
      </c>
      <c r="F11" s="21" t="s">
        <v>59</v>
      </c>
      <c r="H11" s="21"/>
      <c r="I11" s="21"/>
      <c r="J11" s="113" t="str">
        <f>IF(YEAR(J$4)&gt;='Input|General'!$G$15,IF(YEAR(J$4)&lt;='Input|General'!$G$16,J$4,""),"")</f>
        <v/>
      </c>
      <c r="K11" s="113" t="str">
        <f>IF(YEAR(K$4)&gt;='Input|General'!$G$15,IF(YEAR(K$4)&lt;='Input|General'!$G$16,K$4,""),"")</f>
        <v/>
      </c>
      <c r="L11" s="113" t="str">
        <f>IF(YEAR(L$4)&gt;='Input|General'!$G$15,IF(YEAR(L$4)&lt;='Input|General'!$G$16,L$4,""),"")</f>
        <v/>
      </c>
      <c r="M11" s="113" t="str">
        <f>IF(YEAR(M$4)&gt;='Input|General'!$G$15,IF(YEAR(M$4)&lt;='Input|General'!$G$16,M$4,""),"")</f>
        <v/>
      </c>
      <c r="N11" s="113" t="str">
        <f>IF(YEAR(N$4)&gt;='Input|General'!$G$15,IF(YEAR(N$4)&lt;='Input|General'!$G$16,N$4,""),"")</f>
        <v/>
      </c>
      <c r="O11" s="113" t="str">
        <f>IF(YEAR(O$4)&gt;='Input|General'!$G$15,IF(YEAR(O$4)&lt;='Input|General'!$G$16,O$4,""),"")</f>
        <v/>
      </c>
      <c r="P11" s="113">
        <f>IF(YEAR(P$4)&gt;=FPFirstYear,IF(YEAR(P$4)&lt;=FPLastYear,P$4,""),"")</f>
        <v>45444</v>
      </c>
      <c r="Q11" s="113">
        <f>IF(YEAR(Q$4)&gt;=FPFirstYear,IF(YEAR(Q$4)&lt;=FPLastYear,Q$4,""),"")</f>
        <v>45809</v>
      </c>
      <c r="R11" s="113">
        <f>IF(YEAR(R$4)&gt;=FPFirstYear,IF(YEAR(R$4)&lt;=FPLastYear,R$4,""),"")</f>
        <v>46174</v>
      </c>
      <c r="S11" s="113">
        <f>IF(YEAR(S$4)&gt;=FPFirstYear,IF(YEAR(S$4)&lt;=FPLastYear,S$4,""),"")</f>
        <v>46539</v>
      </c>
      <c r="T11" s="113">
        <f>IF(YEAR(T$4)&gt;=FPFirstYear,IF(YEAR(T$4)&lt;=FPLastYear,T$4,""),"")</f>
        <v>46905</v>
      </c>
      <c r="V11" s="201" t="s">
        <v>62</v>
      </c>
      <c r="W11" s="202"/>
      <c r="X11" s="202"/>
    </row>
    <row r="12" spans="1:27">
      <c r="C12" s="9"/>
      <c r="D12" s="21"/>
      <c r="E12" s="21"/>
      <c r="F12" s="21"/>
      <c r="H12" s="21"/>
      <c r="I12" s="21"/>
      <c r="J12" s="113"/>
      <c r="K12" s="113"/>
      <c r="L12" s="113"/>
      <c r="M12" s="113"/>
      <c r="N12" s="113"/>
      <c r="O12" s="113"/>
      <c r="P12" s="164"/>
      <c r="Q12" s="164"/>
      <c r="R12" s="164"/>
      <c r="S12" s="164"/>
      <c r="T12" s="164"/>
      <c r="V12" s="9"/>
    </row>
    <row r="13" spans="1:27">
      <c r="C13" s="15" t="str">
        <f>'Calc|Opex forecast'!C102</f>
        <v>Total forecast opex, excluding category specific forecasts</v>
      </c>
      <c r="D13" s="28" t="s">
        <v>174</v>
      </c>
      <c r="E13" s="16" t="str">
        <f>$E$8</f>
        <v>$millions</v>
      </c>
      <c r="F13" s="111">
        <f>$F$8</f>
        <v>45078</v>
      </c>
      <c r="H13" s="21"/>
      <c r="I13" s="21"/>
      <c r="J13" s="122">
        <f>IF(J$11="",0,'Calc|Opex forecast'!J102*INDEX('Input|Rate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K13" s="122">
        <f>IF(K$11="",0,'Calc|Opex forecast'!K102*INDEX('Input|Rate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L13" s="122">
        <f>IF(L$11="",0,'Calc|Opex forecast'!L102*INDEX('Input|Rate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M13" s="122">
        <f>IF(M$11="",0,'Calc|Opex forecast'!M102*INDEX('Input|Rate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N13" s="122">
        <f>IF(N$11="",0,'Calc|Opex forecast'!N102*INDEX('Input|Rate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O13" s="122">
        <f>IF(O$11="",0,'Calc|Opex forecast'!O102*INDEX('Input|Rate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P13" s="122">
        <f ca="1">IF(P$11="",0,'Calc|Opex forecast'!P102*INDEX('Input|Rate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65.670325154021839</v>
      </c>
      <c r="Q13" s="122">
        <f ca="1">IF(Q$11="",0,'Calc|Opex forecast'!Q102*INDEX('Input|Rate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67.588274798052694</v>
      </c>
      <c r="R13" s="122">
        <f ca="1">IF(R$11="",0,'Calc|Opex forecast'!R102*INDEX('Input|Rate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66.478663092002293</v>
      </c>
      <c r="S13" s="122">
        <f ca="1">IF(S$11="",0,'Calc|Opex forecast'!S102*INDEX('Input|Rate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65.253277239381632</v>
      </c>
      <c r="T13" s="122">
        <f ca="1">IF(T$11="",0,'Calc|Opex forecast'!T102*INDEX('Input|Rate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64.711827079095514</v>
      </c>
      <c r="U13" s="15"/>
      <c r="V13" s="104"/>
    </row>
    <row r="14" spans="1:27">
      <c r="C14" s="15" t="str">
        <f>'Input|Step changes'!C28</f>
        <v>Priority Service program</v>
      </c>
      <c r="D14" s="28" t="s">
        <v>174</v>
      </c>
      <c r="E14" s="16" t="str">
        <f t="shared" ref="E14:E16" si="0">$E$8</f>
        <v>$millions</v>
      </c>
      <c r="F14" s="111">
        <f t="shared" ref="F14:F16" si="1">$F$8</f>
        <v>45078</v>
      </c>
      <c r="H14" s="21"/>
      <c r="I14" s="21"/>
      <c r="J14" s="122">
        <f>IF(J$11="",0,'Calc|Opex forecast'!J92*INDEX('Input|Rate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K14" s="122">
        <f>IF(K$11="",0,'Calc|Opex forecast'!K92*INDEX('Input|Rate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L14" s="122">
        <f>IF(L$11="",0,'Calc|Opex forecast'!L92*INDEX('Input|Rate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M14" s="122">
        <f>IF(M$11="",0,'Calc|Opex forecast'!M92*INDEX('Input|Rate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N14" s="122">
        <f>IF(N$11="",0,'Calc|Opex forecast'!N92*INDEX('Input|Rate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O14" s="122">
        <f>IF(O$11="",0,'Calc|Opex forecast'!O92*INDEX('Input|Rate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P14" s="122">
        <f>IF(P$11="",0,'Calc|Opex forecast'!P92*INDEX('Input|Rate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1.6144989472382523</v>
      </c>
      <c r="Q14" s="122">
        <f>IF(Q$11="",0,'Calc|Opex forecast'!Q92*INDEX('Input|Rate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0.89620715004122009</v>
      </c>
      <c r="R14" s="122">
        <f>IF(R$11="",0,'Calc|Opex forecast'!R92*INDEX('Input|Rate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0.6199410741962077</v>
      </c>
      <c r="S14" s="122">
        <f>IF(S$11="",0,'Calc|Opex forecast'!S92*INDEX('Input|Rate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0.6199410741962077</v>
      </c>
      <c r="T14" s="122">
        <f>IF(T$11="",0,'Calc|Opex forecast'!T92*INDEX('Input|Rate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0.6199410741962077</v>
      </c>
      <c r="U14" s="15"/>
      <c r="V14" s="104"/>
    </row>
    <row r="15" spans="1:27">
      <c r="C15" s="15">
        <f>'Input|Step changes'!C29</f>
        <v>0</v>
      </c>
      <c r="D15" s="28" t="s">
        <v>174</v>
      </c>
      <c r="E15" s="16" t="str">
        <f t="shared" si="0"/>
        <v>$millions</v>
      </c>
      <c r="F15" s="111">
        <f t="shared" si="1"/>
        <v>45078</v>
      </c>
      <c r="H15" s="21"/>
      <c r="I15" s="21"/>
      <c r="J15" s="122">
        <f>IF(J$11="",0,'Calc|Opex forecast'!J93*INDEX('Input|Rate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K15" s="122">
        <f>IF(K$11="",0,'Calc|Opex forecast'!K93*INDEX('Input|Rate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L15" s="122">
        <f>IF(L$11="",0,'Calc|Opex forecast'!L93*INDEX('Input|Rate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M15" s="122">
        <f>IF(M$11="",0,'Calc|Opex forecast'!M93*INDEX('Input|Rate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N15" s="122">
        <f>IF(N$11="",0,'Calc|Opex forecast'!N93*INDEX('Input|Rate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O15" s="122">
        <f>IF(O$11="",0,'Calc|Opex forecast'!O93*INDEX('Input|Rate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P15" s="122">
        <f>IF(P$11="",0,'Calc|Opex forecast'!P93*INDEX('Input|Rate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Q15" s="122">
        <f>IF(Q$11="",0,'Calc|Opex forecast'!Q93*INDEX('Input|Rate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R15" s="122">
        <f>IF(R$11="",0,'Calc|Opex forecast'!R93*INDEX('Input|Rate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S15" s="122">
        <f>IF(S$11="",0,'Calc|Opex forecast'!S93*INDEX('Input|Rate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T15" s="122">
        <f>IF(T$11="",0,'Calc|Opex forecast'!T93*INDEX('Input|Rate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U15" s="15"/>
      <c r="V15" s="104"/>
    </row>
    <row r="16" spans="1:27">
      <c r="C16" s="15">
        <f>'Input|Step changes'!C30</f>
        <v>0</v>
      </c>
      <c r="D16" s="28" t="s">
        <v>174</v>
      </c>
      <c r="E16" s="16" t="str">
        <f t="shared" si="0"/>
        <v>$millions</v>
      </c>
      <c r="F16" s="111">
        <f t="shared" si="1"/>
        <v>45078</v>
      </c>
      <c r="H16" s="21"/>
      <c r="I16" s="21"/>
      <c r="J16" s="122">
        <f>IF(J$11="",0,'Calc|Opex forecast'!J94*INDEX('Input|Rate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K16" s="122">
        <f>IF(K$11="",0,'Calc|Opex forecast'!K94*INDEX('Input|Rate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L16" s="122">
        <f>IF(L$11="",0,'Calc|Opex forecast'!L94*INDEX('Input|Rate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M16" s="122">
        <f>IF(M$11="",0,'Calc|Opex forecast'!M94*INDEX('Input|Rate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N16" s="122">
        <f>IF(N$11="",0,'Calc|Opex forecast'!N94*INDEX('Input|Rate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O16" s="122">
        <f>IF(O$11="",0,'Calc|Opex forecast'!O94*INDEX('Input|Rate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P16" s="122">
        <f>IF(P$11="",0,'Calc|Opex forecast'!P94*INDEX('Input|Rate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Q16" s="122">
        <f>IF(Q$11="",0,'Calc|Opex forecast'!Q94*INDEX('Input|Rate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R16" s="122">
        <f>IF(R$11="",0,'Calc|Opex forecast'!R94*INDEX('Input|Rate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S16" s="122">
        <f>IF(S$11="",0,'Calc|Opex forecast'!S94*INDEX('Input|Rate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T16" s="122">
        <f>IF(T$11="",0,'Calc|Opex forecast'!T94*INDEX('Input|Rate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U16" s="15"/>
      <c r="V16" s="145"/>
    </row>
    <row r="17" spans="1:24">
      <c r="D17" s="28"/>
      <c r="H17" s="21"/>
      <c r="I17" s="21"/>
      <c r="P17" s="164"/>
      <c r="Q17" s="164"/>
      <c r="R17" s="164"/>
      <c r="S17" s="164"/>
      <c r="T17" s="164"/>
      <c r="U17" s="15"/>
    </row>
    <row r="18" spans="1:24" customFormat="1" ht="12.75">
      <c r="A18" s="37"/>
      <c r="B18" s="43" t="s">
        <v>23</v>
      </c>
      <c r="C18" s="37"/>
      <c r="D18" s="37"/>
      <c r="E18" s="37"/>
      <c r="F18" s="38"/>
      <c r="G18" s="38"/>
      <c r="H18" s="38"/>
      <c r="I18" s="38"/>
      <c r="J18" s="39"/>
      <c r="K18" s="40"/>
      <c r="L18" s="39"/>
      <c r="M18" s="40"/>
      <c r="N18" s="39"/>
      <c r="O18" s="39"/>
      <c r="P18" s="39"/>
      <c r="Q18" s="39"/>
      <c r="R18" s="39"/>
      <c r="S18" s="39"/>
      <c r="T18" s="39"/>
      <c r="U18" s="39"/>
      <c r="V18" s="39"/>
      <c r="W18" s="40"/>
      <c r="X18" s="40"/>
    </row>
    <row r="24" spans="1:24" hidden="1">
      <c r="M24" s="99"/>
      <c r="N24" s="99"/>
      <c r="O24" s="99"/>
      <c r="P24" s="99"/>
      <c r="Q24" s="99"/>
      <c r="R24" s="99"/>
      <c r="S24" s="99"/>
      <c r="T24" s="99"/>
    </row>
  </sheetData>
  <mergeCells count="1">
    <mergeCell ref="N3:T3"/>
  </mergeCells>
  <conditionalFormatting sqref="J11:T11">
    <cfRule type="expression" dxfId="33" priority="7">
      <formula>J$11=J$4</formula>
    </cfRule>
  </conditionalFormatting>
  <conditionalFormatting sqref="J13:T16">
    <cfRule type="expression" dxfId="32" priority="3">
      <formula>AND($C13=0,J$11=J$4)</formula>
    </cfRule>
    <cfRule type="expression" dxfId="31" priority="4">
      <formula>NOT(J$11=J$4)</formula>
    </cfRule>
    <cfRule type="expression" dxfId="30" priority="5">
      <formula>J$11=J$4</formula>
    </cfRule>
  </conditionalFormatting>
  <conditionalFormatting sqref="T1">
    <cfRule type="cellIs" dxfId="29" priority="1" operator="equal">
      <formula>"Check"</formula>
    </cfRule>
    <cfRule type="cellIs" dxfId="28" priority="2" operator="equal">
      <formula>"Ok"</formula>
    </cfRule>
  </conditionalFormatting>
  <conditionalFormatting sqref="W1">
    <cfRule type="cellIs" dxfId="27" priority="13" operator="equal">
      <formula>"Check"</formula>
    </cfRule>
    <cfRule type="cellIs" dxfId="26" priority="14" operator="equal">
      <formula>"Ok"</formula>
    </cfRule>
  </conditionalFormatting>
  <dataValidations count="2">
    <dataValidation type="list" allowBlank="1" showInputMessage="1" showErrorMessage="1" sqref="F13:F16" xr:uid="{00000000-0002-0000-0700-000000000000}">
      <formula1>$G$20:$G$26</formula1>
    </dataValidation>
    <dataValidation type="list" allowBlank="1" showInputMessage="1" showErrorMessage="1" sqref="F17" xr:uid="{00000000-0002-0000-0700-000001000000}">
      <formula1>#REF!</formula1>
    </dataValidation>
  </dataValidations>
  <hyperlinks>
    <hyperlink ref="J1" location="Index!A1" display="Back to Index" xr:uid="{00000000-0004-0000-0700-000000000000}"/>
    <hyperlink ref="D13" location="'Calc|Opex forecast'!A1" display="Calc | Opex forecast" xr:uid="{00000000-0004-0000-0700-000001000000}"/>
    <hyperlink ref="D14" location="'Calc|Opex forecast'!A1" display="Calc | Opex forecast" xr:uid="{00000000-0004-0000-0700-000002000000}"/>
    <hyperlink ref="D15" location="'Calc|Opex forecast'!A1" display="Calc | Opex forecast" xr:uid="{00000000-0004-0000-0700-000003000000}"/>
    <hyperlink ref="D16" location="'Calc|Opex forecast'!A1" display="Calc | Opex forecast" xr:uid="{00000000-0004-0000-0700-000004000000}"/>
    <hyperlink ref="V1" location="'Check|List'!A1" display="Overall Check:" xr:uid="{00000000-0004-0000-0700-000005000000}"/>
  </hyperlinks>
  <pageMargins left="0.7" right="0.7" top="0.75" bottom="0.75" header="0.3" footer="0.3"/>
  <pageSetup paperSize="9" orientation="portrait" verticalDpi="4" r:id="rId1"/>
  <headerFooter>
    <oddFooter>&amp;C_x000D_&amp;1#&amp;"Century Gothic"&amp;7&amp;K7F7F7F BUSINESS USE ONLY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'Lookup|Tables'!$H$41:$H$60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C2007-6C8C-4C53-9BC3-F4FE5E400A83}">
  <sheetPr>
    <tabColor theme="3" tint="0.59999389629810485"/>
  </sheetPr>
  <dimension ref="A1:AV24"/>
  <sheetViews>
    <sheetView workbookViewId="0">
      <selection activeCell="C14" sqref="C14"/>
    </sheetView>
  </sheetViews>
  <sheetFormatPr defaultColWidth="0" defaultRowHeight="11.25" customHeight="1" zeroHeight="1"/>
  <cols>
    <col min="1" max="2" width="1.5" style="8" customWidth="1"/>
    <col min="3" max="3" width="59.6640625" style="8" bestFit="1" customWidth="1"/>
    <col min="4" max="4" width="27.6640625" style="16" customWidth="1"/>
    <col min="5" max="5" width="15.6640625" style="16" customWidth="1"/>
    <col min="6" max="6" width="10.6640625" style="16" customWidth="1"/>
    <col min="7" max="9" width="3.33203125" style="16" customWidth="1"/>
    <col min="10" max="24" width="10.6640625" style="8" customWidth="1"/>
    <col min="25" max="48" width="0" style="8" hidden="1" customWidth="1"/>
    <col min="49" max="16384" width="10.5" style="8" hidden="1"/>
  </cols>
  <sheetData>
    <row r="1" spans="1:27" s="32" customFormat="1" ht="15.75">
      <c r="B1" s="29" t="str">
        <f>Index!$B$1</f>
        <v>AER opex model v1.9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P1" s="12"/>
      <c r="S1" s="33" t="s">
        <v>29</v>
      </c>
      <c r="T1" s="34" t="s">
        <v>108</v>
      </c>
      <c r="V1" s="129" t="s">
        <v>30</v>
      </c>
      <c r="W1" s="34" t="str">
        <f>'Check|List'!$S$1</f>
        <v>Ok</v>
      </c>
    </row>
    <row r="2" spans="1:27" s="36" customFormat="1" ht="13.5" thickBot="1">
      <c r="B2" s="35" t="e">
        <f>Index!#REF!</f>
        <v>#REF!</v>
      </c>
      <c r="C2" s="35"/>
      <c r="D2" s="35"/>
      <c r="E2" s="35"/>
      <c r="F2" s="59"/>
      <c r="G2" s="59"/>
      <c r="H2" s="59"/>
      <c r="I2" s="59"/>
    </row>
    <row r="3" spans="1:27" s="60" customFormat="1">
      <c r="D3" s="124"/>
      <c r="E3" s="124"/>
      <c r="F3" s="124"/>
      <c r="G3" s="124"/>
      <c r="H3" s="124"/>
      <c r="I3" s="124"/>
      <c r="J3" s="120" t="s">
        <v>58</v>
      </c>
      <c r="K3" s="120"/>
      <c r="L3" s="120"/>
      <c r="M3" s="124"/>
      <c r="N3" s="198"/>
      <c r="O3" s="198"/>
      <c r="P3" s="198"/>
      <c r="Q3" s="198"/>
      <c r="R3" s="198"/>
      <c r="S3" s="198"/>
      <c r="T3" s="198"/>
      <c r="U3" s="61"/>
      <c r="V3" s="61"/>
      <c r="W3" s="61"/>
      <c r="X3" s="61"/>
      <c r="Y3" s="61"/>
      <c r="Z3" s="61"/>
      <c r="AA3" s="61"/>
    </row>
    <row r="4" spans="1:27" customFormat="1">
      <c r="A4" s="62"/>
      <c r="B4" s="62"/>
      <c r="C4" s="62"/>
      <c r="D4" s="63" t="s">
        <v>33</v>
      </c>
      <c r="E4" s="63" t="s">
        <v>53</v>
      </c>
      <c r="F4" s="64" t="s">
        <v>59</v>
      </c>
      <c r="G4" s="65"/>
      <c r="H4" s="65"/>
      <c r="I4" s="65"/>
      <c r="J4" s="155">
        <f>DATE(PPFirstYear,MONTH('Input|General'!$G$9),1)</f>
        <v>43435</v>
      </c>
      <c r="K4" s="155">
        <f>DATE(PPFirstYear+1,MONTH('Input|General'!$G$9),1)</f>
        <v>43800</v>
      </c>
      <c r="L4" s="155">
        <f>DATE(PPFirstYear+2,MONTH('Input|General'!$G$9),1)</f>
        <v>44166</v>
      </c>
      <c r="M4" s="155">
        <f>DATE(PPFirstYear+3,MONTH('Input|General'!$G$9),1)</f>
        <v>44531</v>
      </c>
      <c r="N4" s="155">
        <f>DATE(PPFirstYear+4,MONTH('Input|General'!$G$9),1)</f>
        <v>44896</v>
      </c>
      <c r="O4" s="155">
        <f>DATE(PPFirstYear+5,MONTH('Input|General'!$G$10),1)</f>
        <v>45078</v>
      </c>
      <c r="P4" s="155">
        <f>DATE(PPFirstYear+6,MONTH('Input|General'!$G$10),1)</f>
        <v>45444</v>
      </c>
      <c r="Q4" s="155">
        <f>DATE(PPFirstYear+7,MONTH('Input|General'!$G$10),1)</f>
        <v>45809</v>
      </c>
      <c r="R4" s="155">
        <f>DATE(PPFirstYear+8,MONTH('Input|General'!$G$10),1)</f>
        <v>46174</v>
      </c>
      <c r="S4" s="155">
        <f>DATE(PPFirstYear+9,MONTH('Input|General'!$G$10),1)</f>
        <v>46539</v>
      </c>
      <c r="T4" s="155">
        <f>DATE(PPFirstYear+10,MONTH('Input|General'!$G$10),1)</f>
        <v>46905</v>
      </c>
      <c r="U4" s="66"/>
      <c r="V4" s="66"/>
      <c r="W4" s="67"/>
      <c r="X4" s="67"/>
    </row>
    <row r="5" spans="1:27" s="6" customFormat="1" ht="3" customHeight="1">
      <c r="D5" s="27"/>
      <c r="E5" s="27"/>
      <c r="F5" s="27"/>
      <c r="G5" s="27"/>
      <c r="H5" s="27"/>
      <c r="I5" s="27"/>
    </row>
    <row r="6" spans="1:27" s="6" customFormat="1" ht="9" customHeight="1">
      <c r="D6" s="27"/>
      <c r="E6" s="27"/>
      <c r="F6" s="27"/>
      <c r="G6" s="27"/>
      <c r="H6" s="27"/>
      <c r="I6" s="27"/>
    </row>
    <row r="7" spans="1:27" s="6" customFormat="1" ht="3" customHeight="1">
      <c r="D7" s="27"/>
      <c r="E7" s="27"/>
      <c r="F7" s="27"/>
      <c r="G7" s="27"/>
      <c r="H7" s="27"/>
      <c r="I7" s="27"/>
    </row>
    <row r="8" spans="1:27" customFormat="1" ht="12.75">
      <c r="A8" s="37"/>
      <c r="B8" s="43" t="s">
        <v>171</v>
      </c>
      <c r="C8" s="37"/>
      <c r="D8" s="37"/>
      <c r="E8" s="58" t="s">
        <v>64</v>
      </c>
      <c r="F8" s="144">
        <v>45078</v>
      </c>
      <c r="G8" s="38"/>
      <c r="H8" s="38"/>
      <c r="I8" s="38"/>
      <c r="J8" s="101" t="s">
        <v>172</v>
      </c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39"/>
      <c r="W8" s="40"/>
      <c r="X8" s="40"/>
    </row>
    <row r="9" spans="1:27" ht="4.5" customHeight="1"/>
    <row r="10" spans="1:27">
      <c r="M10" s="71"/>
      <c r="N10" s="71"/>
      <c r="O10" s="71"/>
      <c r="P10" s="71"/>
      <c r="Q10" s="71"/>
      <c r="R10" s="71"/>
      <c r="S10" s="71"/>
      <c r="T10" s="71"/>
    </row>
    <row r="11" spans="1:27">
      <c r="C11" s="9" t="s">
        <v>173</v>
      </c>
      <c r="D11" s="21" t="s">
        <v>33</v>
      </c>
      <c r="E11" s="21" t="s">
        <v>53</v>
      </c>
      <c r="F11" s="21" t="s">
        <v>59</v>
      </c>
      <c r="H11" s="21"/>
      <c r="I11" s="21"/>
      <c r="J11" s="113" t="str">
        <f>IF(YEAR(J$4)&gt;='Input|General'!$G$15,IF(YEAR(J$4)&lt;='Input|General'!$G$16,J$4,""),"")</f>
        <v/>
      </c>
      <c r="K11" s="113" t="str">
        <f>IF(YEAR(K$4)&gt;='Input|General'!$G$15,IF(YEAR(K$4)&lt;='Input|General'!$G$16,K$4,""),"")</f>
        <v/>
      </c>
      <c r="L11" s="113" t="str">
        <f>IF(YEAR(L$4)&gt;='Input|General'!$G$15,IF(YEAR(L$4)&lt;='Input|General'!$G$16,L$4,""),"")</f>
        <v/>
      </c>
      <c r="M11" s="113" t="str">
        <f>IF(YEAR(M$4)&gt;='Input|General'!$G$15,IF(YEAR(M$4)&lt;='Input|General'!$G$16,M$4,""),"")</f>
        <v/>
      </c>
      <c r="N11" s="113" t="str">
        <f>IF(YEAR(N$4)&gt;='Input|General'!$G$15,IF(YEAR(N$4)&lt;='Input|General'!$G$16,N$4,""),"")</f>
        <v/>
      </c>
      <c r="O11" s="113" t="str">
        <f>IF(YEAR(O$4)&gt;='Input|General'!$G$15,IF(YEAR(O$4)&lt;='Input|General'!$G$16,O$4,""),"")</f>
        <v/>
      </c>
      <c r="P11" s="113">
        <f>IF(YEAR(P$4)&gt;=FPFirstYear,IF(YEAR(P$4)&lt;=FPLastYear,P$4,""),"")</f>
        <v>45444</v>
      </c>
      <c r="Q11" s="113">
        <f>IF(YEAR(Q$4)&gt;=FPFirstYear,IF(YEAR(Q$4)&lt;=FPLastYear,Q$4,""),"")</f>
        <v>45809</v>
      </c>
      <c r="R11" s="113">
        <f>IF(YEAR(R$4)&gt;=FPFirstYear,IF(YEAR(R$4)&lt;=FPLastYear,R$4,""),"")</f>
        <v>46174</v>
      </c>
      <c r="S11" s="113">
        <f>IF(YEAR(S$4)&gt;=FPFirstYear,IF(YEAR(S$4)&lt;=FPLastYear,S$4,""),"")</f>
        <v>46539</v>
      </c>
      <c r="T11" s="113">
        <f>IF(YEAR(T$4)&gt;=FPFirstYear,IF(YEAR(T$4)&lt;=FPLastYear,T$4,""),"")</f>
        <v>46905</v>
      </c>
      <c r="V11" s="201" t="s">
        <v>62</v>
      </c>
      <c r="W11" s="202"/>
      <c r="X11" s="202"/>
    </row>
    <row r="12" spans="1:27">
      <c r="C12" s="9"/>
      <c r="D12" s="21"/>
      <c r="E12" s="21"/>
      <c r="F12" s="21"/>
      <c r="H12" s="21"/>
      <c r="I12" s="21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V12" s="9"/>
    </row>
    <row r="13" spans="1:27">
      <c r="C13" s="15" t="s">
        <v>67</v>
      </c>
      <c r="D13" s="28" t="s">
        <v>174</v>
      </c>
      <c r="E13" s="16" t="str">
        <f>$E$8</f>
        <v>$millions</v>
      </c>
      <c r="F13" s="111">
        <f>$F$8</f>
        <v>45078</v>
      </c>
      <c r="H13" s="21"/>
      <c r="I13" s="21"/>
      <c r="J13" s="122">
        <f>IF(J$11="",0,'Calc|Opex forecast'!J102*INDEX('Input|Rate of change'!$C$14:$P$22,MATCH('Calc|Opex forecast'!$F$102,'Input|Rate of change'!$C$14:$C$22,0),MATCH(ARS!$F13,'Input|Rate of change'!$C$14:$P$14,0))*IF('Calc|Opex forecast'!$E$102="$millions",1000000,IF('Calc|Opex forecast'!$E$102="$000",1000,1))/IF($E13="$millions",1000000,IF($E13="$000",1000,1)))</f>
        <v>0</v>
      </c>
      <c r="K13" s="122">
        <f>IF(K$11="",0,'Calc|Opex forecast'!K102*INDEX('Input|Rate of change'!$C$14:$P$22,MATCH('Calc|Opex forecast'!$F$102,'Input|Rate of change'!$C$14:$C$22,0),MATCH(ARS!$F13,'Input|Rate of change'!$C$14:$P$14,0))*IF('Calc|Opex forecast'!$E$102="$millions",1000000,IF('Calc|Opex forecast'!$E$102="$000",1000,1))/IF($E13="$millions",1000000,IF($E13="$000",1000,1)))</f>
        <v>0</v>
      </c>
      <c r="L13" s="122">
        <f>IF(L$11="",0,'Calc|Opex forecast'!L102*INDEX('Input|Rate of change'!$C$14:$P$22,MATCH('Calc|Opex forecast'!$F$102,'Input|Rate of change'!$C$14:$C$22,0),MATCH(ARS!$F13,'Input|Rate of change'!$C$14:$P$14,0))*IF('Calc|Opex forecast'!$E$102="$millions",1000000,IF('Calc|Opex forecast'!$E$102="$000",1000,1))/IF($E13="$millions",1000000,IF($E13="$000",1000,1)))</f>
        <v>0</v>
      </c>
      <c r="M13" s="122">
        <f>IF(M$11="",0,'Calc|Opex forecast'!M102*INDEX('Input|Rate of change'!$C$14:$P$22,MATCH('Calc|Opex forecast'!$F$102,'Input|Rate of change'!$C$14:$C$22,0),MATCH(ARS!$F13,'Input|Rate of change'!$C$14:$P$14,0))*IF('Calc|Opex forecast'!$E$102="$millions",1000000,IF('Calc|Opex forecast'!$E$102="$000",1000,1))/IF($E13="$millions",1000000,IF($E13="$000",1000,1)))</f>
        <v>0</v>
      </c>
      <c r="N13" s="122">
        <f>IF(N$11="",0,'Calc|Opex forecast'!N102*INDEX('Input|Rate of change'!$C$14:$P$22,MATCH('Calc|Opex forecast'!$F$102,'Input|Rate of change'!$C$14:$C$22,0),MATCH(ARS!$F13,'Input|Rate of change'!$C$14:$P$14,0))*IF('Calc|Opex forecast'!$E$102="$millions",1000000,IF('Calc|Opex forecast'!$E$102="$000",1000,1))/IF($E13="$millions",1000000,IF($E13="$000",1000,1)))</f>
        <v>0</v>
      </c>
      <c r="O13" s="122">
        <f ca="1">SUM('Output|Models'!P13:T13)</f>
        <v>329.70236736255401</v>
      </c>
      <c r="P13" s="122">
        <f>'Input|Reported opex'!$M$68*'Input|Rate of change'!$N$32</f>
        <v>2.1090535469949665</v>
      </c>
      <c r="Q13" s="122">
        <f>'Input|Reported opex'!$M$68*'Input|Rate of change'!$N$32</f>
        <v>2.1090535469949665</v>
      </c>
      <c r="R13" s="122">
        <f>'Input|Reported opex'!$M$68*'Input|Rate of change'!$N$32</f>
        <v>2.1090535469949665</v>
      </c>
      <c r="S13" s="122">
        <f>'Input|Reported opex'!$M$68*'Input|Rate of change'!$N$32</f>
        <v>2.1090535469949665</v>
      </c>
      <c r="T13" s="122">
        <f>'Input|Reported opex'!$M$68*'Input|Rate of change'!$N$32</f>
        <v>2.1090535469949665</v>
      </c>
      <c r="U13" s="15"/>
      <c r="V13" s="104"/>
    </row>
    <row r="14" spans="1:27">
      <c r="C14" s="15" t="str">
        <f>'Input|Step changes'!C28</f>
        <v>Priority Service program</v>
      </c>
      <c r="D14" s="28" t="s">
        <v>174</v>
      </c>
      <c r="E14" s="16" t="str">
        <f t="shared" ref="E14:E16" si="0">$E$8</f>
        <v>$millions</v>
      </c>
      <c r="F14" s="111">
        <f t="shared" ref="F14:F16" si="1">$F$8</f>
        <v>45078</v>
      </c>
      <c r="H14" s="21"/>
      <c r="I14" s="21"/>
      <c r="J14" s="122">
        <f>IF(J$11="",0,'Calc|Opex forecast'!J92*INDEX('Input|Rate of change'!$C$14:$P$22,MATCH('Calc|Opex forecast'!$F$92,'Input|Rate of change'!$C$14:$C$22,0),MATCH(ARS!$F14,'Input|Rate of change'!$C$14:$P$14,0))*IF('Calc|Opex forecast'!$E$92="$millions",1000000,IF('Calc|Opex forecast'!$E$92="$000",1000,1))/IF($E14="$millions",1000000,IF($E14="$000",1000,1)))</f>
        <v>0</v>
      </c>
      <c r="K14" s="122">
        <f>IF(K$11="",0,'Calc|Opex forecast'!K92*INDEX('Input|Rate of change'!$C$14:$P$22,MATCH('Calc|Opex forecast'!$F$92,'Input|Rate of change'!$C$14:$C$22,0),MATCH(ARS!$F14,'Input|Rate of change'!$C$14:$P$14,0))*IF('Calc|Opex forecast'!$E$92="$millions",1000000,IF('Calc|Opex forecast'!$E$92="$000",1000,1))/IF($E14="$millions",1000000,IF($E14="$000",1000,1)))</f>
        <v>0</v>
      </c>
      <c r="L14" s="122">
        <f>IF(L$11="",0,'Calc|Opex forecast'!L92*INDEX('Input|Rate of change'!$C$14:$P$22,MATCH('Calc|Opex forecast'!$F$92,'Input|Rate of change'!$C$14:$C$22,0),MATCH(ARS!$F14,'Input|Rate of change'!$C$14:$P$14,0))*IF('Calc|Opex forecast'!$E$92="$millions",1000000,IF('Calc|Opex forecast'!$E$92="$000",1000,1))/IF($E14="$millions",1000000,IF($E14="$000",1000,1)))</f>
        <v>0</v>
      </c>
      <c r="M14" s="122">
        <f>IF(M$11="",0,'Calc|Opex forecast'!M92*INDEX('Input|Rate of change'!$C$14:$P$22,MATCH('Calc|Opex forecast'!$F$92,'Input|Rate of change'!$C$14:$C$22,0),MATCH(ARS!$F14,'Input|Rate of change'!$C$14:$P$14,0))*IF('Calc|Opex forecast'!$E$92="$millions",1000000,IF('Calc|Opex forecast'!$E$92="$000",1000,1))/IF($E14="$millions",1000000,IF($E14="$000",1000,1)))</f>
        <v>0</v>
      </c>
      <c r="N14" s="122">
        <f>IF(N$11="",0,'Calc|Opex forecast'!N92*INDEX('Input|Rate of change'!$C$14:$P$22,MATCH('Calc|Opex forecast'!$F$92,'Input|Rate of change'!$C$14:$C$22,0),MATCH(ARS!$F14,'Input|Rate of change'!$C$14:$P$14,0))*IF('Calc|Opex forecast'!$E$92="$millions",1000000,IF('Calc|Opex forecast'!$E$92="$000",1000,1))/IF($E14="$millions",1000000,IF($E14="$000",1000,1)))</f>
        <v>0</v>
      </c>
      <c r="O14" s="122">
        <f>IF(O$11="",0,'Calc|Opex forecast'!O92*INDEX('Input|Rate of change'!$C$14:$P$22,MATCH('Calc|Opex forecast'!$F$92,'Input|Rate of change'!$C$14:$C$22,0),MATCH(ARS!$F14,'Input|Rate of change'!$C$14:$P$14,0))*IF('Calc|Opex forecast'!$E$92="$millions",1000000,IF('Calc|Opex forecast'!$E$92="$000",1000,1))/IF($E14="$millions",1000000,IF($E14="$000",1000,1)))</f>
        <v>0</v>
      </c>
      <c r="P14" s="122">
        <f>IF(P$11="",0,'Calc|Opex forecast'!P92*INDEX('Input|Rate of change'!$C$14:$P$22,MATCH('Calc|Opex forecast'!$F$92,'Input|Rate of change'!$C$14:$C$22,0),MATCH(ARS!$F14,'Input|Rate of change'!$C$14:$P$14,0))*IF('Calc|Opex forecast'!$E$92="$millions",1000000,IF('Calc|Opex forecast'!$E$92="$000",1000,1))/IF($E14="$millions",1000000,IF($E14="$000",1000,1)))</f>
        <v>1.6144989472382523</v>
      </c>
      <c r="Q14" s="122">
        <f>IF(Q$11="",0,'Calc|Opex forecast'!Q92*INDEX('Input|Rate of change'!$C$14:$P$22,MATCH('Calc|Opex forecast'!$F$92,'Input|Rate of change'!$C$14:$C$22,0),MATCH(ARS!$F14,'Input|Rate of change'!$C$14:$P$14,0))*IF('Calc|Opex forecast'!$E$92="$millions",1000000,IF('Calc|Opex forecast'!$E$92="$000",1000,1))/IF($E14="$millions",1000000,IF($E14="$000",1000,1)))</f>
        <v>0.89620715004122009</v>
      </c>
      <c r="R14" s="122">
        <f>IF(R$11="",0,'Calc|Opex forecast'!R92*INDEX('Input|Rate of change'!$C$14:$P$22,MATCH('Calc|Opex forecast'!$F$92,'Input|Rate of change'!$C$14:$C$22,0),MATCH(ARS!$F14,'Input|Rate of change'!$C$14:$P$14,0))*IF('Calc|Opex forecast'!$E$92="$millions",1000000,IF('Calc|Opex forecast'!$E$92="$000",1000,1))/IF($E14="$millions",1000000,IF($E14="$000",1000,1)))</f>
        <v>0.6199410741962077</v>
      </c>
      <c r="S14" s="122">
        <f>IF(S$11="",0,'Calc|Opex forecast'!S92*INDEX('Input|Rate of change'!$C$14:$P$22,MATCH('Calc|Opex forecast'!$F$92,'Input|Rate of change'!$C$14:$C$22,0),MATCH(ARS!$F14,'Input|Rate of change'!$C$14:$P$14,0))*IF('Calc|Opex forecast'!$E$92="$millions",1000000,IF('Calc|Opex forecast'!$E$92="$000",1000,1))/IF($E14="$millions",1000000,IF($E14="$000",1000,1)))</f>
        <v>0.6199410741962077</v>
      </c>
      <c r="T14" s="122">
        <f>IF(T$11="",0,'Calc|Opex forecast'!T92*INDEX('Input|Rate of change'!$C$14:$P$22,MATCH('Calc|Opex forecast'!$F$92,'Input|Rate of change'!$C$14:$C$22,0),MATCH(ARS!$F14,'Input|Rate of change'!$C$14:$P$14,0))*IF('Calc|Opex forecast'!$E$92="$millions",1000000,IF('Calc|Opex forecast'!$E$92="$000",1000,1))/IF($E14="$millions",1000000,IF($E14="$000",1000,1)))</f>
        <v>0.6199410741962077</v>
      </c>
      <c r="U14" s="15"/>
      <c r="V14" s="104"/>
    </row>
    <row r="15" spans="1:27">
      <c r="C15" s="15">
        <f>'Input|Step changes'!C29</f>
        <v>0</v>
      </c>
      <c r="D15" s="28" t="s">
        <v>174</v>
      </c>
      <c r="E15" s="16" t="str">
        <f t="shared" si="0"/>
        <v>$millions</v>
      </c>
      <c r="F15" s="111">
        <f t="shared" si="1"/>
        <v>45078</v>
      </c>
      <c r="H15" s="21"/>
      <c r="I15" s="21"/>
      <c r="J15" s="122">
        <f>IF(J$11="",0,'Calc|Opex forecast'!J93*INDEX('Input|Rate of change'!$C$14:$P$22,MATCH('Calc|Opex forecast'!$F$92,'Input|Rate of change'!$C$14:$C$22,0),MATCH(ARS!$F15,'Input|Rate of change'!$C$14:$P$14,0))*IF('Calc|Opex forecast'!$E$92="$millions",1000000,IF('Calc|Opex forecast'!$E$92="$000",1000,1))/IF($E15="$millions",1000000,IF($E15="$000",1000,1)))</f>
        <v>0</v>
      </c>
      <c r="K15" s="122">
        <f>IF(K$11="",0,'Calc|Opex forecast'!K93*INDEX('Input|Rate of change'!$C$14:$P$22,MATCH('Calc|Opex forecast'!$F$92,'Input|Rate of change'!$C$14:$C$22,0),MATCH(ARS!$F15,'Input|Rate of change'!$C$14:$P$14,0))*IF('Calc|Opex forecast'!$E$92="$millions",1000000,IF('Calc|Opex forecast'!$E$92="$000",1000,1))/IF($E15="$millions",1000000,IF($E15="$000",1000,1)))</f>
        <v>0</v>
      </c>
      <c r="L15" s="122">
        <f>IF(L$11="",0,'Calc|Opex forecast'!L93*INDEX('Input|Rate of change'!$C$14:$P$22,MATCH('Calc|Opex forecast'!$F$92,'Input|Rate of change'!$C$14:$C$22,0),MATCH(ARS!$F15,'Input|Rate of change'!$C$14:$P$14,0))*IF('Calc|Opex forecast'!$E$92="$millions",1000000,IF('Calc|Opex forecast'!$E$92="$000",1000,1))/IF($E15="$millions",1000000,IF($E15="$000",1000,1)))</f>
        <v>0</v>
      </c>
      <c r="M15" s="122">
        <f>IF(M$11="",0,'Calc|Opex forecast'!M93*INDEX('Input|Rate of change'!$C$14:$P$22,MATCH('Calc|Opex forecast'!$F$92,'Input|Rate of change'!$C$14:$C$22,0),MATCH(ARS!$F15,'Input|Rate of change'!$C$14:$P$14,0))*IF('Calc|Opex forecast'!$E$92="$millions",1000000,IF('Calc|Opex forecast'!$E$92="$000",1000,1))/IF($E15="$millions",1000000,IF($E15="$000",1000,1)))</f>
        <v>0</v>
      </c>
      <c r="N15" s="122">
        <f>IF(N$11="",0,'Calc|Opex forecast'!N93*INDEX('Input|Rate of change'!$C$14:$P$22,MATCH('Calc|Opex forecast'!$F$92,'Input|Rate of change'!$C$14:$C$22,0),MATCH(ARS!$F15,'Input|Rate of change'!$C$14:$P$14,0))*IF('Calc|Opex forecast'!$E$92="$millions",1000000,IF('Calc|Opex forecast'!$E$92="$000",1000,1))/IF($E15="$millions",1000000,IF($E15="$000",1000,1)))</f>
        <v>0</v>
      </c>
      <c r="O15" s="122">
        <f>IF(O$11="",0,'Calc|Opex forecast'!O93*INDEX('Input|Rate of change'!$C$14:$P$22,MATCH('Calc|Opex forecast'!$F$92,'Input|Rate of change'!$C$14:$C$22,0),MATCH(ARS!$F15,'Input|Rate of change'!$C$14:$P$14,0))*IF('Calc|Opex forecast'!$E$92="$millions",1000000,IF('Calc|Opex forecast'!$E$92="$000",1000,1))/IF($E15="$millions",1000000,IF($E15="$000",1000,1)))</f>
        <v>0</v>
      </c>
      <c r="P15" s="122">
        <f>IF(P$11="",0,'Calc|Opex forecast'!P93*INDEX('Input|Rate of change'!$C$14:$P$22,MATCH('Calc|Opex forecast'!$F$92,'Input|Rate of change'!$C$14:$C$22,0),MATCH(ARS!$F15,'Input|Rate of change'!$C$14:$P$14,0))*IF('Calc|Opex forecast'!$E$92="$millions",1000000,IF('Calc|Opex forecast'!$E$92="$000",1000,1))/IF($E15="$millions",1000000,IF($E15="$000",1000,1)))</f>
        <v>0</v>
      </c>
      <c r="Q15" s="122">
        <f>IF(Q$11="",0,'Calc|Opex forecast'!Q93*INDEX('Input|Rate of change'!$C$14:$P$22,MATCH('Calc|Opex forecast'!$F$92,'Input|Rate of change'!$C$14:$C$22,0),MATCH(ARS!$F15,'Input|Rate of change'!$C$14:$P$14,0))*IF('Calc|Opex forecast'!$E$92="$millions",1000000,IF('Calc|Opex forecast'!$E$92="$000",1000,1))/IF($E15="$millions",1000000,IF($E15="$000",1000,1)))</f>
        <v>0</v>
      </c>
      <c r="R15" s="122">
        <f>IF(R$11="",0,'Calc|Opex forecast'!R93*INDEX('Input|Rate of change'!$C$14:$P$22,MATCH('Calc|Opex forecast'!$F$92,'Input|Rate of change'!$C$14:$C$22,0),MATCH(ARS!$F15,'Input|Rate of change'!$C$14:$P$14,0))*IF('Calc|Opex forecast'!$E$92="$millions",1000000,IF('Calc|Opex forecast'!$E$92="$000",1000,1))/IF($E15="$millions",1000000,IF($E15="$000",1000,1)))</f>
        <v>0</v>
      </c>
      <c r="S15" s="122">
        <f>IF(S$11="",0,'Calc|Opex forecast'!S93*INDEX('Input|Rate of change'!$C$14:$P$22,MATCH('Calc|Opex forecast'!$F$92,'Input|Rate of change'!$C$14:$C$22,0),MATCH(ARS!$F15,'Input|Rate of change'!$C$14:$P$14,0))*IF('Calc|Opex forecast'!$E$92="$millions",1000000,IF('Calc|Opex forecast'!$E$92="$000",1000,1))/IF($E15="$millions",1000000,IF($E15="$000",1000,1)))</f>
        <v>0</v>
      </c>
      <c r="T15" s="122">
        <f>IF(T$11="",0,'Calc|Opex forecast'!T93*INDEX('Input|Rate of change'!$C$14:$P$22,MATCH('Calc|Opex forecast'!$F$92,'Input|Rate of change'!$C$14:$C$22,0),MATCH(ARS!$F15,'Input|Rate of change'!$C$14:$P$14,0))*IF('Calc|Opex forecast'!$E$92="$millions",1000000,IF('Calc|Opex forecast'!$E$92="$000",1000,1))/IF($E15="$millions",1000000,IF($E15="$000",1000,1)))</f>
        <v>0</v>
      </c>
      <c r="U15" s="15"/>
      <c r="V15" s="104"/>
    </row>
    <row r="16" spans="1:27">
      <c r="C16" s="15">
        <f>'Input|Step changes'!C30</f>
        <v>0</v>
      </c>
      <c r="D16" s="28" t="s">
        <v>174</v>
      </c>
      <c r="E16" s="16" t="str">
        <f t="shared" si="0"/>
        <v>$millions</v>
      </c>
      <c r="F16" s="111">
        <f t="shared" si="1"/>
        <v>45078</v>
      </c>
      <c r="H16" s="21"/>
      <c r="I16" s="21"/>
      <c r="J16" s="122">
        <f>IF(J$11="",0,'Calc|Opex forecast'!J94*INDEX('Input|Rate of change'!$C$14:$P$22,MATCH('Calc|Opex forecast'!$F$92,'Input|Rate of change'!$C$14:$C$22,0),MATCH(ARS!$F16,'Input|Rate of change'!$C$14:$P$14,0))*IF('Calc|Opex forecast'!$E$92="$millions",1000000,IF('Calc|Opex forecast'!$E$92="$000",1000,1))/IF($E16="$millions",1000000,IF($E16="$000",1000,1)))</f>
        <v>0</v>
      </c>
      <c r="K16" s="122">
        <f>IF(K$11="",0,'Calc|Opex forecast'!K94*INDEX('Input|Rate of change'!$C$14:$P$22,MATCH('Calc|Opex forecast'!$F$92,'Input|Rate of change'!$C$14:$C$22,0),MATCH(ARS!$F16,'Input|Rate of change'!$C$14:$P$14,0))*IF('Calc|Opex forecast'!$E$92="$millions",1000000,IF('Calc|Opex forecast'!$E$92="$000",1000,1))/IF($E16="$millions",1000000,IF($E16="$000",1000,1)))</f>
        <v>0</v>
      </c>
      <c r="L16" s="122">
        <f>IF(L$11="",0,'Calc|Opex forecast'!L94*INDEX('Input|Rate of change'!$C$14:$P$22,MATCH('Calc|Opex forecast'!$F$92,'Input|Rate of change'!$C$14:$C$22,0),MATCH(ARS!$F16,'Input|Rate of change'!$C$14:$P$14,0))*IF('Calc|Opex forecast'!$E$92="$millions",1000000,IF('Calc|Opex forecast'!$E$92="$000",1000,1))/IF($E16="$millions",1000000,IF($E16="$000",1000,1)))</f>
        <v>0</v>
      </c>
      <c r="M16" s="122">
        <f>IF(M$11="",0,'Calc|Opex forecast'!M94*INDEX('Input|Rate of change'!$C$14:$P$22,MATCH('Calc|Opex forecast'!$F$92,'Input|Rate of change'!$C$14:$C$22,0),MATCH(ARS!$F16,'Input|Rate of change'!$C$14:$P$14,0))*IF('Calc|Opex forecast'!$E$92="$millions",1000000,IF('Calc|Opex forecast'!$E$92="$000",1000,1))/IF($E16="$millions",1000000,IF($E16="$000",1000,1)))</f>
        <v>0</v>
      </c>
      <c r="N16" s="122">
        <f>IF(N$11="",0,'Calc|Opex forecast'!N94*INDEX('Input|Rate of change'!$C$14:$P$22,MATCH('Calc|Opex forecast'!$F$92,'Input|Rate of change'!$C$14:$C$22,0),MATCH(ARS!$F16,'Input|Rate of change'!$C$14:$P$14,0))*IF('Calc|Opex forecast'!$E$92="$millions",1000000,IF('Calc|Opex forecast'!$E$92="$000",1000,1))/IF($E16="$millions",1000000,IF($E16="$000",1000,1)))</f>
        <v>0</v>
      </c>
      <c r="O16" s="122">
        <f>IF(O$11="",0,'Calc|Opex forecast'!O94*INDEX('Input|Rate of change'!$C$14:$P$22,MATCH('Calc|Opex forecast'!$F$92,'Input|Rate of change'!$C$14:$C$22,0),MATCH(ARS!$F16,'Input|Rate of change'!$C$14:$P$14,0))*IF('Calc|Opex forecast'!$E$92="$millions",1000000,IF('Calc|Opex forecast'!$E$92="$000",1000,1))/IF($E16="$millions",1000000,IF($E16="$000",1000,1)))</f>
        <v>0</v>
      </c>
      <c r="P16" s="122">
        <f>IF(P$11="",0,'Calc|Opex forecast'!P94*INDEX('Input|Rate of change'!$C$14:$P$22,MATCH('Calc|Opex forecast'!$F$92,'Input|Rate of change'!$C$14:$C$22,0),MATCH(ARS!$F16,'Input|Rate of change'!$C$14:$P$14,0))*IF('Calc|Opex forecast'!$E$92="$millions",1000000,IF('Calc|Opex forecast'!$E$92="$000",1000,1))/IF($E16="$millions",1000000,IF($E16="$000",1000,1)))</f>
        <v>0</v>
      </c>
      <c r="Q16" s="122">
        <f>IF(Q$11="",0,'Calc|Opex forecast'!Q94*INDEX('Input|Rate of change'!$C$14:$P$22,MATCH('Calc|Opex forecast'!$F$92,'Input|Rate of change'!$C$14:$C$22,0),MATCH(ARS!$F16,'Input|Rate of change'!$C$14:$P$14,0))*IF('Calc|Opex forecast'!$E$92="$millions",1000000,IF('Calc|Opex forecast'!$E$92="$000",1000,1))/IF($E16="$millions",1000000,IF($E16="$000",1000,1)))</f>
        <v>0</v>
      </c>
      <c r="R16" s="122">
        <f>IF(R$11="",0,'Calc|Opex forecast'!R94*INDEX('Input|Rate of change'!$C$14:$P$22,MATCH('Calc|Opex forecast'!$F$92,'Input|Rate of change'!$C$14:$C$22,0),MATCH(ARS!$F16,'Input|Rate of change'!$C$14:$P$14,0))*IF('Calc|Opex forecast'!$E$92="$millions",1000000,IF('Calc|Opex forecast'!$E$92="$000",1000,1))/IF($E16="$millions",1000000,IF($E16="$000",1000,1)))</f>
        <v>0</v>
      </c>
      <c r="S16" s="122">
        <f>IF(S$11="",0,'Calc|Opex forecast'!S94*INDEX('Input|Rate of change'!$C$14:$P$22,MATCH('Calc|Opex forecast'!$F$92,'Input|Rate of change'!$C$14:$C$22,0),MATCH(ARS!$F16,'Input|Rate of change'!$C$14:$P$14,0))*IF('Calc|Opex forecast'!$E$92="$millions",1000000,IF('Calc|Opex forecast'!$E$92="$000",1000,1))/IF($E16="$millions",1000000,IF($E16="$000",1000,1)))</f>
        <v>0</v>
      </c>
      <c r="T16" s="122">
        <f>IF(T$11="",0,'Calc|Opex forecast'!T94*INDEX('Input|Rate of change'!$C$14:$P$22,MATCH('Calc|Opex forecast'!$F$92,'Input|Rate of change'!$C$14:$C$22,0),MATCH(ARS!$F16,'Input|Rate of change'!$C$14:$P$14,0))*IF('Calc|Opex forecast'!$E$92="$millions",1000000,IF('Calc|Opex forecast'!$E$92="$000",1000,1))/IF($E16="$millions",1000000,IF($E16="$000",1000,1)))</f>
        <v>0</v>
      </c>
      <c r="U16" s="15"/>
      <c r="V16" s="145"/>
    </row>
    <row r="17" spans="1:24">
      <c r="D17" s="28"/>
      <c r="H17" s="21"/>
      <c r="I17" s="21"/>
      <c r="P17" s="164"/>
      <c r="Q17" s="164"/>
      <c r="R17" s="164"/>
      <c r="S17" s="164"/>
      <c r="T17" s="165"/>
    </row>
    <row r="18" spans="1:24" customFormat="1" ht="12.75">
      <c r="A18" s="37"/>
      <c r="B18" s="43" t="s">
        <v>23</v>
      </c>
      <c r="C18" s="37"/>
      <c r="D18" s="37"/>
      <c r="E18" s="37"/>
      <c r="F18" s="38"/>
      <c r="G18" s="38"/>
      <c r="H18" s="38"/>
      <c r="I18" s="38"/>
      <c r="J18" s="39"/>
      <c r="K18" s="40"/>
      <c r="L18" s="39"/>
      <c r="M18" s="40"/>
      <c r="N18" s="39"/>
      <c r="O18" s="39"/>
      <c r="P18" s="39"/>
      <c r="Q18" s="39"/>
      <c r="R18" s="39"/>
      <c r="S18" s="39"/>
      <c r="T18" s="39"/>
      <c r="U18" s="39"/>
      <c r="V18" s="39"/>
      <c r="W18" s="40"/>
      <c r="X18" s="40"/>
    </row>
    <row r="24" spans="1:24" hidden="1">
      <c r="M24" s="99"/>
      <c r="N24" s="99"/>
      <c r="O24" s="99"/>
      <c r="P24" s="99"/>
      <c r="Q24" s="99"/>
      <c r="R24" s="99"/>
      <c r="S24" s="99"/>
      <c r="T24" s="99"/>
    </row>
  </sheetData>
  <mergeCells count="1">
    <mergeCell ref="N3:T3"/>
  </mergeCells>
  <conditionalFormatting sqref="J11:T11">
    <cfRule type="expression" dxfId="25" priority="9">
      <formula>J$11=J$4</formula>
    </cfRule>
  </conditionalFormatting>
  <conditionalFormatting sqref="J13:T16">
    <cfRule type="expression" dxfId="24" priority="1">
      <formula>AND($C13=0,J$11=J$4)</formula>
    </cfRule>
    <cfRule type="expression" dxfId="23" priority="2">
      <formula>NOT(J$11=J$4)</formula>
    </cfRule>
    <cfRule type="expression" dxfId="22" priority="3">
      <formula>J$11=J$4</formula>
    </cfRule>
  </conditionalFormatting>
  <conditionalFormatting sqref="T1">
    <cfRule type="cellIs" dxfId="21" priority="4" operator="equal">
      <formula>"Check"</formula>
    </cfRule>
    <cfRule type="cellIs" dxfId="20" priority="5" operator="equal">
      <formula>"Ok"</formula>
    </cfRule>
  </conditionalFormatting>
  <conditionalFormatting sqref="W1">
    <cfRule type="cellIs" dxfId="19" priority="10" operator="equal">
      <formula>"Check"</formula>
    </cfRule>
    <cfRule type="cellIs" dxfId="18" priority="11" operator="equal">
      <formula>"Ok"</formula>
    </cfRule>
  </conditionalFormatting>
  <dataValidations count="2">
    <dataValidation type="list" allowBlank="1" showInputMessage="1" showErrorMessage="1" sqref="F17" xr:uid="{5AF685FC-52B3-4A7E-BCDD-4D2DDC2B8A5D}">
      <formula1>#REF!</formula1>
    </dataValidation>
    <dataValidation type="list" allowBlank="1" showInputMessage="1" showErrorMessage="1" sqref="F13:F16" xr:uid="{DF66D625-E367-44A6-BFE2-2AFD40F5B6F9}">
      <formula1>$G$20:$G$26</formula1>
    </dataValidation>
  </dataValidations>
  <hyperlinks>
    <hyperlink ref="J1" location="Index!A1" display="Back to Index" xr:uid="{7BC1A7C1-9FF2-4751-9543-6AC816492E96}"/>
    <hyperlink ref="D13" location="'Calc|Opex forecast'!A1" display="Calc | Opex forecast" xr:uid="{110BEC6F-ABF1-4B4B-9742-A1BD7D227FC0}"/>
    <hyperlink ref="D14" location="'Calc|Opex forecast'!A1" display="Calc | Opex forecast" xr:uid="{07B11397-69CA-47FF-9E3F-4F850C9517FA}"/>
    <hyperlink ref="D15" location="'Calc|Opex forecast'!A1" display="Calc | Opex forecast" xr:uid="{1785F616-793D-4996-B973-D6B65B6EB43A}"/>
    <hyperlink ref="D16" location="'Calc|Opex forecast'!A1" display="Calc | Opex forecast" xr:uid="{476C19DD-E33E-43AC-B6C8-F92CAE90B706}"/>
    <hyperlink ref="V1" location="'Check|List'!A1" display="Overall Check:" xr:uid="{70CB2B16-0B6A-48E5-8967-F87A57F695BB}"/>
  </hyperlinks>
  <pageMargins left="0.7" right="0.7" top="0.75" bottom="0.75" header="0.3" footer="0.3"/>
  <pageSetup paperSize="9" orientation="portrait" verticalDpi="4" r:id="rId1"/>
  <headerFooter>
    <oddFooter>&amp;C_x000D_&amp;1#&amp;"Century Gothic"&amp;7&amp;K7F7F7F BUSINESS USE ONLY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70AE076-0F5F-47C7-8DC3-5F6EAD027EEB}">
          <x14:formula1>
            <xm:f>'Lookup|Tables'!$H$41:$H$60</xm:f>
          </x14:formula1>
          <xm:sqref>F8</xm:sqref>
        </x14:dataValidation>
        <x14:dataValidation type="list" allowBlank="1" showInputMessage="1" showErrorMessage="1" xr:uid="{A4244DEC-DD0B-4548-BD50-C45BD024AC62}">
          <x14:formula1>
            <xm:f>'Lookup|Tables'!$G$10:$G$12</xm:f>
          </x14:formula1>
          <xm:sqref>E8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BDECB-90C5-4E3D-9EB3-12A2FE16F7B8}">
  <dimension ref="C6:X16"/>
  <sheetViews>
    <sheetView workbookViewId="0">
      <selection activeCell="T12" sqref="T12"/>
    </sheetView>
  </sheetViews>
  <sheetFormatPr defaultRowHeight="11.25"/>
  <cols>
    <col min="3" max="3" width="23.1640625" customWidth="1"/>
  </cols>
  <sheetData>
    <row r="6" spans="3:24">
      <c r="C6" t="s">
        <v>170</v>
      </c>
    </row>
    <row r="7" spans="3:24">
      <c r="P7" s="113"/>
      <c r="Q7" s="113"/>
      <c r="R7" s="113"/>
      <c r="S7" s="113"/>
      <c r="T7" s="113"/>
    </row>
    <row r="8" spans="3:24">
      <c r="P8" s="113">
        <v>45444</v>
      </c>
      <c r="Q8" s="113">
        <v>45809</v>
      </c>
      <c r="R8" s="113">
        <v>46174</v>
      </c>
      <c r="S8" s="113">
        <v>46539</v>
      </c>
      <c r="T8" s="113">
        <v>46905</v>
      </c>
    </row>
    <row r="11" spans="3:24">
      <c r="P11" s="113">
        <v>45444</v>
      </c>
      <c r="Q11" s="113">
        <v>45809</v>
      </c>
      <c r="R11" s="113">
        <v>46174</v>
      </c>
      <c r="S11" s="113">
        <v>46539</v>
      </c>
      <c r="T11" s="113">
        <v>46905</v>
      </c>
      <c r="U11" t="s">
        <v>175</v>
      </c>
    </row>
    <row r="12" spans="3:24">
      <c r="C12" t="s">
        <v>176</v>
      </c>
      <c r="O12" t="s">
        <v>176</v>
      </c>
      <c r="P12" s="197">
        <v>67.284824101260057</v>
      </c>
      <c r="Q12" s="197">
        <v>68.484481948093887</v>
      </c>
      <c r="R12" s="197">
        <v>65.744527610054817</v>
      </c>
      <c r="S12" s="197">
        <v>64.766835627359569</v>
      </c>
      <c r="T12" s="197">
        <v>64.583506746782149</v>
      </c>
      <c r="U12" s="197">
        <f>SUM(P12:T12)</f>
        <v>330.86417603355051</v>
      </c>
    </row>
    <row r="13" spans="3:24">
      <c r="C13" t="s">
        <v>177</v>
      </c>
      <c r="O13" t="s">
        <v>177</v>
      </c>
      <c r="P13" s="197">
        <v>0</v>
      </c>
      <c r="Q13" s="197">
        <v>0</v>
      </c>
      <c r="R13" s="197">
        <v>-0.29952145583618517</v>
      </c>
      <c r="S13" s="197">
        <v>-0.58367029716288243</v>
      </c>
      <c r="T13" s="197">
        <v>-1.0131850525631663</v>
      </c>
      <c r="U13" s="197">
        <f>SUM(P13:T13)</f>
        <v>-1.8963768055622339</v>
      </c>
    </row>
    <row r="14" spans="3:24">
      <c r="C14" t="s">
        <v>178</v>
      </c>
      <c r="O14" t="s">
        <v>178</v>
      </c>
      <c r="P14" s="197">
        <v>0</v>
      </c>
      <c r="Q14" s="197">
        <v>0</v>
      </c>
      <c r="R14" s="197">
        <v>1.6535980119798701</v>
      </c>
      <c r="S14" s="197">
        <v>1.69005298338115</v>
      </c>
      <c r="T14" s="197">
        <v>1.7614464590727299</v>
      </c>
      <c r="U14" s="197">
        <f>SUM(P14:T14)</f>
        <v>5.10509745443375</v>
      </c>
      <c r="X14" s="195"/>
    </row>
    <row r="15" spans="3:24">
      <c r="C15" t="s">
        <v>179</v>
      </c>
      <c r="O15" t="s">
        <v>179</v>
      </c>
      <c r="P15" s="197">
        <v>67.284824101260085</v>
      </c>
      <c r="Q15" s="197">
        <v>68.484481948093915</v>
      </c>
      <c r="R15" s="197">
        <v>67.098604166198498</v>
      </c>
      <c r="S15" s="197">
        <v>65.873218313577837</v>
      </c>
      <c r="T15" s="197">
        <v>65.331768153291719</v>
      </c>
      <c r="U15" s="197">
        <f>SUM(P15:T15)</f>
        <v>334.07289668242203</v>
      </c>
      <c r="X15" s="196">
        <f>(U15-U12)/U12</f>
        <v>9.6979996061772097E-3</v>
      </c>
    </row>
    <row r="16" spans="3:24">
      <c r="O16" t="s">
        <v>180</v>
      </c>
      <c r="P16" s="197">
        <f>P15-P12</f>
        <v>0</v>
      </c>
      <c r="Q16" s="197">
        <f t="shared" ref="Q16:U16" si="0">Q15-Q12</f>
        <v>0</v>
      </c>
      <c r="R16" s="197">
        <f t="shared" si="0"/>
        <v>1.3540765561436814</v>
      </c>
      <c r="S16" s="197">
        <f t="shared" si="0"/>
        <v>1.106382686218268</v>
      </c>
      <c r="T16" s="197">
        <f>T15-T12</f>
        <v>0.74826140650957029</v>
      </c>
      <c r="U16" s="197">
        <f t="shared" si="0"/>
        <v>3.2087206488715196</v>
      </c>
      <c r="X16" s="197">
        <f>U15-U12</f>
        <v>3.2087206488715196</v>
      </c>
    </row>
  </sheetData>
  <conditionalFormatting sqref="P7:T8">
    <cfRule type="expression" dxfId="17" priority="2">
      <formula>P$60=P$4</formula>
    </cfRule>
  </conditionalFormatting>
  <conditionalFormatting sqref="P11:T11">
    <cfRule type="expression" dxfId="16" priority="1">
      <formula>P$60=P$4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theme="1"/>
  </sheetPr>
  <dimension ref="A1:XER84"/>
  <sheetViews>
    <sheetView topLeftCell="A36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6640625" style="7" customWidth="1"/>
    <col min="6" max="6" width="10.6640625" style="7" customWidth="1"/>
    <col min="7" max="7" width="15" style="16" customWidth="1"/>
    <col min="8" max="9" width="15" style="8" customWidth="1"/>
    <col min="10" max="23" width="10.66406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30" s="32" customFormat="1" ht="15.75">
      <c r="B1" s="29" t="str">
        <f>Index!$B$1</f>
        <v>AER opex model v1.9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33"/>
      <c r="S1" s="34"/>
      <c r="U1" s="123" t="s">
        <v>30</v>
      </c>
      <c r="V1" s="34" t="str">
        <f>'Check|List'!$S$1</f>
        <v>Ok</v>
      </c>
    </row>
    <row r="2" spans="1:30" s="32" customFormat="1" ht="12.75">
      <c r="B2" s="45" t="str">
        <f>Index!$C$14</f>
        <v>Lookup | Tables</v>
      </c>
      <c r="C2" s="45"/>
      <c r="D2" s="45"/>
      <c r="E2" s="45"/>
      <c r="F2" s="46"/>
      <c r="G2" s="46"/>
      <c r="H2" s="46"/>
      <c r="I2" s="46"/>
    </row>
    <row r="3" spans="1:30" s="49" customFormat="1" ht="12.75">
      <c r="A3" s="37"/>
      <c r="B3" s="43"/>
      <c r="C3" s="37"/>
      <c r="D3" s="37"/>
      <c r="E3" s="37"/>
      <c r="F3" s="38"/>
      <c r="G3" s="38"/>
      <c r="H3" s="38"/>
      <c r="I3" s="38"/>
      <c r="J3" s="39"/>
      <c r="K3" s="40"/>
      <c r="L3" s="39"/>
      <c r="M3" s="40"/>
      <c r="N3" s="39"/>
      <c r="O3" s="39"/>
      <c r="P3" s="39"/>
      <c r="Q3" s="39"/>
      <c r="R3" s="39"/>
      <c r="S3" s="39"/>
      <c r="T3" s="39"/>
      <c r="U3" s="39"/>
      <c r="V3" s="40"/>
      <c r="W3" s="40"/>
      <c r="X3" s="47"/>
      <c r="Y3" s="47"/>
      <c r="Z3" s="47"/>
      <c r="AA3" s="47"/>
      <c r="AB3" s="47"/>
      <c r="AC3" s="48"/>
      <c r="AD3" s="48"/>
    </row>
    <row r="4" spans="1:30" s="6" customFormat="1" ht="3" customHeight="1">
      <c r="D4" s="20"/>
      <c r="E4" s="20"/>
    </row>
    <row r="5" spans="1:30" s="6" customFormat="1" ht="9" customHeight="1">
      <c r="D5" s="20"/>
      <c r="E5" s="20"/>
    </row>
    <row r="6" spans="1:30" s="6" customFormat="1" ht="3" customHeight="1">
      <c r="D6" s="20"/>
      <c r="E6" s="20"/>
    </row>
    <row r="7" spans="1:30" customFormat="1" ht="12.75">
      <c r="A7" s="37"/>
      <c r="B7" s="43" t="s">
        <v>181</v>
      </c>
      <c r="C7" s="37"/>
      <c r="D7" s="37"/>
      <c r="E7" s="37"/>
      <c r="F7" s="38"/>
      <c r="G7" s="38"/>
      <c r="H7" s="38"/>
      <c r="I7" s="38"/>
      <c r="J7" s="39"/>
      <c r="K7" s="40"/>
      <c r="L7" s="39"/>
      <c r="M7" s="40"/>
      <c r="N7" s="39"/>
      <c r="O7" s="39"/>
      <c r="P7" s="39"/>
      <c r="Q7" s="39"/>
      <c r="R7" s="39"/>
      <c r="S7" s="39"/>
      <c r="T7" s="39"/>
      <c r="U7" s="39"/>
      <c r="V7" s="40"/>
      <c r="W7" s="40"/>
      <c r="X7" s="41"/>
      <c r="Y7" s="41"/>
      <c r="Z7" s="41"/>
      <c r="AA7" s="41"/>
      <c r="AB7" s="41"/>
      <c r="AC7" s="42"/>
      <c r="AD7" s="42"/>
    </row>
    <row r="8" spans="1:30"/>
    <row r="9" spans="1:30">
      <c r="C9" s="13" t="str">
        <f>B7</f>
        <v>Unit Denominations</v>
      </c>
      <c r="D9" s="21" t="s">
        <v>33</v>
      </c>
      <c r="E9" s="21"/>
      <c r="F9" s="14"/>
      <c r="G9" s="14" t="s">
        <v>182</v>
      </c>
      <c r="H9" s="14"/>
    </row>
    <row r="10" spans="1:30">
      <c r="C10" s="15" t="s">
        <v>183</v>
      </c>
      <c r="D10" s="16" t="s">
        <v>39</v>
      </c>
      <c r="E10" s="16"/>
      <c r="F10" s="16"/>
      <c r="G10" s="44" t="s">
        <v>184</v>
      </c>
    </row>
    <row r="11" spans="1:30">
      <c r="C11" s="15" t="s">
        <v>185</v>
      </c>
      <c r="D11" s="16" t="s">
        <v>39</v>
      </c>
      <c r="E11" s="16"/>
      <c r="F11" s="16"/>
      <c r="G11" s="44" t="s">
        <v>186</v>
      </c>
    </row>
    <row r="12" spans="1:30">
      <c r="C12" s="15" t="s">
        <v>187</v>
      </c>
      <c r="D12" s="16" t="s">
        <v>39</v>
      </c>
      <c r="E12" s="16"/>
      <c r="F12" s="16"/>
      <c r="G12" s="44" t="s">
        <v>64</v>
      </c>
      <c r="T12" s="17"/>
    </row>
    <row r="13" spans="1:30">
      <c r="F13" s="8"/>
      <c r="G13" s="8"/>
    </row>
    <row r="14" spans="1:30">
      <c r="C14" s="15" t="s">
        <v>55</v>
      </c>
      <c r="D14" s="16" t="s">
        <v>39</v>
      </c>
      <c r="E14" s="16"/>
      <c r="F14" s="16"/>
      <c r="G14" s="44" t="s">
        <v>93</v>
      </c>
    </row>
    <row r="15" spans="1:30">
      <c r="C15" s="15" t="s">
        <v>53</v>
      </c>
      <c r="D15" s="16" t="s">
        <v>39</v>
      </c>
      <c r="E15" s="16"/>
      <c r="F15" s="16"/>
      <c r="G15" s="44" t="s">
        <v>188</v>
      </c>
    </row>
    <row r="16" spans="1:30">
      <c r="C16" s="15" t="s">
        <v>189</v>
      </c>
      <c r="D16" s="16" t="s">
        <v>39</v>
      </c>
      <c r="E16" s="16"/>
      <c r="F16" s="16"/>
      <c r="G16" s="44" t="s">
        <v>115</v>
      </c>
    </row>
    <row r="17" spans="1:30">
      <c r="C17" s="15" t="s">
        <v>190</v>
      </c>
      <c r="D17" s="16" t="s">
        <v>39</v>
      </c>
      <c r="E17" s="16"/>
      <c r="F17" s="16"/>
      <c r="G17" s="44" t="s">
        <v>191</v>
      </c>
    </row>
    <row r="18" spans="1:30">
      <c r="C18" s="15"/>
      <c r="D18" s="16"/>
      <c r="E18" s="16"/>
      <c r="F18" s="16"/>
      <c r="G18" s="8"/>
    </row>
    <row r="19" spans="1:30">
      <c r="C19" s="15" t="s">
        <v>71</v>
      </c>
      <c r="D19" s="16" t="s">
        <v>39</v>
      </c>
      <c r="E19" s="16"/>
      <c r="F19" s="16"/>
      <c r="G19" s="44" t="s">
        <v>71</v>
      </c>
    </row>
    <row r="20" spans="1:30">
      <c r="C20" s="15" t="s">
        <v>72</v>
      </c>
      <c r="D20" s="16" t="s">
        <v>39</v>
      </c>
      <c r="E20" s="16"/>
      <c r="F20" s="16"/>
      <c r="G20" s="44" t="s">
        <v>72</v>
      </c>
    </row>
    <row r="21" spans="1:30">
      <c r="C21" s="15"/>
      <c r="D21" s="16"/>
      <c r="E21" s="16"/>
      <c r="F21" s="16"/>
      <c r="G21" s="8"/>
    </row>
    <row r="22" spans="1:30" customFormat="1" ht="12.75">
      <c r="A22" s="37"/>
      <c r="B22" s="43" t="s">
        <v>192</v>
      </c>
      <c r="C22" s="37"/>
      <c r="D22" s="37"/>
      <c r="E22" s="37"/>
      <c r="F22" s="38"/>
      <c r="G22" s="38"/>
      <c r="H22" s="38"/>
      <c r="I22" s="38"/>
      <c r="J22" s="39"/>
      <c r="K22" s="40"/>
      <c r="L22" s="39"/>
      <c r="M22" s="40"/>
      <c r="N22" s="39"/>
      <c r="O22" s="39"/>
      <c r="P22" s="39"/>
      <c r="Q22" s="39"/>
      <c r="R22" s="39"/>
      <c r="S22" s="39"/>
      <c r="T22" s="39"/>
      <c r="U22" s="39"/>
      <c r="V22" s="40"/>
      <c r="W22" s="40"/>
      <c r="X22" s="41"/>
      <c r="Y22" s="41"/>
      <c r="Z22" s="41"/>
      <c r="AA22" s="41"/>
      <c r="AB22" s="41"/>
      <c r="AC22" s="42"/>
      <c r="AD22" s="42"/>
    </row>
    <row r="23" spans="1:30"/>
    <row r="24" spans="1:30">
      <c r="C24" s="13" t="str">
        <f>B22</f>
        <v>Months</v>
      </c>
      <c r="D24" s="21" t="s">
        <v>33</v>
      </c>
      <c r="E24" s="21"/>
      <c r="F24" s="14"/>
      <c r="G24" s="14" t="s">
        <v>182</v>
      </c>
      <c r="H24" s="14"/>
    </row>
    <row r="25" spans="1:30">
      <c r="C25" s="15" t="s">
        <v>193</v>
      </c>
      <c r="D25" s="16" t="s">
        <v>39</v>
      </c>
      <c r="E25" s="16"/>
      <c r="F25" s="16"/>
      <c r="G25" s="105">
        <v>36526</v>
      </c>
      <c r="H25" s="14"/>
    </row>
    <row r="26" spans="1:30">
      <c r="C26" s="15" t="s">
        <v>194</v>
      </c>
      <c r="D26" s="16" t="s">
        <v>39</v>
      </c>
      <c r="E26" s="16"/>
      <c r="F26" s="16"/>
      <c r="G26" s="105">
        <v>36557</v>
      </c>
      <c r="H26" s="14"/>
    </row>
    <row r="27" spans="1:30">
      <c r="C27" s="15" t="s">
        <v>195</v>
      </c>
      <c r="D27" s="16" t="s">
        <v>39</v>
      </c>
      <c r="E27" s="16"/>
      <c r="F27" s="16"/>
      <c r="G27" s="105">
        <v>36586</v>
      </c>
      <c r="H27" s="14"/>
    </row>
    <row r="28" spans="1:30">
      <c r="C28" s="15" t="s">
        <v>196</v>
      </c>
      <c r="D28" s="16" t="s">
        <v>39</v>
      </c>
      <c r="E28" s="16"/>
      <c r="F28" s="16"/>
      <c r="G28" s="105">
        <v>36617</v>
      </c>
    </row>
    <row r="29" spans="1:30">
      <c r="C29" s="15" t="s">
        <v>197</v>
      </c>
      <c r="D29" s="16" t="s">
        <v>39</v>
      </c>
      <c r="E29" s="16"/>
      <c r="F29" s="16"/>
      <c r="G29" s="105">
        <v>36647</v>
      </c>
    </row>
    <row r="30" spans="1:30">
      <c r="C30" s="15" t="s">
        <v>198</v>
      </c>
      <c r="D30" s="16" t="s">
        <v>39</v>
      </c>
      <c r="E30" s="16"/>
      <c r="F30" s="16"/>
      <c r="G30" s="105">
        <v>36678</v>
      </c>
      <c r="T30" s="17"/>
    </row>
    <row r="31" spans="1:30">
      <c r="C31" s="15" t="s">
        <v>199</v>
      </c>
      <c r="D31" s="16" t="s">
        <v>39</v>
      </c>
      <c r="E31" s="16"/>
      <c r="F31" s="16"/>
      <c r="G31" s="105">
        <v>36708</v>
      </c>
      <c r="T31" s="17"/>
    </row>
    <row r="32" spans="1:30">
      <c r="C32" s="15" t="s">
        <v>200</v>
      </c>
      <c r="D32" s="16" t="s">
        <v>39</v>
      </c>
      <c r="E32" s="16"/>
      <c r="F32" s="16"/>
      <c r="G32" s="105">
        <v>36739</v>
      </c>
      <c r="T32" s="17"/>
    </row>
    <row r="33" spans="1:30">
      <c r="C33" s="15" t="s">
        <v>201</v>
      </c>
      <c r="D33" s="16" t="s">
        <v>39</v>
      </c>
      <c r="E33" s="16"/>
      <c r="F33" s="16"/>
      <c r="G33" s="105">
        <v>36770</v>
      </c>
      <c r="T33" s="17"/>
    </row>
    <row r="34" spans="1:30">
      <c r="C34" s="15" t="s">
        <v>202</v>
      </c>
      <c r="D34" s="16" t="s">
        <v>39</v>
      </c>
      <c r="E34" s="16"/>
      <c r="F34" s="16"/>
      <c r="G34" s="105">
        <v>36800</v>
      </c>
      <c r="T34" s="17"/>
    </row>
    <row r="35" spans="1:30">
      <c r="C35" s="15" t="s">
        <v>203</v>
      </c>
      <c r="D35" s="16" t="s">
        <v>39</v>
      </c>
      <c r="E35" s="16"/>
      <c r="F35" s="16"/>
      <c r="G35" s="105">
        <v>36831</v>
      </c>
      <c r="T35" s="17"/>
    </row>
    <row r="36" spans="1:30">
      <c r="C36" s="15" t="s">
        <v>204</v>
      </c>
      <c r="D36" s="16" t="s">
        <v>39</v>
      </c>
      <c r="E36" s="16"/>
      <c r="F36" s="16"/>
      <c r="G36" s="105">
        <v>36861</v>
      </c>
      <c r="T36" s="17"/>
    </row>
    <row r="37" spans="1:30">
      <c r="C37" s="15"/>
      <c r="D37" s="16"/>
      <c r="E37" s="16"/>
      <c r="F37" s="16"/>
      <c r="T37" s="17"/>
    </row>
    <row r="38" spans="1:30" customFormat="1" ht="12.75">
      <c r="A38" s="37"/>
      <c r="B38" s="43" t="s">
        <v>205</v>
      </c>
      <c r="C38" s="37"/>
      <c r="D38" s="37"/>
      <c r="E38" s="37"/>
      <c r="F38" s="38"/>
      <c r="G38" s="38"/>
      <c r="H38" s="38"/>
      <c r="I38" s="38"/>
      <c r="J38" s="39"/>
      <c r="K38" s="40"/>
      <c r="L38" s="39"/>
      <c r="M38" s="40"/>
      <c r="N38" s="39"/>
      <c r="O38" s="39"/>
      <c r="P38" s="39"/>
      <c r="Q38" s="39"/>
      <c r="R38" s="39"/>
      <c r="S38" s="39"/>
      <c r="T38" s="39"/>
      <c r="U38" s="39"/>
      <c r="V38" s="40"/>
      <c r="W38" s="40"/>
      <c r="X38" s="41"/>
      <c r="Y38" s="41"/>
      <c r="Z38" s="41"/>
      <c r="AA38" s="41"/>
      <c r="AB38" s="41"/>
      <c r="AC38" s="42"/>
      <c r="AD38" s="42"/>
    </row>
    <row r="39" spans="1:30"/>
    <row r="40" spans="1:30">
      <c r="C40" s="13" t="str">
        <f>B38</f>
        <v>Years</v>
      </c>
      <c r="D40" s="21" t="s">
        <v>33</v>
      </c>
      <c r="E40" s="21"/>
      <c r="F40" s="14"/>
      <c r="G40" s="14" t="s">
        <v>206</v>
      </c>
      <c r="H40" s="14" t="s">
        <v>207</v>
      </c>
      <c r="I40" s="14" t="s">
        <v>208</v>
      </c>
    </row>
    <row r="41" spans="1:30">
      <c r="C41" s="110">
        <v>40695</v>
      </c>
      <c r="D41" s="16" t="s">
        <v>39</v>
      </c>
      <c r="E41" s="16"/>
      <c r="F41" s="16"/>
      <c r="G41" s="106">
        <v>2011</v>
      </c>
      <c r="H41" s="127">
        <f>DATE(G41,MONTH('Input|General'!$G$9),1)</f>
        <v>40878</v>
      </c>
      <c r="I41" s="125" t="str">
        <f>G41-1&amp;"–"&amp;RIGHT(G41,2)</f>
        <v>2010–11</v>
      </c>
    </row>
    <row r="42" spans="1:30">
      <c r="C42" s="110">
        <v>41061</v>
      </c>
      <c r="D42" s="16" t="s">
        <v>39</v>
      </c>
      <c r="E42" s="16"/>
      <c r="F42" s="16"/>
      <c r="G42" s="106">
        <v>2012</v>
      </c>
      <c r="H42" s="127">
        <f>DATE(G42,MONTH('Input|General'!$G$9),1)</f>
        <v>41244</v>
      </c>
      <c r="I42" s="125" t="str">
        <f t="shared" ref="I42:I60" si="0">G42-1&amp;"–"&amp;RIGHT(G42,2)</f>
        <v>2011–12</v>
      </c>
    </row>
    <row r="43" spans="1:30">
      <c r="C43" s="110">
        <v>41426</v>
      </c>
      <c r="D43" s="16" t="s">
        <v>39</v>
      </c>
      <c r="E43" s="16"/>
      <c r="F43" s="16"/>
      <c r="G43" s="106">
        <v>2013</v>
      </c>
      <c r="H43" s="127">
        <f>DATE(G43,MONTH('Input|General'!$G$9),1)</f>
        <v>41609</v>
      </c>
      <c r="I43" s="125" t="str">
        <f t="shared" si="0"/>
        <v>2012–13</v>
      </c>
    </row>
    <row r="44" spans="1:30">
      <c r="C44" s="110">
        <v>41791</v>
      </c>
      <c r="D44" s="16" t="s">
        <v>39</v>
      </c>
      <c r="E44" s="16"/>
      <c r="F44" s="16"/>
      <c r="G44" s="106">
        <v>2014</v>
      </c>
      <c r="H44" s="127">
        <f>DATE(G44,MONTH('Input|General'!$G$9),1)</f>
        <v>41974</v>
      </c>
      <c r="I44" s="125" t="str">
        <f t="shared" si="0"/>
        <v>2013–14</v>
      </c>
    </row>
    <row r="45" spans="1:30">
      <c r="C45" s="110">
        <v>42156</v>
      </c>
      <c r="D45" s="16" t="s">
        <v>39</v>
      </c>
      <c r="E45" s="16"/>
      <c r="F45" s="16"/>
      <c r="G45" s="106">
        <v>2015</v>
      </c>
      <c r="H45" s="127">
        <f>DATE(G45,MONTH('Input|General'!$G$9),1)</f>
        <v>42339</v>
      </c>
      <c r="I45" s="125" t="str">
        <f t="shared" si="0"/>
        <v>2014–15</v>
      </c>
      <c r="T45" s="17"/>
    </row>
    <row r="46" spans="1:30">
      <c r="C46" s="110">
        <v>42522</v>
      </c>
      <c r="D46" s="16" t="s">
        <v>39</v>
      </c>
      <c r="E46" s="16"/>
      <c r="F46" s="16"/>
      <c r="G46" s="106">
        <v>2016</v>
      </c>
      <c r="H46" s="127">
        <f>DATE(G46,MONTH('Input|General'!$G$9),1)</f>
        <v>42705</v>
      </c>
      <c r="I46" s="125" t="str">
        <f t="shared" si="0"/>
        <v>2015–16</v>
      </c>
      <c r="T46" s="17"/>
    </row>
    <row r="47" spans="1:30">
      <c r="C47" s="110">
        <v>42887</v>
      </c>
      <c r="D47" s="16" t="s">
        <v>39</v>
      </c>
      <c r="E47" s="16"/>
      <c r="F47" s="16"/>
      <c r="G47" s="106">
        <v>2017</v>
      </c>
      <c r="H47" s="127">
        <f>DATE(G47,MONTH('Input|General'!$G$9),1)</f>
        <v>43070</v>
      </c>
      <c r="I47" s="125" t="str">
        <f t="shared" si="0"/>
        <v>2016–17</v>
      </c>
      <c r="T47" s="17"/>
    </row>
    <row r="48" spans="1:30">
      <c r="C48" s="110">
        <v>43252</v>
      </c>
      <c r="D48" s="16" t="s">
        <v>39</v>
      </c>
      <c r="E48" s="16"/>
      <c r="F48" s="16"/>
      <c r="G48" s="106">
        <v>2018</v>
      </c>
      <c r="H48" s="127">
        <f>DATE(G48,MONTH('Input|General'!$G$9),1)</f>
        <v>43435</v>
      </c>
      <c r="I48" s="125" t="str">
        <f t="shared" si="0"/>
        <v>2017–18</v>
      </c>
      <c r="T48" s="17"/>
    </row>
    <row r="49" spans="1:30">
      <c r="C49" s="110">
        <v>43617</v>
      </c>
      <c r="D49" s="16" t="s">
        <v>39</v>
      </c>
      <c r="E49" s="16"/>
      <c r="F49" s="16"/>
      <c r="G49" s="106">
        <v>2019</v>
      </c>
      <c r="H49" s="127">
        <f>DATE(G49,MONTH('Input|General'!$G$9),1)</f>
        <v>43800</v>
      </c>
      <c r="I49" s="125" t="str">
        <f t="shared" si="0"/>
        <v>2018–19</v>
      </c>
      <c r="T49" s="17"/>
    </row>
    <row r="50" spans="1:30">
      <c r="C50" s="110">
        <v>43983</v>
      </c>
      <c r="D50" s="16" t="s">
        <v>39</v>
      </c>
      <c r="E50" s="16"/>
      <c r="F50" s="16"/>
      <c r="G50" s="106">
        <v>2020</v>
      </c>
      <c r="H50" s="127">
        <f>DATE(G50,MONTH('Input|General'!$G$9),1)</f>
        <v>44166</v>
      </c>
      <c r="I50" s="125" t="str">
        <f t="shared" si="0"/>
        <v>2019–20</v>
      </c>
      <c r="T50" s="17"/>
    </row>
    <row r="51" spans="1:30">
      <c r="C51" s="110">
        <v>44348</v>
      </c>
      <c r="D51" s="16" t="s">
        <v>39</v>
      </c>
      <c r="E51" s="16"/>
      <c r="F51" s="16"/>
      <c r="G51" s="106">
        <v>2021</v>
      </c>
      <c r="H51" s="127">
        <f>DATE(G51,MONTH('Input|General'!$G$9),1)</f>
        <v>44531</v>
      </c>
      <c r="I51" s="125" t="str">
        <f t="shared" si="0"/>
        <v>2020–21</v>
      </c>
      <c r="T51" s="17"/>
    </row>
    <row r="52" spans="1:30">
      <c r="C52" s="110">
        <v>44713</v>
      </c>
      <c r="D52" s="16" t="s">
        <v>39</v>
      </c>
      <c r="E52" s="16"/>
      <c r="F52" s="16"/>
      <c r="G52" s="106">
        <v>2022</v>
      </c>
      <c r="H52" s="127">
        <f>DATE(G52,MONTH('Input|General'!$G$9),1)</f>
        <v>44896</v>
      </c>
      <c r="I52" s="125" t="str">
        <f>G52-1&amp;"–"&amp;RIGHT(G52,2)</f>
        <v>2021–22</v>
      </c>
      <c r="T52" s="17"/>
    </row>
    <row r="53" spans="1:30">
      <c r="C53" s="110">
        <v>45078</v>
      </c>
      <c r="D53" s="16" t="s">
        <v>39</v>
      </c>
      <c r="E53" s="16"/>
      <c r="F53" s="16"/>
      <c r="G53" s="106">
        <v>2023</v>
      </c>
      <c r="H53" s="127">
        <f>DATE(G53,MONTH('Input|General'!$G$10),1)</f>
        <v>45078</v>
      </c>
      <c r="I53" s="125" t="str">
        <f t="shared" si="0"/>
        <v>2022–23</v>
      </c>
      <c r="T53" s="17"/>
    </row>
    <row r="54" spans="1:30">
      <c r="C54" s="110">
        <v>45444</v>
      </c>
      <c r="D54" s="16" t="s">
        <v>39</v>
      </c>
      <c r="E54" s="16"/>
      <c r="F54" s="16"/>
      <c r="G54" s="106">
        <v>2024</v>
      </c>
      <c r="H54" s="127">
        <f>DATE(G54,MONTH('Input|General'!$G$10),1)</f>
        <v>45444</v>
      </c>
      <c r="I54" s="125" t="str">
        <f t="shared" si="0"/>
        <v>2023–24</v>
      </c>
      <c r="T54" s="17"/>
    </row>
    <row r="55" spans="1:30">
      <c r="C55" s="110">
        <v>45809</v>
      </c>
      <c r="D55" s="16" t="s">
        <v>39</v>
      </c>
      <c r="E55" s="16"/>
      <c r="F55" s="16"/>
      <c r="G55" s="106">
        <v>2025</v>
      </c>
      <c r="H55" s="127">
        <f>DATE(G55,MONTH('Input|General'!$G$10),1)</f>
        <v>45809</v>
      </c>
      <c r="I55" s="125" t="str">
        <f t="shared" si="0"/>
        <v>2024–25</v>
      </c>
      <c r="T55" s="17"/>
    </row>
    <row r="56" spans="1:30">
      <c r="C56" s="110">
        <v>46174</v>
      </c>
      <c r="D56" s="16" t="s">
        <v>39</v>
      </c>
      <c r="E56" s="16"/>
      <c r="F56" s="16"/>
      <c r="G56" s="106">
        <v>2026</v>
      </c>
      <c r="H56" s="127">
        <f>DATE(G56,MONTH('Input|General'!$G$10),1)</f>
        <v>46174</v>
      </c>
      <c r="I56" s="125" t="str">
        <f t="shared" si="0"/>
        <v>2025–26</v>
      </c>
      <c r="T56" s="17"/>
    </row>
    <row r="57" spans="1:30">
      <c r="C57" s="110">
        <v>46539</v>
      </c>
      <c r="D57" s="16" t="s">
        <v>39</v>
      </c>
      <c r="E57" s="16"/>
      <c r="F57" s="16"/>
      <c r="G57" s="106">
        <v>2027</v>
      </c>
      <c r="H57" s="127">
        <f>DATE(G57,MONTH('Input|General'!$G$10),1)</f>
        <v>46539</v>
      </c>
      <c r="I57" s="125" t="str">
        <f t="shared" si="0"/>
        <v>2026–27</v>
      </c>
      <c r="T57" s="17"/>
    </row>
    <row r="58" spans="1:30">
      <c r="C58" s="110">
        <v>46905</v>
      </c>
      <c r="D58" s="16" t="s">
        <v>39</v>
      </c>
      <c r="E58" s="16"/>
      <c r="F58" s="16"/>
      <c r="G58" s="106">
        <v>2028</v>
      </c>
      <c r="H58" s="127">
        <f>DATE(G58,MONTH('Input|General'!$G$10),1)</f>
        <v>46905</v>
      </c>
      <c r="I58" s="125" t="str">
        <f t="shared" si="0"/>
        <v>2027–28</v>
      </c>
      <c r="T58" s="17"/>
    </row>
    <row r="59" spans="1:30">
      <c r="C59" s="110">
        <v>47270</v>
      </c>
      <c r="D59" s="16" t="s">
        <v>39</v>
      </c>
      <c r="E59" s="16"/>
      <c r="F59" s="16"/>
      <c r="G59" s="106">
        <v>2029</v>
      </c>
      <c r="H59" s="127">
        <f>DATE(G59,MONTH('Input|General'!$G$10),1)</f>
        <v>47270</v>
      </c>
      <c r="I59" s="125" t="str">
        <f t="shared" si="0"/>
        <v>2028–29</v>
      </c>
      <c r="T59" s="17"/>
    </row>
    <row r="60" spans="1:30">
      <c r="C60" s="110">
        <v>47635</v>
      </c>
      <c r="D60" s="16" t="s">
        <v>39</v>
      </c>
      <c r="E60" s="16"/>
      <c r="F60" s="16"/>
      <c r="G60" s="106">
        <v>2030</v>
      </c>
      <c r="H60" s="127">
        <f>DATE(G60,MONTH('Input|General'!$G$10),1)</f>
        <v>47635</v>
      </c>
      <c r="I60" s="125" t="str">
        <f t="shared" si="0"/>
        <v>2029–30</v>
      </c>
      <c r="T60" s="17"/>
    </row>
    <row r="61" spans="1:30"/>
    <row r="62" spans="1:30" customFormat="1" ht="12.75">
      <c r="A62" s="37"/>
      <c r="B62" s="43" t="s">
        <v>209</v>
      </c>
      <c r="C62" s="37"/>
      <c r="D62" s="37"/>
      <c r="E62" s="37"/>
      <c r="F62" s="38"/>
      <c r="G62" s="38"/>
      <c r="H62" s="38"/>
      <c r="I62" s="38"/>
      <c r="J62" s="39"/>
      <c r="K62" s="40"/>
      <c r="L62" s="39"/>
      <c r="M62" s="40"/>
      <c r="N62" s="39"/>
      <c r="O62" s="39"/>
      <c r="P62" s="39"/>
      <c r="Q62" s="39"/>
      <c r="R62" s="39"/>
      <c r="S62" s="39"/>
      <c r="T62" s="39"/>
      <c r="U62" s="39"/>
      <c r="V62" s="40"/>
      <c r="W62" s="40"/>
      <c r="X62" s="41"/>
      <c r="Y62" s="41"/>
      <c r="Z62" s="41"/>
      <c r="AA62" s="41"/>
      <c r="AB62" s="41"/>
      <c r="AC62" s="42"/>
      <c r="AD62" s="42"/>
    </row>
    <row r="63" spans="1:30"/>
    <row r="64" spans="1:30">
      <c r="C64" s="13" t="str">
        <f>B62</f>
        <v>Regulatory years</v>
      </c>
      <c r="D64" s="21" t="s">
        <v>33</v>
      </c>
      <c r="E64" s="21"/>
      <c r="F64" s="14"/>
      <c r="G64" s="14" t="s">
        <v>210</v>
      </c>
      <c r="H64" s="14" t="s">
        <v>58</v>
      </c>
    </row>
    <row r="65" spans="1:30">
      <c r="C65" s="15" t="s">
        <v>211</v>
      </c>
      <c r="D65" s="16" t="s">
        <v>95</v>
      </c>
      <c r="E65" s="21"/>
      <c r="F65" s="14"/>
      <c r="G65" s="125">
        <v>2017</v>
      </c>
      <c r="H65" s="127">
        <f>DATE(G65,12,1)</f>
        <v>43070</v>
      </c>
    </row>
    <row r="66" spans="1:30">
      <c r="C66" s="15" t="s">
        <v>212</v>
      </c>
      <c r="D66" s="16" t="s">
        <v>95</v>
      </c>
      <c r="E66" s="16"/>
      <c r="F66" s="16"/>
      <c r="G66" s="125">
        <v>2018</v>
      </c>
      <c r="H66" s="127">
        <f t="shared" ref="H66:H70" si="1">DATE(G66,12,1)</f>
        <v>43435</v>
      </c>
    </row>
    <row r="67" spans="1:30">
      <c r="C67" s="15" t="s">
        <v>213</v>
      </c>
      <c r="D67" s="16" t="s">
        <v>95</v>
      </c>
      <c r="E67" s="16"/>
      <c r="F67" s="16"/>
      <c r="G67" s="125">
        <v>2019</v>
      </c>
      <c r="H67" s="127">
        <f t="shared" si="1"/>
        <v>43800</v>
      </c>
    </row>
    <row r="68" spans="1:30">
      <c r="C68" s="15" t="s">
        <v>214</v>
      </c>
      <c r="D68" s="16" t="s">
        <v>95</v>
      </c>
      <c r="E68" s="16"/>
      <c r="F68" s="16"/>
      <c r="G68" s="125">
        <v>2020</v>
      </c>
      <c r="H68" s="127">
        <f t="shared" si="1"/>
        <v>44166</v>
      </c>
    </row>
    <row r="69" spans="1:30">
      <c r="C69" s="15" t="s">
        <v>215</v>
      </c>
      <c r="D69" s="16" t="s">
        <v>95</v>
      </c>
      <c r="E69" s="16"/>
      <c r="F69" s="16"/>
      <c r="G69" s="125">
        <v>2021</v>
      </c>
      <c r="H69" s="127">
        <f t="shared" si="1"/>
        <v>44531</v>
      </c>
    </row>
    <row r="70" spans="1:30">
      <c r="C70" s="15" t="s">
        <v>216</v>
      </c>
      <c r="D70" s="16" t="s">
        <v>95</v>
      </c>
      <c r="E70" s="16"/>
      <c r="F70" s="16"/>
      <c r="G70" s="125">
        <v>2022</v>
      </c>
      <c r="H70" s="127">
        <f t="shared" si="1"/>
        <v>44896</v>
      </c>
    </row>
    <row r="71" spans="1:30">
      <c r="C71" s="15" t="s">
        <v>217</v>
      </c>
      <c r="D71" s="16" t="s">
        <v>95</v>
      </c>
      <c r="E71" s="16"/>
      <c r="F71" s="16"/>
      <c r="G71" s="125" t="s">
        <v>218</v>
      </c>
      <c r="H71" s="127">
        <f>DATE(YEAR(H70)+1,6,1)</f>
        <v>45078</v>
      </c>
    </row>
    <row r="72" spans="1:30">
      <c r="C72" s="15" t="s">
        <v>219</v>
      </c>
      <c r="D72" s="16" t="s">
        <v>95</v>
      </c>
      <c r="E72" s="16"/>
      <c r="F72" s="16"/>
      <c r="G72" s="126" t="str">
        <f>I54</f>
        <v>2023–24</v>
      </c>
      <c r="H72" s="127">
        <f t="shared" ref="H72:H76" si="2">DATE(YEAR(H71)+1,6,1)</f>
        <v>45444</v>
      </c>
      <c r="T72" s="17"/>
    </row>
    <row r="73" spans="1:30">
      <c r="C73" s="15" t="s">
        <v>220</v>
      </c>
      <c r="D73" s="16" t="s">
        <v>95</v>
      </c>
      <c r="E73" s="16"/>
      <c r="F73" s="16"/>
      <c r="G73" s="126" t="str">
        <f t="shared" ref="G73:G76" si="3">I55</f>
        <v>2024–25</v>
      </c>
      <c r="H73" s="127">
        <f t="shared" si="2"/>
        <v>45809</v>
      </c>
      <c r="T73" s="17"/>
    </row>
    <row r="74" spans="1:30">
      <c r="C74" s="15" t="s">
        <v>221</v>
      </c>
      <c r="D74" s="16" t="s">
        <v>95</v>
      </c>
      <c r="E74" s="16"/>
      <c r="F74" s="16"/>
      <c r="G74" s="126" t="str">
        <f t="shared" si="3"/>
        <v>2025–26</v>
      </c>
      <c r="H74" s="127">
        <f t="shared" si="2"/>
        <v>46174</v>
      </c>
      <c r="T74" s="17"/>
    </row>
    <row r="75" spans="1:30">
      <c r="C75" s="15" t="s">
        <v>222</v>
      </c>
      <c r="D75" s="16" t="s">
        <v>95</v>
      </c>
      <c r="E75" s="16"/>
      <c r="F75" s="16"/>
      <c r="G75" s="126" t="str">
        <f t="shared" si="3"/>
        <v>2026–27</v>
      </c>
      <c r="H75" s="127">
        <f t="shared" si="2"/>
        <v>46539</v>
      </c>
      <c r="T75" s="17"/>
    </row>
    <row r="76" spans="1:30">
      <c r="C76" s="15" t="s">
        <v>223</v>
      </c>
      <c r="D76" s="16" t="s">
        <v>95</v>
      </c>
      <c r="E76" s="16"/>
      <c r="F76" s="16"/>
      <c r="G76" s="126" t="str">
        <f t="shared" si="3"/>
        <v>2027–28</v>
      </c>
      <c r="H76" s="127">
        <f t="shared" si="2"/>
        <v>46905</v>
      </c>
      <c r="T76" s="17"/>
    </row>
    <row r="77" spans="1:30">
      <c r="C77" s="15"/>
      <c r="D77" s="16"/>
      <c r="E77" s="16"/>
      <c r="F77" s="16"/>
      <c r="G77" s="149"/>
      <c r="H77" s="150"/>
      <c r="T77" s="17"/>
    </row>
    <row r="78" spans="1:30" customFormat="1" ht="12.75">
      <c r="A78" s="37"/>
      <c r="B78" s="43" t="s">
        <v>157</v>
      </c>
      <c r="C78" s="37"/>
      <c r="D78" s="37"/>
      <c r="E78" s="37"/>
      <c r="F78" s="38"/>
      <c r="G78" s="38"/>
      <c r="H78" s="38"/>
      <c r="I78" s="38"/>
      <c r="J78" s="39"/>
      <c r="K78" s="40"/>
      <c r="L78" s="39"/>
      <c r="M78" s="40"/>
      <c r="N78" s="39"/>
      <c r="O78" s="39"/>
      <c r="P78" s="39"/>
      <c r="Q78" s="39"/>
      <c r="R78" s="39"/>
      <c r="S78" s="39"/>
      <c r="T78" s="39"/>
      <c r="U78" s="39"/>
      <c r="V78" s="40"/>
      <c r="W78" s="40"/>
      <c r="X78" s="41"/>
      <c r="Y78" s="41"/>
      <c r="Z78" s="41"/>
      <c r="AA78" s="41"/>
      <c r="AB78" s="41"/>
      <c r="AC78" s="42"/>
      <c r="AD78" s="42"/>
    </row>
    <row r="79" spans="1:30"/>
    <row r="80" spans="1:30">
      <c r="C80" s="13" t="str">
        <f>B78</f>
        <v>Rate of change</v>
      </c>
      <c r="D80" s="21" t="s">
        <v>33</v>
      </c>
      <c r="E80" s="21"/>
      <c r="F80" s="14"/>
      <c r="G80" s="14" t="s">
        <v>210</v>
      </c>
      <c r="H80" s="14"/>
    </row>
    <row r="81" spans="1:30">
      <c r="C81" s="15" t="s">
        <v>224</v>
      </c>
      <c r="D81" s="16" t="s">
        <v>39</v>
      </c>
      <c r="E81" s="16"/>
      <c r="F81" s="16"/>
      <c r="G81" s="125" t="s">
        <v>225</v>
      </c>
      <c r="H81" s="150"/>
    </row>
    <row r="82" spans="1:30">
      <c r="C82" s="15" t="s">
        <v>226</v>
      </c>
      <c r="D82" s="16" t="s">
        <v>39</v>
      </c>
      <c r="E82" s="16"/>
      <c r="F82" s="16"/>
      <c r="G82" s="126" t="s">
        <v>227</v>
      </c>
      <c r="H82" s="150"/>
    </row>
    <row r="83" spans="1:30"/>
    <row r="84" spans="1:30" customFormat="1" ht="12.75">
      <c r="A84" s="37"/>
      <c r="B84" s="43" t="s">
        <v>23</v>
      </c>
      <c r="C84" s="37"/>
      <c r="D84" s="37"/>
      <c r="E84" s="37"/>
      <c r="F84" s="38"/>
      <c r="G84" s="38"/>
      <c r="H84" s="38"/>
      <c r="I84" s="38"/>
      <c r="J84" s="39"/>
      <c r="K84" s="40"/>
      <c r="L84" s="39"/>
      <c r="M84" s="40"/>
      <c r="N84" s="39"/>
      <c r="O84" s="39"/>
      <c r="P84" s="39"/>
      <c r="Q84" s="39"/>
      <c r="R84" s="39"/>
      <c r="S84" s="39"/>
      <c r="T84" s="39"/>
      <c r="U84" s="39"/>
      <c r="V84" s="40"/>
      <c r="W84" s="40"/>
      <c r="X84" s="41"/>
      <c r="Y84" s="41"/>
      <c r="Z84" s="41"/>
      <c r="AA84" s="41"/>
      <c r="AB84" s="41"/>
      <c r="AC84" s="42"/>
      <c r="AD84" s="42"/>
    </row>
  </sheetData>
  <conditionalFormatting sqref="P14:P21">
    <cfRule type="expression" dxfId="15" priority="55" stopIfTrue="1">
      <formula>#REF!="Actual"</formula>
    </cfRule>
  </conditionalFormatting>
  <conditionalFormatting sqref="P61">
    <cfRule type="expression" dxfId="14" priority="2" stopIfTrue="1">
      <formula>#REF!="Actual"</formula>
    </cfRule>
  </conditionalFormatting>
  <conditionalFormatting sqref="P83">
    <cfRule type="expression" dxfId="13" priority="53" stopIfTrue="1">
      <formula>#REF!="Actual"</formula>
    </cfRule>
  </conditionalFormatting>
  <conditionalFormatting sqref="P14:Q21">
    <cfRule type="expression" dxfId="12" priority="56" stopIfTrue="1">
      <formula>#REF!="Actual"</formula>
    </cfRule>
  </conditionalFormatting>
  <conditionalFormatting sqref="Q61">
    <cfRule type="expression" dxfId="11" priority="1" stopIfTrue="1">
      <formula>#REF!="Actual"</formula>
    </cfRule>
  </conditionalFormatting>
  <conditionalFormatting sqref="Q83">
    <cfRule type="expression" dxfId="10" priority="50" stopIfTrue="1">
      <formula>#REF!="Actual"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V1">
    <cfRule type="cellIs" dxfId="7" priority="5" operator="equal">
      <formula>"Check"</formula>
    </cfRule>
    <cfRule type="cellIs" dxfId="6" priority="6" operator="equal">
      <formula>"Ok"</formula>
    </cfRule>
  </conditionalFormatting>
  <hyperlinks>
    <hyperlink ref="J1" location="Index!A1" display="Back to Index" xr:uid="{00000000-0004-0000-0800-000000000000}"/>
    <hyperlink ref="U1" location="'Check|List'!A1" display="Overall Check:" xr:uid="{00000000-0004-0000-0800-000001000000}"/>
  </hyperlinks>
  <pageMargins left="0.7" right="0.7" top="0.75" bottom="0.75" header="0.3" footer="0.3"/>
  <pageSetup paperSize="9" orientation="portrait" verticalDpi="4" r:id="rId1"/>
  <headerFooter>
    <oddFooter>&amp;C_x000D_&amp;1#&amp;"Century Gothic"&amp;7&amp;K7F7F7F BUSINESS USE ONLY</oddFooter>
  </headerFooter>
  <ignoredErrors>
    <ignoredError sqref="G11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1"/>
  </sheetPr>
  <dimension ref="A1:AD22"/>
  <sheetViews>
    <sheetView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6640625" style="7" customWidth="1"/>
    <col min="6" max="6" width="10.6640625" style="7" customWidth="1"/>
    <col min="7" max="7" width="15" style="16" customWidth="1"/>
    <col min="8" max="9" width="5.33203125" style="8" customWidth="1"/>
    <col min="10" max="20" width="10.6640625" style="8" customWidth="1"/>
    <col min="21" max="23" width="10.6640625" style="8" hidden="1" customWidth="1"/>
    <col min="24" max="38" width="10.5" style="8" hidden="1" customWidth="1"/>
    <col min="39" max="16384" width="10.5" style="8" hidden="1"/>
  </cols>
  <sheetData>
    <row r="1" spans="1:30" s="32" customFormat="1" ht="15.75">
      <c r="B1" s="29" t="str">
        <f>Index!$B$1</f>
        <v>AER opex model v1.9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123" t="s">
        <v>30</v>
      </c>
      <c r="S1" s="34" t="str">
        <f>IF(COUNTIF(G10:G16,"Check")=0,"Ok","Check")</f>
        <v>Ok</v>
      </c>
      <c r="U1" s="33"/>
      <c r="V1" s="34"/>
    </row>
    <row r="2" spans="1:30" s="32" customFormat="1" ht="12.75">
      <c r="B2" s="45" t="str">
        <f>Index!$C$15</f>
        <v>Check | List</v>
      </c>
      <c r="C2" s="45"/>
      <c r="D2" s="45"/>
      <c r="E2" s="45"/>
      <c r="F2" s="46"/>
      <c r="G2" s="46"/>
      <c r="H2" s="46"/>
      <c r="I2" s="46"/>
    </row>
    <row r="3" spans="1:30" s="49" customFormat="1" ht="12.75">
      <c r="A3" s="37"/>
      <c r="B3" s="43"/>
      <c r="C3" s="37"/>
      <c r="D3" s="37"/>
      <c r="E3" s="37"/>
      <c r="F3" s="38"/>
      <c r="G3" s="38"/>
      <c r="H3" s="38"/>
      <c r="I3" s="38"/>
      <c r="J3" s="39"/>
      <c r="K3" s="40"/>
      <c r="L3" s="39"/>
      <c r="M3" s="40"/>
      <c r="N3" s="39"/>
      <c r="O3" s="39"/>
      <c r="P3" s="39"/>
      <c r="Q3" s="39"/>
      <c r="R3" s="39"/>
      <c r="S3" s="39"/>
      <c r="T3" s="39"/>
      <c r="U3" s="39"/>
      <c r="V3" s="40"/>
      <c r="W3" s="40"/>
      <c r="X3" s="47"/>
      <c r="Y3" s="47"/>
      <c r="Z3" s="47"/>
      <c r="AA3" s="47"/>
      <c r="AB3" s="47"/>
      <c r="AC3" s="48"/>
      <c r="AD3" s="48"/>
    </row>
    <row r="4" spans="1:30" s="6" customFormat="1" ht="3" customHeight="1"/>
    <row r="5" spans="1:30" s="6" customFormat="1" ht="9" customHeight="1"/>
    <row r="6" spans="1:30" s="6" customFormat="1" ht="3" customHeight="1"/>
    <row r="7" spans="1:30" customFormat="1" ht="12.75">
      <c r="A7" s="37"/>
      <c r="B7" s="43" t="s">
        <v>228</v>
      </c>
      <c r="C7" s="37"/>
      <c r="D7" s="37"/>
      <c r="E7" s="37"/>
      <c r="F7" s="38"/>
      <c r="G7" s="38"/>
      <c r="H7" s="38"/>
      <c r="I7" s="38"/>
      <c r="J7" s="39"/>
      <c r="K7" s="40"/>
      <c r="L7" s="39"/>
      <c r="M7" s="40"/>
      <c r="N7" s="39"/>
      <c r="O7" s="39"/>
      <c r="P7" s="39"/>
      <c r="Q7" s="39"/>
      <c r="R7" s="39"/>
      <c r="S7" s="39"/>
      <c r="T7" s="39"/>
      <c r="U7" s="39"/>
      <c r="V7" s="40"/>
      <c r="W7" s="40"/>
      <c r="X7" s="41"/>
      <c r="Y7" s="41"/>
      <c r="Z7" s="41"/>
      <c r="AA7" s="41"/>
      <c r="AB7" s="41"/>
      <c r="AC7" s="42"/>
      <c r="AD7" s="42"/>
    </row>
    <row r="8" spans="1:30"/>
    <row r="9" spans="1:30">
      <c r="C9" s="13" t="s">
        <v>229</v>
      </c>
      <c r="D9" s="14" t="s">
        <v>33</v>
      </c>
      <c r="E9" s="14" t="s">
        <v>53</v>
      </c>
      <c r="F9" s="14"/>
      <c r="G9" s="14" t="s">
        <v>230</v>
      </c>
    </row>
    <row r="10" spans="1:30">
      <c r="C10" s="15" t="str">
        <f>Index!C7</f>
        <v>Input | General</v>
      </c>
      <c r="D10" s="28" t="str">
        <f>C10</f>
        <v>Input | General</v>
      </c>
      <c r="E10" s="16" t="s">
        <v>107</v>
      </c>
      <c r="F10" s="16"/>
      <c r="G10" s="18" t="str">
        <f>'Input|General'!S1</f>
        <v>OK</v>
      </c>
      <c r="T10" s="17"/>
    </row>
    <row r="11" spans="1:30">
      <c r="C11" s="15" t="str">
        <f>Index!C8</f>
        <v>Input | Inflation</v>
      </c>
      <c r="D11" s="115" t="str">
        <f>C11</f>
        <v>Input | Inflation</v>
      </c>
      <c r="E11" s="16" t="s">
        <v>107</v>
      </c>
      <c r="F11" s="16"/>
      <c r="G11" s="18" t="str">
        <f>'Input|Inflation'!T1</f>
        <v>OK</v>
      </c>
      <c r="T11" s="17"/>
    </row>
    <row r="12" spans="1:30">
      <c r="C12" s="15" t="str">
        <f>Index!C9</f>
        <v>Input | Reported opex</v>
      </c>
      <c r="D12" s="28" t="str">
        <f t="shared" ref="D12:D16" si="0">C12</f>
        <v>Input | Reported opex</v>
      </c>
      <c r="E12" s="16" t="s">
        <v>107</v>
      </c>
      <c r="G12" s="18" t="str">
        <f>'Input|Reported opex'!S1</f>
        <v>OK</v>
      </c>
      <c r="H12" s="16"/>
      <c r="T12" s="17"/>
    </row>
    <row r="13" spans="1:30">
      <c r="C13" s="15" t="str">
        <f>Index!C10</f>
        <v>Input | Rate of change</v>
      </c>
      <c r="D13" s="28" t="str">
        <f t="shared" si="0"/>
        <v>Input | Rate of change</v>
      </c>
      <c r="E13" s="16" t="s">
        <v>107</v>
      </c>
      <c r="F13" s="16"/>
      <c r="G13" s="18" t="str">
        <f>'Input|Rate of change'!T1</f>
        <v>Ok</v>
      </c>
      <c r="H13" s="16"/>
      <c r="T13" s="17"/>
    </row>
    <row r="14" spans="1:30">
      <c r="C14" s="15" t="str">
        <f>Index!C11</f>
        <v>Input | Step changes</v>
      </c>
      <c r="D14" s="28" t="str">
        <f t="shared" si="0"/>
        <v>Input | Step changes</v>
      </c>
      <c r="E14" s="16" t="s">
        <v>107</v>
      </c>
      <c r="F14" s="16"/>
      <c r="G14" s="18" t="str">
        <f>'Input|Step changes'!S1</f>
        <v>OK</v>
      </c>
      <c r="H14" s="16"/>
      <c r="T14" s="17"/>
    </row>
    <row r="15" spans="1:30">
      <c r="C15" s="15" t="str">
        <f>Index!C12</f>
        <v>Calc | Opex Forecast</v>
      </c>
      <c r="D15" s="28" t="str">
        <f t="shared" si="0"/>
        <v>Calc | Opex Forecast</v>
      </c>
      <c r="E15" s="16" t="s">
        <v>107</v>
      </c>
      <c r="F15" s="16"/>
      <c r="G15" s="18" t="str">
        <f>'Calc|Opex forecast'!S1</f>
        <v>n/a</v>
      </c>
      <c r="H15" s="16"/>
      <c r="T15" s="17"/>
    </row>
    <row r="16" spans="1:30">
      <c r="C16" s="15" t="str">
        <f>Index!C13</f>
        <v>Output | Models</v>
      </c>
      <c r="D16" s="28" t="str">
        <f t="shared" si="0"/>
        <v>Output | Models</v>
      </c>
      <c r="E16" s="16" t="s">
        <v>107</v>
      </c>
      <c r="F16" s="16"/>
      <c r="G16" s="18" t="str">
        <f>'Output|Models'!T1</f>
        <v>n/a</v>
      </c>
      <c r="H16" s="16"/>
      <c r="T16" s="17"/>
    </row>
    <row r="17" spans="1:30">
      <c r="C17" s="15"/>
    </row>
    <row r="18" spans="1:30" customFormat="1" ht="12.75">
      <c r="A18" s="37"/>
      <c r="B18" s="43" t="s">
        <v>23</v>
      </c>
      <c r="C18" s="37"/>
      <c r="D18" s="37"/>
      <c r="E18" s="37"/>
      <c r="F18" s="38"/>
      <c r="G18" s="38"/>
      <c r="H18" s="38"/>
      <c r="I18" s="38"/>
      <c r="J18" s="39"/>
      <c r="K18" s="40"/>
      <c r="L18" s="39"/>
      <c r="M18" s="40"/>
      <c r="N18" s="39"/>
      <c r="O18" s="39"/>
      <c r="P18" s="39"/>
      <c r="Q18" s="39"/>
      <c r="R18" s="39"/>
      <c r="S18" s="39"/>
      <c r="T18" s="39"/>
      <c r="U18" s="39"/>
      <c r="V18" s="40"/>
      <c r="W18" s="40"/>
      <c r="X18" s="41"/>
      <c r="Y18" s="41"/>
      <c r="Z18" s="41"/>
      <c r="AA18" s="41"/>
      <c r="AB18" s="41"/>
      <c r="AC18" s="42"/>
      <c r="AD18" s="42"/>
    </row>
    <row r="19" spans="1:30" hidden="1">
      <c r="C19" s="15"/>
    </row>
    <row r="20" spans="1:30" hidden="1">
      <c r="C20" s="15"/>
    </row>
    <row r="21" spans="1:30" hidden="1">
      <c r="C21" s="15"/>
    </row>
    <row r="22" spans="1:30" hidden="1">
      <c r="C22" s="15"/>
    </row>
  </sheetData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S1">
    <cfRule type="cellIs" dxfId="3" priority="1" operator="equal">
      <formula>"Check"</formula>
    </cfRule>
    <cfRule type="cellIs" dxfId="2" priority="2" operator="equal">
      <formula>"Ok"</formula>
    </cfRule>
  </conditionalFormatting>
  <conditionalFormatting sqref="V1">
    <cfRule type="cellIs" dxfId="1" priority="3" operator="equal">
      <formula>"Check"</formula>
    </cfRule>
    <cfRule type="cellIs" dxfId="0" priority="4" operator="equal">
      <formula>"Ok"</formula>
    </cfRule>
  </conditionalFormatting>
  <hyperlinks>
    <hyperlink ref="J1" location="Index!A1" display="Back to Index" xr:uid="{00000000-0004-0000-0900-000000000000}"/>
    <hyperlink ref="D10" location="'Input|General'!A1" display="'Input|General'!A1" xr:uid="{00000000-0004-0000-0900-000001000000}"/>
    <hyperlink ref="D12" location="'Input|Reported opex'!A1" display="'Input|Reported opex'!A1" xr:uid="{00000000-0004-0000-0900-000002000000}"/>
    <hyperlink ref="D13" location="'Input|Rate of change'!A1" display="'Input|Rate of change'!A1" xr:uid="{00000000-0004-0000-0900-000003000000}"/>
    <hyperlink ref="D15" location="'Calc|Opex forecast'!A1" display="'Calc|Opex forecast'!A1" xr:uid="{00000000-0004-0000-0900-000004000000}"/>
    <hyperlink ref="D11" location="'Input|Inflation'!A1" display="'Input|Inflation'!A1" xr:uid="{00000000-0004-0000-0900-000005000000}"/>
    <hyperlink ref="R1" location="'Check|List'!A1" display="Overall Check:" xr:uid="{00000000-0004-0000-0900-000006000000}"/>
    <hyperlink ref="D14" location="'Input|Step changes'!A1" display="'Input|Step changes'!A1" xr:uid="{00000000-0004-0000-0900-000007000000}"/>
    <hyperlink ref="D16" location="'Output|Models'!A1" display="'Output|Models'!A1" xr:uid="{00000000-0004-0000-0900-000008000000}"/>
  </hyperlinks>
  <pageMargins left="0.7" right="0.7" top="0.75" bottom="0.75" header="0.3" footer="0.3"/>
  <pageSetup paperSize="9" orientation="portrait" verticalDpi="4" r:id="rId1"/>
  <headerFooter>
    <oddFooter>&amp;C_x000D_&amp;1#&amp;"Century Gothic"&amp;7&amp;K7F7F7F BUSINESS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18C903532EB34B83AD0B9FCE85DA5A" ma:contentTypeVersion="4" ma:contentTypeDescription="Create a new document." ma:contentTypeScope="" ma:versionID="f7dacd8caac23ece0b0741b83774d278">
  <xsd:schema xmlns:xsd="http://www.w3.org/2001/XMLSchema" xmlns:xs="http://www.w3.org/2001/XMLSchema" xmlns:p="http://schemas.microsoft.com/office/2006/metadata/properties" xmlns:ns2="2d72c0e6-4d35-4430-bdbc-b1366eef4b28" targetNamespace="http://schemas.microsoft.com/office/2006/metadata/properties" ma:root="true" ma:fieldsID="64107c3251267e6b8386030d126ee0ee" ns2:_="">
    <xsd:import namespace="2d72c0e6-4d35-4430-bdbc-b1366eef4b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72c0e6-4d35-4430-bdbc-b1366eef4b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6307CE-D67A-4B67-9680-7B31C2C89D02}"/>
</file>

<file path=customXml/itemProps2.xml><?xml version="1.0" encoding="utf-8"?>
<ds:datastoreItem xmlns:ds="http://schemas.openxmlformats.org/officeDocument/2006/customXml" ds:itemID="{77FBD211-9AD5-4B2D-B67C-DA62FD62BE1D}"/>
</file>

<file path=customXml/itemProps3.xml><?xml version="1.0" encoding="utf-8"?>
<ds:datastoreItem xmlns:ds="http://schemas.openxmlformats.org/officeDocument/2006/customXml" ds:itemID="{92B31881-13C9-4CBC-91B2-AB3620CE2CA7}"/>
</file>

<file path=docMetadata/LabelInfo.xml><?xml version="1.0" encoding="utf-8"?>
<clbl:labelList xmlns:clbl="http://schemas.microsoft.com/office/2020/mipLabelMetadata">
  <clbl:label id="{f59ee16a-f4d8-42fc-8e4b-5abdff9fc8a9}" enabled="1" method="Standard" siteId="{a394e41c-cf8d-458e-ac1b-ddae1aa15629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Michael Larkin</cp:lastModifiedBy>
  <cp:revision/>
  <dcterms:created xsi:type="dcterms:W3CDTF">2020-09-28T01:38:08Z</dcterms:created>
  <dcterms:modified xsi:type="dcterms:W3CDTF">2024-09-26T02:50:44Z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0x010100B118C903532EB34B83AD0B9FCE85DA5A</vt:lpwstr>
  </property>
</Properties>
</file>