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GAAR - Reopener\6.0 Final Proposal\Models\"/>
    </mc:Choice>
  </mc:AlternateContent>
  <xr:revisionPtr revIDLastSave="0" documentId="13_ncr:1_{559CFC13-4BE2-4E50-9294-EC8D66997233}" xr6:coauthVersionLast="47" xr6:coauthVersionMax="47" xr10:uidLastSave="{00000000-0000-0000-0000-000000000000}"/>
  <bookViews>
    <workbookView xWindow="-110" yWindow="-110" windowWidth="38620" windowHeight="21220" tabRatio="691" firstSheet="5" activeTab="8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#REF!</definedName>
    <definedName name="NSP">#REF!</definedName>
    <definedName name="number">#REF!</definedName>
    <definedName name="percent" localSheetId="8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3" l="1"/>
  <c r="L8" i="13"/>
  <c r="L13" i="13" l="1"/>
  <c r="H13" i="13"/>
  <c r="I13" i="13"/>
  <c r="J13" i="13"/>
  <c r="K13" i="13"/>
  <c r="H8" i="4"/>
  <c r="D8" i="4"/>
  <c r="G8" i="4"/>
  <c r="F8" i="4"/>
  <c r="E8" i="4"/>
  <c r="J44" i="16"/>
  <c r="K46" i="16"/>
  <c r="L46" i="16"/>
  <c r="H47" i="16"/>
  <c r="H12" i="16"/>
  <c r="I12" i="16"/>
  <c r="J12" i="16"/>
  <c r="K12" i="16"/>
  <c r="H23" i="16"/>
  <c r="H45" i="16"/>
  <c r="I23" i="16"/>
  <c r="I45" i="16"/>
  <c r="J23" i="16"/>
  <c r="J45" i="16"/>
  <c r="K23" i="16"/>
  <c r="K45" i="16"/>
  <c r="L12" i="16"/>
  <c r="L45" i="16"/>
  <c r="D37" i="16"/>
  <c r="D36" i="16"/>
  <c r="D35" i="16"/>
  <c r="D31" i="16"/>
  <c r="D30" i="16"/>
  <c r="D21" i="16"/>
  <c r="D20" i="16"/>
  <c r="D10" i="16"/>
  <c r="D9" i="16"/>
  <c r="B1" i="2"/>
  <c r="B1" i="16"/>
  <c r="L41" i="16"/>
  <c r="K41" i="16"/>
  <c r="J27" i="16"/>
  <c r="I41" i="16"/>
  <c r="H27" i="16"/>
  <c r="L23" i="16"/>
  <c r="C15" i="16"/>
  <c r="A1" i="14"/>
  <c r="B1" i="15"/>
  <c r="L19" i="13"/>
  <c r="A6" i="14"/>
  <c r="A7" i="14"/>
  <c r="A8" i="14"/>
  <c r="A9" i="14"/>
  <c r="A10" i="14"/>
  <c r="A11" i="14"/>
  <c r="A12" i="14"/>
  <c r="D18" i="2"/>
  <c r="E18" i="2"/>
  <c r="F18" i="2"/>
  <c r="G18" i="2"/>
  <c r="H18" i="2"/>
  <c r="G7" i="13"/>
  <c r="G10" i="13" s="1"/>
  <c r="H10" i="13" s="1"/>
  <c r="I10" i="13" s="1"/>
  <c r="J10" i="13" s="1"/>
  <c r="K10" i="13" s="1"/>
  <c r="F7" i="13"/>
  <c r="F10" i="3" s="1"/>
  <c r="N7" i="13"/>
  <c r="O7" i="13"/>
  <c r="O19" i="13" s="1"/>
  <c r="P7" i="13"/>
  <c r="Q7" i="13"/>
  <c r="Q19" i="13" s="1"/>
  <c r="M7" i="13"/>
  <c r="H7" i="13"/>
  <c r="I7" i="13"/>
  <c r="J7" i="13"/>
  <c r="J19" i="13" s="1"/>
  <c r="K7" i="13"/>
  <c r="D18" i="4"/>
  <c r="E7" i="4"/>
  <c r="F7" i="4"/>
  <c r="G7" i="4"/>
  <c r="H7" i="4"/>
  <c r="D7" i="4"/>
  <c r="I6" i="3"/>
  <c r="J6" i="3"/>
  <c r="K6" i="3"/>
  <c r="K16" i="3" s="1"/>
  <c r="L6" i="3"/>
  <c r="L16" i="3" s="1"/>
  <c r="H6" i="3"/>
  <c r="H16" i="3" s="1"/>
  <c r="M19" i="13"/>
  <c r="N19" i="13"/>
  <c r="G19" i="13"/>
  <c r="P19" i="13"/>
  <c r="H19" i="13"/>
  <c r="I19" i="13"/>
  <c r="K19" i="13"/>
  <c r="I16" i="3"/>
  <c r="J16" i="3"/>
  <c r="C15" i="13"/>
  <c r="B1" i="10"/>
  <c r="D41" i="4"/>
  <c r="J6" i="10"/>
  <c r="F8" i="10" s="1"/>
  <c r="E41" i="4"/>
  <c r="K6" i="10" s="1"/>
  <c r="F41" i="4"/>
  <c r="L6" i="10" s="1"/>
  <c r="G41" i="4"/>
  <c r="M6" i="10"/>
  <c r="H41" i="4"/>
  <c r="N6" i="10" s="1"/>
  <c r="H24" i="4"/>
  <c r="G24" i="4"/>
  <c r="F24" i="4"/>
  <c r="E24" i="4"/>
  <c r="D24" i="4"/>
  <c r="H27" i="3"/>
  <c r="I27" i="3"/>
  <c r="J27" i="3"/>
  <c r="K27" i="3"/>
  <c r="L27" i="3"/>
  <c r="B1" i="5"/>
  <c r="B1" i="3"/>
  <c r="B1" i="13"/>
  <c r="B1" i="4"/>
  <c r="C45" i="4" l="1"/>
  <c r="C43" i="4"/>
  <c r="C47" i="4"/>
  <c r="F8" i="3"/>
  <c r="F12" i="3"/>
  <c r="F9" i="3"/>
  <c r="C10" i="13"/>
  <c r="L12" i="3"/>
  <c r="N45" i="16"/>
  <c r="E12" i="15" s="1"/>
  <c r="F12" i="15" s="1"/>
  <c r="H12" i="15" s="1"/>
  <c r="K43" i="16"/>
  <c r="L27" i="16"/>
  <c r="I12" i="3"/>
  <c r="H43" i="16"/>
  <c r="L47" i="16"/>
  <c r="K27" i="16"/>
  <c r="H41" i="16"/>
  <c r="J12" i="3"/>
  <c r="H12" i="3"/>
  <c r="J41" i="16"/>
  <c r="K47" i="16"/>
  <c r="J46" i="16"/>
  <c r="J43" i="16"/>
  <c r="I46" i="16"/>
  <c r="K12" i="3"/>
  <c r="I43" i="16"/>
  <c r="N43" i="16" s="1"/>
  <c r="E10" i="15" s="1"/>
  <c r="F10" i="15" s="1"/>
  <c r="H10" i="15" s="1"/>
  <c r="L43" i="16"/>
  <c r="I27" i="16"/>
  <c r="K22" i="13"/>
  <c r="H9" i="4" s="1"/>
  <c r="G19" i="4" s="1"/>
  <c r="J22" i="13"/>
  <c r="G9" i="4" s="1"/>
  <c r="I22" i="13"/>
  <c r="F9" i="4" s="1"/>
  <c r="L44" i="16"/>
  <c r="H22" i="13"/>
  <c r="E9" i="4" s="1"/>
  <c r="J47" i="16"/>
  <c r="N47" i="16" s="1"/>
  <c r="E14" i="15" s="1"/>
  <c r="F14" i="15" s="1"/>
  <c r="H14" i="15" s="1"/>
  <c r="K44" i="16"/>
  <c r="I47" i="16"/>
  <c r="H46" i="16"/>
  <c r="I44" i="16"/>
  <c r="H44" i="16"/>
  <c r="N44" i="16" s="1"/>
  <c r="E11" i="15" s="1"/>
  <c r="F11" i="15" s="1"/>
  <c r="H11" i="15" s="1"/>
  <c r="L10" i="13"/>
  <c r="G13" i="13"/>
  <c r="N46" i="16" l="1"/>
  <c r="E13" i="15" s="1"/>
  <c r="F13" i="15" s="1"/>
  <c r="H13" i="15" s="1"/>
  <c r="H15" i="15" s="1"/>
  <c r="G17" i="15" s="1"/>
  <c r="F19" i="4"/>
  <c r="E19" i="4" s="1"/>
  <c r="D19" i="4" s="1"/>
  <c r="D21" i="4" s="1"/>
  <c r="G22" i="13"/>
  <c r="D9" i="4" s="1"/>
  <c r="G15" i="13"/>
  <c r="E17" i="15" l="1"/>
  <c r="H15" i="13"/>
  <c r="D10" i="4"/>
  <c r="E10" i="4" l="1"/>
  <c r="I15" i="13"/>
  <c r="J15" i="13" l="1"/>
  <c r="F10" i="4"/>
  <c r="G10" i="4" l="1"/>
  <c r="K15" i="13"/>
  <c r="H10" i="4" l="1"/>
  <c r="L15" i="13"/>
  <c r="H30" i="3" l="1"/>
  <c r="M10" i="13"/>
  <c r="N9" i="13"/>
  <c r="O9" i="13" s="1"/>
  <c r="P9" i="13" s="1"/>
  <c r="Q9" i="13" s="1"/>
  <c r="I30" i="3" l="1"/>
  <c r="N10" i="13"/>
  <c r="J30" i="3" l="1"/>
  <c r="O10" i="13"/>
  <c r="K30" i="3" l="1"/>
  <c r="P10" i="13"/>
  <c r="Q10" i="13" l="1"/>
  <c r="L30" i="3"/>
  <c r="L19" i="3" l="1"/>
  <c r="L20" i="13" l="1"/>
  <c r="L22" i="13" s="1"/>
  <c r="M14" i="13" l="1" a="1"/>
  <c r="M14" i="13" s="1"/>
  <c r="N14" i="13" l="1"/>
  <c r="O14" i="13" s="1"/>
  <c r="P14" i="13" s="1"/>
  <c r="Q14" i="13" s="1"/>
  <c r="M15" i="13"/>
  <c r="H31" i="3"/>
  <c r="D26" i="4" s="1"/>
  <c r="N15" i="13" l="1"/>
  <c r="I31" i="3"/>
  <c r="E26" i="4" s="1"/>
  <c r="J31" i="3" l="1"/>
  <c r="F26" i="4" s="1"/>
  <c r="O15" i="13"/>
  <c r="P15" i="13" l="1"/>
  <c r="K31" i="3"/>
  <c r="G26" i="4" s="1"/>
  <c r="Q15" i="13" l="1"/>
  <c r="L31" i="3"/>
  <c r="H26" i="4" s="1"/>
  <c r="O21" i="13" l="1" a="1"/>
  <c r="O21" i="13" s="1"/>
  <c r="O22" i="13" s="1"/>
  <c r="F25" i="4" s="1"/>
  <c r="P21" i="13" a="1"/>
  <c r="P21" i="13" s="1"/>
  <c r="P22" i="13" s="1"/>
  <c r="G25" i="4" s="1"/>
  <c r="Q21" i="13" a="1"/>
  <c r="Q21" i="13" s="1"/>
  <c r="Q22" i="13" s="1"/>
  <c r="H25" i="4" s="1"/>
  <c r="N21" i="13" a="1"/>
  <c r="N21" i="13" s="1"/>
  <c r="N22" i="13" s="1"/>
  <c r="E25" i="4" s="1"/>
  <c r="M21" i="13" l="1" a="1"/>
  <c r="M21" i="13" s="1"/>
  <c r="D42" i="4" s="1"/>
  <c r="E42" i="4" s="1"/>
  <c r="F42" i="4" s="1"/>
  <c r="G42" i="4" s="1"/>
  <c r="H42" i="4" s="1"/>
  <c r="M22" i="13" l="1"/>
  <c r="D25" i="4" s="1"/>
  <c r="D27" i="4" s="1"/>
  <c r="D28" i="4" s="1"/>
  <c r="E27" i="4" l="1"/>
  <c r="E28" i="4" s="1"/>
  <c r="G27" i="4"/>
  <c r="G28" i="4" s="1"/>
  <c r="H27" i="4"/>
  <c r="H28" i="4" s="1"/>
  <c r="F27" i="4"/>
  <c r="F28" i="4" s="1"/>
  <c r="K20" i="3" l="1"/>
  <c r="H20" i="3" l="1"/>
  <c r="J20" i="3"/>
  <c r="I20" i="3"/>
  <c r="I19" i="3"/>
  <c r="K19" i="3"/>
  <c r="H19" i="3"/>
  <c r="K18" i="3"/>
  <c r="J19" i="3"/>
  <c r="K23" i="3" l="1"/>
  <c r="G11" i="4" s="1"/>
  <c r="G12" i="4" s="1"/>
  <c r="H16" i="4" s="1"/>
  <c r="G20" i="4" l="1"/>
  <c r="J18" i="3" l="1"/>
  <c r="J23" i="3" s="1"/>
  <c r="F11" i="4" s="1"/>
  <c r="F12" i="4" s="1"/>
  <c r="H15" i="4" l="1"/>
  <c r="G15" i="4"/>
  <c r="F20" i="4"/>
  <c r="L18" i="3" l="1"/>
  <c r="L23" i="3" s="1"/>
  <c r="H11" i="4" s="1"/>
  <c r="H12" i="4" s="1"/>
  <c r="H20" i="4" s="1"/>
  <c r="H18" i="3" l="1"/>
  <c r="H23" i="3" s="1"/>
  <c r="D11" i="4" s="1"/>
  <c r="D12" i="4" s="1"/>
  <c r="I18" i="3"/>
  <c r="I23" i="3" s="1"/>
  <c r="E11" i="4" s="1"/>
  <c r="E12" i="4" s="1"/>
  <c r="F14" i="4" l="1"/>
  <c r="H14" i="4"/>
  <c r="G14" i="4"/>
  <c r="E20" i="4"/>
  <c r="G13" i="4"/>
  <c r="G18" i="4" s="1"/>
  <c r="G21" i="4" s="1"/>
  <c r="H13" i="4"/>
  <c r="E13" i="4"/>
  <c r="E18" i="4" s="1"/>
  <c r="E21" i="4" s="1"/>
  <c r="D20" i="4"/>
  <c r="D31" i="4" s="1"/>
  <c r="F13" i="4"/>
  <c r="F18" i="4" s="1"/>
  <c r="F21" i="4" s="1"/>
  <c r="H18" i="4" l="1"/>
  <c r="H21" i="4" s="1"/>
  <c r="D35" i="4" s="1"/>
  <c r="D34" i="4"/>
  <c r="D33" i="4"/>
  <c r="D36" i="4" l="1"/>
  <c r="D37" i="4" s="1"/>
  <c r="D43" i="4" s="1"/>
  <c r="G44" i="4"/>
  <c r="E44" i="4"/>
  <c r="D44" i="4"/>
  <c r="H44" i="4"/>
  <c r="F44" i="4"/>
  <c r="E43" i="4" l="1"/>
  <c r="D45" i="4"/>
  <c r="J8" i="10" l="1"/>
  <c r="E45" i="4"/>
  <c r="K8" i="10" s="1"/>
  <c r="F43" i="4"/>
  <c r="F45" i="4" l="1"/>
  <c r="L8" i="10" s="1"/>
  <c r="G43" i="4"/>
  <c r="G45" i="4" l="1"/>
  <c r="H43" i="4"/>
  <c r="H45" i="4" s="1"/>
  <c r="N8" i="10" s="1"/>
  <c r="M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<sst xmlns="http://schemas.openxmlformats.org/spreadsheetml/2006/main" count="372" uniqueCount="199">
  <si>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</si>
  <si>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</si>
  <si>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</si>
  <si>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</si>
  <si>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</si>
  <si>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</si>
  <si>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</si>
  <si>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</si>
  <si>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</si>
  <si>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</si>
  <si>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</si>
  <si>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</si>
  <si>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</si>
  <si>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</si>
  <si>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</si>
  <si>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</si>
  <si>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</si>
  <si>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</si>
  <si>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</si>
  <si>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</si>
  <si>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</si>
  <si>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</si>
  <si>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</si>
  <si>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</si>
  <si>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</si>
  <si>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</si>
  <si>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</si>
  <si>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</si>
  <si>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</si>
  <si>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</si>
  <si>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</si>
  <si>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</si>
  <si>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</si>
  <si>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</si>
  <si>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</si>
  <si>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</si>
  <si>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</si>
  <si>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</si>
  <si>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</si>
  <si>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</si>
  <si>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</si>
  <si>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</si>
  <si>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</si>
  <si>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</si>
  <si>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</si>
  <si>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</si>
  <si>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</si>
  <si>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</si>
  <si>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</si>
  <si>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</si>
  <si>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</si>
  <si>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</si>
  <si>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</si>
  <si>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</si>
  <si>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</si>
  <si>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</si>
  <si>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</si>
  <si>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</si>
  <si>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</si>
  <si>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</si>
  <si>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</si>
  <si>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</si>
  <si>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</si>
  <si>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</si>
  <si>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</si>
  <si>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</si>
  <si>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</si>
  <si>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</si>
  <si>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</si>
  <si>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</si>
  <si>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</si>
  <si>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</si>
  <si>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</si>
  <si>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</si>
  <si>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</si>
  <si>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</si>
  <si>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</si>
  <si>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</si>
  <si>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</si>
  <si>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</si>
  <si>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</si>
  <si>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</si>
  <si>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</si>
  <si>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</si>
  <si>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</si>
  <si>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</si>
  <si>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</si>
  <si>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</si>
  <si>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</si>
  <si>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</si>
  <si>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</si>
  <si>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</si>
  <si>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</si>
  <si>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</si>
  <si>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</si>
  <si>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</si>
  <si>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</si>
  <si>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</si>
  <si>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</si>
  <si>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</si>
  <si>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</si>
  <si>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</si>
  <si>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</si>
  <si>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</si>
  <si>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</si>
  <si>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</si>
  <si>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</si>
  <si>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</si>
  <si>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</si>
  <si>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</si>
  <si>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</si>
  <si>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</si>
  <si>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</si>
  <si>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</si>
  <si>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</si>
  <si>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</si>
  <si>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</si>
  <si>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</si>
  <si>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</si>
  <si>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</si>
  <si>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</si>
  <si>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</si>
  <si>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</si>
  <si>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</si>
  <si>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</si>
  <si>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</si>
  <si>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</si>
  <si>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</si>
  <si>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</si>
  <si>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</si>
  <si>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</si>
  <si>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</si>
  <si>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</si>
  <si>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</si>
  <si>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</si>
  <si>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</si>
  <si>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</si>
  <si>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</si>
  <si>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</si>
  <si>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</si>
  <si>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</si>
  <si>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</si>
  <si>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</si>
  <si>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</si>
  <si>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</si>
  <si>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</si>
  <si>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</si>
  <si>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</si>
  <si>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</si>
  <si>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</si>
  <si>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</si>
  <si>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</si>
  <si>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</si>
  <si>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</si>
  <si>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</si>
  <si>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</si>
  <si>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</si>
  <si>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</si>
  <si>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</si>
  <si>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</si>
  <si>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</si>
  <si>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</si>
  <si>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</si>
  <si>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</si>
  <si>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</si>
  <si>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</si>
  <si>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</si>
  <si>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</si>
  <si>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</si>
  <si>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</si>
  <si>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</si>
  <si>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</si>
  <si>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</si>
  <si>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</si>
  <si>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</si>
  <si>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</si>
  <si>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</si>
  <si>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</si>
  <si>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</si>
  <si>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</si>
  <si>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</si>
  <si>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</si>
  <si>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</si>
  <si>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</si>
  <si>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</si>
  <si>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</si>
  <si>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</si>
  <si>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</si>
  <si>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</si>
  <si>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</si>
  <si>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</si>
  <si>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</si>
  <si>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AST gas</t>
  </si>
  <si>
    <t>n/a</t>
  </si>
  <si>
    <t>outages per 1000 customers</t>
  </si>
  <si>
    <t>minutes per 1000 customers</t>
  </si>
  <si>
    <t>leaks per km of main</t>
  </si>
  <si>
    <t>events per 1000 customers</t>
  </si>
  <si>
    <t>leaks per 1000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</si>
</sst>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10" fontId="101" fillId="53" borderId="0" xfId="268" applyNumberFormat="1" applyFont="1" applyFill="1" applyBorder="1" applyAlignment="1" applyProtection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2" fontId="24" fillId="58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43" fontId="17" fillId="0" borderId="0" xfId="3" applyNumberFormat="1" applyFont="1"/>
    <xf numFmtId="43" fontId="91" fillId="3" borderId="0" xfId="0" applyNumberFormat="1" applyFont="1" applyFill="1" applyAlignment="1">
      <alignment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%20-%20Reopener\6.0%20Final%20Proposal\Models\ASG%20-%20GAAR%20Revision%202024-28%20RFM%20-%20Sep%202024%20-%20PUBLIC.xlsm" TargetMode="External"/><Relationship Id="rId1" Type="http://schemas.openxmlformats.org/officeDocument/2006/relationships/externalLinkPath" Target="ASG%20-%20GAAR%20Revision%202024-28%20RFM%20-%20Sep%202024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3-27%20GAAR%20-%20Reopener\6.0%20Final%20Proposal\Models\ASG%20-%20GAAR%20Revision%202024-28%20PTRM%20-%20Sep%202024%20-%20PUBLIC.xlsm" TargetMode="External"/><Relationship Id="rId1" Type="http://schemas.openxmlformats.org/officeDocument/2006/relationships/externalLinkPath" Target="ASG%20-%20GAAR%20Revision%202024-28%20PTRM%20-%20Sep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0">
          <cell r="H110">
            <v>0.29599793740330488</v>
          </cell>
        </row>
        <row r="111">
          <cell r="H111">
            <v>102.08052319280127</v>
          </cell>
          <cell r="I111">
            <v>102.5269158491504</v>
          </cell>
          <cell r="J111">
            <v>98.741262120537627</v>
          </cell>
          <cell r="K111">
            <v>113.27335632710914</v>
          </cell>
          <cell r="L111">
            <v>103.07738249956913</v>
          </cell>
        </row>
        <row r="165">
          <cell r="H165">
            <v>0.59514046999999992</v>
          </cell>
          <cell r="I165">
            <v>0</v>
          </cell>
          <cell r="J165">
            <v>5.9999999999999995E-4</v>
          </cell>
          <cell r="K165">
            <v>1.2722320000000001E-2</v>
          </cell>
          <cell r="L165">
            <v>0</v>
          </cell>
        </row>
        <row r="219"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13.515699140000002</v>
          </cell>
        </row>
        <row r="282">
          <cell r="M282">
            <v>2.1043771043770976E-2</v>
          </cell>
        </row>
        <row r="288">
          <cell r="M288">
            <v>-3.9451202534833696E-3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f" refersTo="='PTRM input'!$G$377"/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>
        <row r="19"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</row>
      </sheetData>
      <sheetData sheetId="2"/>
      <sheetData sheetId="3"/>
      <sheetData sheetId="4"/>
      <sheetData sheetId="5"/>
      <sheetData sheetId="6">
        <row r="19">
          <cell r="G19" t="str">
            <v>Transmission pipelines - post 1998</v>
          </cell>
          <cell r="J19">
            <v>0</v>
          </cell>
        </row>
        <row r="377">
          <cell r="G377">
            <v>2.9193048507912156E-2</v>
          </cell>
        </row>
      </sheetData>
      <sheetData sheetId="7">
        <row r="19">
          <cell r="G19">
            <v>2.579116613214083E-2</v>
          </cell>
          <cell r="H19">
            <v>2.6597273259389584E-2</v>
          </cell>
          <cell r="I19">
            <v>2.7403380386638476E-2</v>
          </cell>
          <cell r="J19">
            <v>2.820948751388723E-2</v>
          </cell>
          <cell r="K19">
            <v>2.9015594641136122E-2</v>
          </cell>
        </row>
      </sheetData>
      <sheetData sheetId="8">
        <row r="19">
          <cell r="G19">
            <v>1.664375649283242</v>
          </cell>
          <cell r="H19">
            <v>1.6651014400622344</v>
          </cell>
          <cell r="I19">
            <v>1.6669099753679841</v>
          </cell>
          <cell r="J19">
            <v>1.6692316012469786</v>
          </cell>
          <cell r="K19">
            <v>1.6060614548518355</v>
          </cell>
        </row>
      </sheetData>
      <sheetData sheetId="9">
        <row r="19">
          <cell r="G19">
            <v>1120.9009653156863</v>
          </cell>
          <cell r="H19">
            <v>1150.0605942710965</v>
          </cell>
          <cell r="I19">
            <v>1178.419350016108</v>
          </cell>
          <cell r="J19">
            <v>1180.5903852794354</v>
          </cell>
          <cell r="K19">
            <v>1168.7855447409265</v>
          </cell>
        </row>
      </sheetData>
      <sheetData sheetId="10">
        <row r="19">
          <cell r="G19">
            <v>5944.5425924986857</v>
          </cell>
          <cell r="H19">
            <v>5951.9103498845107</v>
          </cell>
          <cell r="I19">
            <v>6107.1692861294923</v>
          </cell>
          <cell r="J19">
            <v>6061.7695512777154</v>
          </cell>
          <cell r="K19">
            <v>5997.9614171870344</v>
          </cell>
        </row>
      </sheetData>
      <sheetData sheetId="11"/>
      <sheetData sheetId="12">
        <row r="19">
          <cell r="G19">
            <v>-2.4071219608859454E-2</v>
          </cell>
          <cell r="H19">
            <v>-2.4071219608859454E-2</v>
          </cell>
          <cell r="I19">
            <v>-8.8723108158575426E-2</v>
          </cell>
          <cell r="J19">
            <v>-8.8723108158575426E-2</v>
          </cell>
          <cell r="K19">
            <v>-8.8723108158575426E-2</v>
          </cell>
        </row>
      </sheetData>
      <sheetData sheetId="13">
        <row r="19">
          <cell r="G19" t="str">
            <v>Tariff cap</v>
          </cell>
          <cell r="J19" t="str">
            <v>In almost all cases, this should be the same reference tariff variation mechanism as used to smooth on the X factor tab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opLeftCell="D1" zoomScale="130" zoomScaleNormal="130" workbookViewId="0">
      <selection activeCell="D11" sqref="D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AST gas 2023-28 Gas AA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9" t="s">
        <v>157</v>
      </c>
      <c r="D10" s="26" t="s">
        <v>191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149</v>
      </c>
      <c r="D11" s="26" t="s">
        <v>151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11" t="str">
        <f>'Input | General'!B1</f>
        <v>AST gas 2023-28 Gas AA Proposal - Capital expenditure sharing scheme model</v>
      </c>
    </row>
    <row r="2" spans="1:5" ht="15.75">
      <c r="A2" s="212" t="s">
        <v>150</v>
      </c>
      <c r="B2" s="213"/>
      <c r="C2" s="213"/>
      <c r="D2" s="213"/>
      <c r="E2" s="191"/>
    </row>
    <row r="3" spans="1:5" ht="15.75" thickBot="1">
      <c r="A3" s="191"/>
      <c r="B3" s="191"/>
      <c r="C3" s="191"/>
      <c r="D3" s="191"/>
      <c r="E3" s="191"/>
    </row>
    <row r="4" spans="1:5">
      <c r="A4" s="192" t="s">
        <v>98</v>
      </c>
      <c r="B4" s="193" t="s">
        <v>99</v>
      </c>
      <c r="C4" s="193" t="s">
        <v>100</v>
      </c>
      <c r="D4" s="194" t="s">
        <v>101</v>
      </c>
    </row>
    <row r="5" spans="1:5" ht="30.75" customHeight="1">
      <c r="A5" s="190">
        <v>1</v>
      </c>
      <c r="B5" s="191" t="s">
        <v>31</v>
      </c>
      <c r="C5" s="191" t="s">
        <v>102</v>
      </c>
      <c r="D5" s="196" t="s">
        <v>103</v>
      </c>
    </row>
    <row r="6" spans="1:5" ht="30.75" customHeight="1">
      <c r="A6" s="190">
        <f t="shared" ref="A6:A12" si="0">A5+1</f>
        <v>2</v>
      </c>
      <c r="B6" s="191" t="s">
        <v>75</v>
      </c>
      <c r="C6" s="191" t="s">
        <v>104</v>
      </c>
      <c r="D6" s="196" t="s">
        <v>115</v>
      </c>
    </row>
    <row r="7" spans="1:5" ht="30.75" customHeight="1">
      <c r="A7" s="190">
        <f t="shared" si="0"/>
        <v>3</v>
      </c>
      <c r="B7" s="191" t="s">
        <v>51</v>
      </c>
      <c r="C7" s="195" t="s">
        <v>116</v>
      </c>
      <c r="D7" s="196" t="s">
        <v>117</v>
      </c>
    </row>
    <row r="8" spans="1:5" ht="30.75" customHeight="1">
      <c r="A8" s="190">
        <f t="shared" si="0"/>
        <v>4</v>
      </c>
      <c r="B8" s="191" t="s">
        <v>51</v>
      </c>
      <c r="C8" s="195" t="s">
        <v>118</v>
      </c>
      <c r="D8" s="196" t="s">
        <v>119</v>
      </c>
    </row>
    <row r="9" spans="1:5" ht="30.75" customHeight="1">
      <c r="A9" s="190">
        <f t="shared" si="0"/>
        <v>5</v>
      </c>
      <c r="B9" s="191" t="s">
        <v>54</v>
      </c>
      <c r="C9" s="191" t="s">
        <v>105</v>
      </c>
      <c r="D9" s="196" t="s">
        <v>124</v>
      </c>
    </row>
    <row r="10" spans="1:5" ht="30.75" customHeight="1">
      <c r="A10" s="190">
        <f t="shared" si="0"/>
        <v>6</v>
      </c>
      <c r="B10" s="191" t="s">
        <v>54</v>
      </c>
      <c r="C10" s="191" t="s">
        <v>106</v>
      </c>
      <c r="D10" s="196" t="s">
        <v>107</v>
      </c>
    </row>
    <row r="11" spans="1:5" ht="30.75" customHeight="1">
      <c r="A11" s="190">
        <f t="shared" si="0"/>
        <v>7</v>
      </c>
      <c r="B11" s="191" t="s">
        <v>54</v>
      </c>
      <c r="C11" s="191" t="s">
        <v>108</v>
      </c>
      <c r="D11" s="196" t="s">
        <v>125</v>
      </c>
    </row>
    <row r="12" spans="1:5" ht="30.75" customHeight="1">
      <c r="A12" s="190">
        <f t="shared" si="0"/>
        <v>8</v>
      </c>
      <c r="B12" s="191" t="s">
        <v>54</v>
      </c>
      <c r="C12" s="191" t="s">
        <v>109</v>
      </c>
      <c r="D12" s="196" t="s">
        <v>110</v>
      </c>
      <c r="E12" s="191"/>
    </row>
    <row r="13" spans="1:5" ht="30.75" customHeight="1">
      <c r="A13" s="190">
        <v>9</v>
      </c>
      <c r="B13" s="191" t="s">
        <v>76</v>
      </c>
      <c r="C13" s="191" t="s">
        <v>127</v>
      </c>
      <c r="D13" s="209" t="s">
        <v>128</v>
      </c>
      <c r="E13" s="191"/>
    </row>
    <row r="14" spans="1:5" ht="30.75" customHeight="1">
      <c r="A14" s="190">
        <v>10</v>
      </c>
      <c r="B14" s="191" t="s">
        <v>152</v>
      </c>
      <c r="C14" s="191" t="s">
        <v>146</v>
      </c>
      <c r="D14" s="209" t="s">
        <v>153</v>
      </c>
      <c r="E14" s="191"/>
    </row>
    <row r="15" spans="1:5" ht="30.75" customHeight="1" thickBot="1">
      <c r="A15" s="190">
        <v>11</v>
      </c>
      <c r="B15" s="197" t="s">
        <v>54</v>
      </c>
      <c r="C15" s="197" t="s">
        <v>147</v>
      </c>
      <c r="D15" s="210" t="s">
        <v>148</v>
      </c>
    </row>
    <row r="16" spans="1:5" ht="30.75" customHeight="1">
      <c r="A16" s="235">
        <v>12</v>
      </c>
      <c r="B16" s="236" t="s">
        <v>152</v>
      </c>
      <c r="C16" s="236" t="s">
        <v>184</v>
      </c>
      <c r="D16" s="237" t="s">
        <v>183</v>
      </c>
      <c r="E16" s="232"/>
    </row>
    <row r="17" spans="1:5" ht="30.75" customHeight="1">
      <c r="A17" s="190">
        <v>13</v>
      </c>
      <c r="B17" s="191" t="s">
        <v>152</v>
      </c>
      <c r="C17" s="191" t="s">
        <v>185</v>
      </c>
      <c r="D17" s="196" t="s">
        <v>186</v>
      </c>
      <c r="E17" s="232"/>
    </row>
    <row r="18" spans="1:5" ht="30.75" customHeight="1">
      <c r="A18" s="190">
        <v>14</v>
      </c>
      <c r="B18" s="191" t="s">
        <v>54</v>
      </c>
      <c r="C18" s="191" t="s">
        <v>155</v>
      </c>
      <c r="D18" s="196" t="s">
        <v>188</v>
      </c>
    </row>
    <row r="19" spans="1:5" ht="30.75" customHeight="1">
      <c r="A19" s="190">
        <v>15</v>
      </c>
      <c r="B19" s="191" t="s">
        <v>51</v>
      </c>
      <c r="C19" s="191" t="s">
        <v>116</v>
      </c>
      <c r="D19" s="196" t="s">
        <v>156</v>
      </c>
    </row>
    <row r="20" spans="1:5" ht="30.75" customHeight="1">
      <c r="A20" s="190">
        <v>16</v>
      </c>
      <c r="B20" s="191" t="s">
        <v>54</v>
      </c>
      <c r="C20" s="191" t="s">
        <v>147</v>
      </c>
      <c r="D20" s="196" t="s">
        <v>187</v>
      </c>
    </row>
    <row r="21" spans="1:5" ht="30.75" customHeight="1" thickBot="1">
      <c r="A21" s="238">
        <v>17</v>
      </c>
      <c r="B21" s="197" t="s">
        <v>189</v>
      </c>
      <c r="C21" s="197" t="s">
        <v>146</v>
      </c>
      <c r="D21" s="210" t="s">
        <v>190</v>
      </c>
    </row>
  </sheetData>
  <phoneticPr fontId="108" type="noConversion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E18" sqref="E18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AST gas 2023-28 Gas AA Proposal - Capital expenditure sharing scheme model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192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113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7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5">
        <v>2018</v>
      </c>
      <c r="E13" s="175">
        <v>2019</v>
      </c>
      <c r="F13" s="175">
        <v>2020</v>
      </c>
      <c r="G13" s="175">
        <v>2021</v>
      </c>
      <c r="H13" s="175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6" t="str">
        <f>D9</f>
        <v>2023-24</v>
      </c>
      <c r="E18" s="166" t="str">
        <f>IF(LEN(D18)&gt;4,CONCATENATE(LEFT(D18,4)+1&amp;"–"&amp;IF(RIGHT(D18,2)+1&gt;9,"","0")&amp;RIGHT(D18,2)+1),D18+1)</f>
        <v>2024–25</v>
      </c>
      <c r="F18" s="166" t="str">
        <f>IF(LEN(E18)&gt;4,CONCATENATE(LEFT(E18,4)+1&amp;"–"&amp;IF(RIGHT(E18,2)+1&gt;9,"","0")&amp;RIGHT(E18,2)+1),E18+1)</f>
        <v>2025–26</v>
      </c>
      <c r="G18" s="166" t="str">
        <f>IF(LEN(F18)&gt;4,CONCATENATE(LEFT(F18,4)+1&amp;"–"&amp;IF(RIGHT(F18,2)+1&gt;9,"","0")&amp;RIGHT(F18,2)+1),F18+1)</f>
        <v>2026–27</v>
      </c>
      <c r="H18" s="166" t="str">
        <f>IF(LEN(G18)&gt;4,CONCATENATE(LEFT(G18,4)+1&amp;"–"&amp;IF(RIGHT(G18,2)+1&gt;9,"","0")&amp;RIGHT(G18,2)+1),G18+1)</f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C5" zoomScaleNormal="100" workbookViewId="0">
      <selection activeCell="M15" sqref="M15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3" width="12.7109375" style="2" customWidth="1"/>
    <col min="14" max="14" width="12.5703125" style="17" customWidth="1"/>
    <col min="15" max="17" width="12.7109375" style="19" customWidth="1"/>
    <col min="18" max="19" width="2.85546875" style="19" customWidth="1"/>
    <col min="20" max="33" width="12.7109375" style="19" hidden="1" customWidth="1"/>
    <col min="34" max="16384" width="9.140625" style="19" hidden="1"/>
  </cols>
  <sheetData>
    <row r="1" spans="1:21" s="2" customFormat="1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1" t="s">
        <v>32</v>
      </c>
      <c r="K1" s="189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4">
        <f>IF(LEN(G7)&gt;4,CONCATENATE(LEFT(G7,4)-1&amp;"–"&amp;IF(RIGHT(G7,2)="00","99",IF(RIGHT(G7,2)-1&lt;10,"0","")&amp;RIGHT(G7,2)-1)),G7-1)</f>
        <v>2017</v>
      </c>
      <c r="G7" s="153">
        <f>'Input | General'!D13</f>
        <v>2018</v>
      </c>
      <c r="H7" s="153">
        <f>'Input | General'!E13</f>
        <v>2019</v>
      </c>
      <c r="I7" s="153">
        <f>'Input | General'!F13</f>
        <v>2020</v>
      </c>
      <c r="J7" s="153">
        <f>'Input | General'!G13</f>
        <v>2021</v>
      </c>
      <c r="K7" s="153">
        <f>'Input | General'!H13</f>
        <v>2022</v>
      </c>
      <c r="L7" s="174" t="s">
        <v>114</v>
      </c>
      <c r="M7" s="153" t="str">
        <f>'Input | General'!D18</f>
        <v>2023-24</v>
      </c>
      <c r="N7" s="153" t="str">
        <f>'Input | General'!E18</f>
        <v>2024–25</v>
      </c>
      <c r="O7" s="153" t="str">
        <f>'Input | General'!F18</f>
        <v>2025–26</v>
      </c>
      <c r="P7" s="153" t="str">
        <f>'Input | General'!G18</f>
        <v>2026–27</v>
      </c>
      <c r="Q7" s="153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138">
        <v>1.9337016574585641E-2</v>
      </c>
      <c r="H8" s="138">
        <v>2.0776874435411097E-2</v>
      </c>
      <c r="I8" s="138">
        <v>1.5929203539823078E-2</v>
      </c>
      <c r="J8" s="138">
        <v>-3.4843205574912606E-3</v>
      </c>
      <c r="K8" s="138">
        <v>3.8461538461538325E-2</v>
      </c>
      <c r="L8" s="200">
        <f>'[1]RFM input'!$M$282</f>
        <v>2.1043771043770976E-2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138">
        <v>0.03</v>
      </c>
      <c r="N9" s="124">
        <f>M9</f>
        <v>0.03</v>
      </c>
      <c r="O9" s="124">
        <f>N9</f>
        <v>0.03</v>
      </c>
      <c r="P9" s="124">
        <f>O9</f>
        <v>0.03</v>
      </c>
      <c r="Q9" s="124">
        <f>P9</f>
        <v>0.03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0">IF(G7&lt;&gt;"",(F10*(1+G8)),"")</f>
        <v>1.0193370165745856</v>
      </c>
      <c r="H10" s="110">
        <f t="shared" si="0"/>
        <v>1.0405156537753224</v>
      </c>
      <c r="I10" s="110">
        <f t="shared" si="0"/>
        <v>1.0570902394106816</v>
      </c>
      <c r="J10" s="110">
        <f t="shared" si="0"/>
        <v>1.0534069981583796</v>
      </c>
      <c r="K10" s="110">
        <f t="shared" si="0"/>
        <v>1.0939226519337018</v>
      </c>
      <c r="L10" s="110">
        <f t="shared" si="0"/>
        <v>1.1169429097605894</v>
      </c>
      <c r="M10" s="79">
        <f>IF(M7&lt;&gt;"",(L10*(1+M9)),"")</f>
        <v>1.150451197053407</v>
      </c>
      <c r="N10" s="79">
        <f>IF(N7&lt;&gt;"",(M10*(1+N9)),"")</f>
        <v>1.1849647329650093</v>
      </c>
      <c r="O10" s="79">
        <f>IF(O7&lt;&gt;"",(N10*(1+O9)),"")</f>
        <v>1.2205136749539596</v>
      </c>
      <c r="P10" s="79">
        <f>IF(P7&lt;&gt;"",(O10*(1+P9)),"")</f>
        <v>1.2571290852025785</v>
      </c>
      <c r="Q10" s="79">
        <f>IF(Q7&lt;&gt;"",(P10*(1+Q9)),"")</f>
        <v>1.294842957758656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138">
        <f t="shared" ref="G13:L13" si="1">G8</f>
        <v>1.9337016574585641E-2</v>
      </c>
      <c r="H13" s="138">
        <f t="shared" si="1"/>
        <v>2.0776874435411097E-2</v>
      </c>
      <c r="I13" s="138">
        <f t="shared" si="1"/>
        <v>1.5929203539823078E-2</v>
      </c>
      <c r="J13" s="138">
        <f t="shared" si="1"/>
        <v>-3.4843205574912606E-3</v>
      </c>
      <c r="K13" s="138">
        <f t="shared" si="1"/>
        <v>3.8461538461538325E-2</v>
      </c>
      <c r="L13" s="138">
        <f t="shared" si="1"/>
        <v>2.1043771043770976E-2</v>
      </c>
      <c r="M13" s="170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138" cm="1">
        <f t="array" aca="1" ref="M14" ca="1">[2]!f</f>
        <v>2.9193048507912156E-2</v>
      </c>
      <c r="N14" s="124">
        <f ca="1">M14</f>
        <v>2.9193048507912156E-2</v>
      </c>
      <c r="O14" s="124">
        <f ca="1">N14</f>
        <v>2.9193048507912156E-2</v>
      </c>
      <c r="P14" s="124">
        <f ca="1">O14</f>
        <v>2.9193048507912156E-2</v>
      </c>
      <c r="Q14" s="124">
        <f ca="1">P14</f>
        <v>2.9193048507912156E-2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2">IF(G7&lt;&gt;"",(F15*(1+G13)),"")</f>
        <v>1.0193370165745856</v>
      </c>
      <c r="H15" s="110">
        <f t="shared" si="2"/>
        <v>1.0405156537753224</v>
      </c>
      <c r="I15" s="110">
        <f t="shared" si="2"/>
        <v>1.0570902394106816</v>
      </c>
      <c r="J15" s="171">
        <f t="shared" si="2"/>
        <v>1.0534069981583796</v>
      </c>
      <c r="K15" s="172">
        <f t="shared" si="2"/>
        <v>1.0939226519337018</v>
      </c>
      <c r="L15" s="171">
        <f t="shared" si="2"/>
        <v>1.1169429097605894</v>
      </c>
      <c r="M15" s="172">
        <f ca="1">IF(M7&lt;&gt;"",(L15*(1+M14)),"")</f>
        <v>1.1495498783057989</v>
      </c>
      <c r="N15" s="79">
        <f ca="1">IF(N7&lt;&gt;"",(M15*(1+N14)),"")</f>
        <v>1.1831087436654446</v>
      </c>
      <c r="O15" s="79">
        <f ca="1">IF(O7&lt;&gt;"",(N15*(1+O14)),"")</f>
        <v>1.217647294609405</v>
      </c>
      <c r="P15" s="79">
        <f ca="1">IF(P7&lt;&gt;"",(O15*(1+P14)),"")</f>
        <v>1.2531941311464654</v>
      </c>
      <c r="Q15" s="79">
        <f ca="1">IF(Q7&lt;&gt;"",(P15*(1+Q14)),"")</f>
        <v>1.2897786882068549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3">
        <f>G7</f>
        <v>2018</v>
      </c>
      <c r="H19" s="153">
        <f t="shared" ref="H19:Q19" si="3">H7</f>
        <v>2019</v>
      </c>
      <c r="I19" s="153">
        <f t="shared" si="3"/>
        <v>2020</v>
      </c>
      <c r="J19" s="153">
        <f t="shared" si="3"/>
        <v>2021</v>
      </c>
      <c r="K19" s="153">
        <f t="shared" si="3"/>
        <v>2022</v>
      </c>
      <c r="L19" s="174" t="str">
        <f>L7</f>
        <v>2023 Jan-Jun</v>
      </c>
      <c r="M19" s="153" t="str">
        <f t="shared" si="3"/>
        <v>2023-24</v>
      </c>
      <c r="N19" s="153" t="str">
        <f t="shared" si="3"/>
        <v>2024–25</v>
      </c>
      <c r="O19" s="153" t="str">
        <f t="shared" si="3"/>
        <v>2025–26</v>
      </c>
      <c r="P19" s="153" t="str">
        <f t="shared" si="3"/>
        <v>2026–27</v>
      </c>
      <c r="Q19" s="153" t="str">
        <f t="shared" si="3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138">
        <v>3.4087332412137218E-2</v>
      </c>
      <c r="H20" s="138">
        <v>3.380691054853853E-2</v>
      </c>
      <c r="I20" s="138">
        <v>3.2900386733906786E-2</v>
      </c>
      <c r="J20" s="138">
        <v>3.1562637503338563E-2</v>
      </c>
      <c r="K20" s="138">
        <v>2.9978877207864942E-2</v>
      </c>
      <c r="L20" s="138">
        <f>'[1]RFM input'!$M$288</f>
        <v>-3.9451202534833696E-3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9"/>
      <c r="H21" s="169"/>
      <c r="I21" s="169"/>
      <c r="J21" s="169"/>
      <c r="K21" s="169"/>
      <c r="L21" s="169"/>
      <c r="M21" s="138" cm="1">
        <f t="array" aca="1" ref="M21" ca="1">[2]!rvanilla01</f>
        <v>2.579116613214083E-2</v>
      </c>
      <c r="N21" s="138" cm="1">
        <f t="array" aca="1" ref="N21" ca="1">[2]!rvanilla02</f>
        <v>2.6597273259389584E-2</v>
      </c>
      <c r="O21" s="138" cm="1">
        <f t="array" aca="1" ref="O21" ca="1">[2]!rvanilla03</f>
        <v>2.7403380386638476E-2</v>
      </c>
      <c r="P21" s="138" cm="1">
        <f t="array" aca="1" ref="P21" ca="1">[2]!rvanilla04</f>
        <v>2.820948751388723E-2</v>
      </c>
      <c r="Q21" s="138" cm="1">
        <f t="array" aca="1" ref="Q21" ca="1">[2]!rvanilla05</f>
        <v>2.9015594641136122E-2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L22" si="4">IF(AND(G13&lt;&gt;"",G20&lt;&gt;""),((1+G20)*(1+G13)-1),"")</f>
        <v>5.4083496298559686E-2</v>
      </c>
      <c r="H22" s="125">
        <f t="shared" si="4"/>
        <v>5.5286186919465852E-2</v>
      </c>
      <c r="I22" s="125">
        <f t="shared" si="4"/>
        <v>4.9353667230553233E-2</v>
      </c>
      <c r="J22" s="125">
        <f t="shared" si="4"/>
        <v>2.7968342599145934E-2</v>
      </c>
      <c r="K22" s="125">
        <f t="shared" si="4"/>
        <v>6.9593449408167141E-2</v>
      </c>
      <c r="L22" s="176">
        <f t="shared" si="4"/>
        <v>1.7015630582933206E-2</v>
      </c>
      <c r="M22" s="125">
        <f ca="1">IF(AND(M14&lt;&gt;"",M21&lt;&gt;""),((1+M21)*(1+M14)-1),"")</f>
        <v>5.5737137404024084E-2</v>
      </c>
      <c r="N22" s="125">
        <f ca="1">IF(AND(N14&lt;&gt;"",N21&lt;&gt;""),((1+N21)*(1+N14)-1),"")</f>
        <v>5.6566777255741219E-2</v>
      </c>
      <c r="O22" s="125">
        <f ca="1">IF(AND(O14&lt;&gt;"",O21&lt;&gt;""),((1+O21)*(1+O14)-1),"")</f>
        <v>5.7396417107458575E-2</v>
      </c>
      <c r="P22" s="125">
        <f ca="1">IF(AND(P14&lt;&gt;"",P21&lt;&gt;""),((1+P21)*(1+P14)-1),"")</f>
        <v>5.8226056959175487E-2</v>
      </c>
      <c r="Q22" s="125">
        <f ca="1">IF(AND(Q14&lt;&gt;"",Q21&lt;&gt;""),((1+Q21)*(1+Q14)-1),"")</f>
        <v>5.9055696810892844E-2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Normal="100" workbookViewId="0">
      <selection activeCell="K19" sqref="K1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  <c r="L1" s="198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f>IF('Input | General'!D14="Yes",'Input | General'!D13,"n/a")</f>
        <v>2018</v>
      </c>
      <c r="I6" s="155">
        <f>IF('Input | General'!E14="Yes",'Input | General'!E13,"n/a")</f>
        <v>2019</v>
      </c>
      <c r="J6" s="155">
        <f>IF('Input | General'!F14="Yes",'Input | General'!F13,"n/a")</f>
        <v>2020</v>
      </c>
      <c r="K6" s="155">
        <f>IF('Input | General'!G14="Yes",'Input | General'!G13,"n/a")</f>
        <v>2021</v>
      </c>
      <c r="L6" s="155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139">
        <v>107.1230093900913</v>
      </c>
      <c r="I8" s="139">
        <v>104.268566364211</v>
      </c>
      <c r="J8" s="139">
        <v>101.12311702340276</v>
      </c>
      <c r="K8" s="139">
        <v>95.065551787457551</v>
      </c>
      <c r="L8" s="139">
        <v>90.483351061785314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139">
        <v>3.9823437074934311</v>
      </c>
      <c r="I9" s="139">
        <v>4.0487720386254322</v>
      </c>
      <c r="J9" s="139">
        <v>4.1111354678959433</v>
      </c>
      <c r="K9" s="139">
        <v>4.2003759337219924</v>
      </c>
      <c r="L9" s="139">
        <v>4.2109074367180712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139">
        <v>0</v>
      </c>
      <c r="I10" s="139">
        <v>0</v>
      </c>
      <c r="J10" s="139">
        <v>0</v>
      </c>
      <c r="K10" s="139">
        <v>0</v>
      </c>
      <c r="L10" s="139">
        <v>0</v>
      </c>
    </row>
    <row r="11" spans="2:14" s="60" customFormat="1" ht="10.5" customHeight="1">
      <c r="H11" s="243"/>
      <c r="I11" s="243">
        <v>0</v>
      </c>
      <c r="J11" s="243">
        <v>0</v>
      </c>
      <c r="K11" s="243">
        <v>0</v>
      </c>
      <c r="L11" s="243">
        <v>0</v>
      </c>
    </row>
    <row r="12" spans="2:14" ht="10.5" customHeight="1">
      <c r="C12" s="69" t="s">
        <v>5</v>
      </c>
      <c r="D12" s="68" t="s">
        <v>56</v>
      </c>
      <c r="E12" s="156" t="s">
        <v>46</v>
      </c>
      <c r="F12" s="157">
        <f>'Input | Inflation and Disc Rate'!$F$7</f>
        <v>2017</v>
      </c>
      <c r="G12" s="60"/>
      <c r="H12" s="58">
        <f>IF(H6="", "", H8-H9-H10-H11)</f>
        <v>103.14066568259787</v>
      </c>
      <c r="I12" s="58">
        <f>IF(I6="", "", I8-I9-I10-I11)</f>
        <v>100.21979432558557</v>
      </c>
      <c r="J12" s="58">
        <f>IF(J6="", "", J8-J9-J10-J11)</f>
        <v>97.011981555506807</v>
      </c>
      <c r="K12" s="58">
        <f>IF(K6="", "", K8-K9-K10-K11)</f>
        <v>90.865175853735565</v>
      </c>
      <c r="L12" s="58">
        <f>IF(L6="", "", L8-L9-L10-L11)</f>
        <v>86.27244362506724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5">
        <f>H6</f>
        <v>2018</v>
      </c>
      <c r="I16" s="155">
        <f>I6</f>
        <v>2019</v>
      </c>
      <c r="J16" s="155">
        <f>J6</f>
        <v>2020</v>
      </c>
      <c r="K16" s="155">
        <f>K6</f>
        <v>2021</v>
      </c>
      <c r="L16" s="155">
        <f>L6</f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139">
        <f>'[1]RFM input'!H111-'[1]RFM input'!$H$110</f>
        <v>101.78452525539797</v>
      </c>
      <c r="I18" s="240">
        <f>'[1]RFM input'!I111</f>
        <v>102.5269158491504</v>
      </c>
      <c r="J18" s="240">
        <f>'[1]RFM input'!J111</f>
        <v>98.741262120537627</v>
      </c>
      <c r="K18" s="240">
        <f>'[1]RFM input'!K111</f>
        <v>113.27335632710914</v>
      </c>
      <c r="L18" s="139">
        <f>'[1]RFM input'!L111</f>
        <v>103.07738249956913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140">
        <f>'[1]RFM input'!H219</f>
        <v>5.8872984500000012</v>
      </c>
      <c r="I19" s="140">
        <f>'[1]RFM input'!I219</f>
        <v>8.1433516699999995</v>
      </c>
      <c r="J19" s="140">
        <f>'[1]RFM input'!J219</f>
        <v>7.7215936200000002</v>
      </c>
      <c r="K19" s="140">
        <f>'[1]RFM input'!K219</f>
        <v>13.652760090000001</v>
      </c>
      <c r="L19" s="140">
        <f>'[1]RFM input'!L219</f>
        <v>13.515699140000002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140">
        <f>'[1]RFM input'!H165</f>
        <v>0.59514046999999992</v>
      </c>
      <c r="I20" s="241">
        <f>'[1]RFM input'!I165</f>
        <v>0</v>
      </c>
      <c r="J20" s="241">
        <f>'[1]RFM input'!J165</f>
        <v>5.9999999999999995E-4</v>
      </c>
      <c r="K20" s="241">
        <f>'[1]RFM input'!K165</f>
        <v>1.2722320000000001E-2</v>
      </c>
      <c r="L20" s="140">
        <f>'[1]RFM input'!L165</f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40"/>
      <c r="I21" s="139"/>
      <c r="J21" s="139"/>
      <c r="K21" s="139"/>
      <c r="L21" s="139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8" t="s">
        <v>46</v>
      </c>
      <c r="F23" s="158" t="s">
        <v>49</v>
      </c>
      <c r="G23" s="60"/>
      <c r="H23" s="58">
        <f>IF(H16="", "", H18-H19-H20-H21)</f>
        <v>95.302086335397959</v>
      </c>
      <c r="I23" s="58">
        <f>IF(I16="", "", I18-I19-I20-I21)</f>
        <v>94.383564179150397</v>
      </c>
      <c r="J23" s="58">
        <f>IF(J16="", "", J18-J19-J20-J21)</f>
        <v>91.019068500537614</v>
      </c>
      <c r="K23" s="58">
        <f>IF(K16="", "", K18-K19-K20-K21)</f>
        <v>99.607873917109146</v>
      </c>
      <c r="L23" s="58">
        <f>IF(L16="", "", L18-L19-L20-L21)</f>
        <v>89.561683359569116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2023-24</v>
      </c>
      <c r="I27" s="155" t="str">
        <f>'Input | General'!E18</f>
        <v>2024–25</v>
      </c>
      <c r="J27" s="155" t="str">
        <f>'Input | General'!F18</f>
        <v>2025–26</v>
      </c>
      <c r="K27" s="155" t="str">
        <f>'Input | General'!G18</f>
        <v>2026–27</v>
      </c>
      <c r="L27" s="155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9">
        <v>0</v>
      </c>
      <c r="I29" s="139">
        <v>0</v>
      </c>
      <c r="J29" s="139">
        <v>0</v>
      </c>
      <c r="K29" s="139">
        <v>0</v>
      </c>
      <c r="L29" s="139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201">
        <v>2017</v>
      </c>
      <c r="G30" s="60"/>
      <c r="H30" s="177">
        <f>IF(H29&lt;&gt;"",H29/('Input | Inflation and Disc Rate'!L10*(1+'Input | Inflation and Disc Rate'!M9)^0.5),"")</f>
        <v>0</v>
      </c>
      <c r="I30" s="177">
        <f>IF(I29&lt;&gt;"",I29/('Input | Inflation and Disc Rate'!M10*(1+'Input | Inflation and Disc Rate'!N9)^0.5),"")</f>
        <v>0</v>
      </c>
      <c r="J30" s="177">
        <f>IF(J29&lt;&gt;"",J29/('Input | Inflation and Disc Rate'!N10*(1+'Input | Inflation and Disc Rate'!O9)^0.5),"")</f>
        <v>0</v>
      </c>
      <c r="K30" s="177">
        <f>IF(K29&lt;&gt;"",K29/('Input | Inflation and Disc Rate'!O10*(1+'Input | Inflation and Disc Rate'!P9)^0.5),"")</f>
        <v>0</v>
      </c>
      <c r="L30" s="177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7">
        <f ca="1">IF(H29&lt;&gt;"",H30*'Input | Inflation and Disc Rate'!L15*(1+'Input | Inflation and Disc Rate'!M14)^0.5,"")</f>
        <v>0</v>
      </c>
      <c r="I31" s="177">
        <f ca="1">IF(I29&lt;&gt;"",I30*'Input | Inflation and Disc Rate'!M15*(1+'Input | Inflation and Disc Rate'!N14)^0.5,"")</f>
        <v>0</v>
      </c>
      <c r="J31" s="177">
        <f ca="1">IF(J29&lt;&gt;"",J30*'Input | Inflation and Disc Rate'!N15*(1+'Input | Inflation and Disc Rate'!O14)^0.5,"")</f>
        <v>0</v>
      </c>
      <c r="K31" s="177">
        <f ca="1">IF(K29&lt;&gt;"",K30*'Input | Inflation and Disc Rate'!O15*(1+'Input | Inflation and Disc Rate'!P14)^0.5,"")</f>
        <v>0</v>
      </c>
      <c r="L31" s="177">
        <f ca="1"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30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1">
    <cfRule type="expression" dxfId="9" priority="2">
      <formula>IF($H$6&lt;&gt;"","FALSE","TRUE")</formula>
    </cfRule>
  </conditionalFormatting>
  <conditionalFormatting sqref="H8:L10">
    <cfRule type="expression" dxfId="8" priority="19">
      <formula>IF($H$6&lt;&gt;"","FALSE","TRUE")</formula>
    </cfRule>
  </conditionalFormatting>
  <conditionalFormatting sqref="H18:L18">
    <cfRule type="expression" dxfId="7" priority="14">
      <formula>IF($H$6&lt;&gt;"","FALSE","TRUE")</formula>
    </cfRule>
  </conditionalFormatting>
  <conditionalFormatting sqref="H19:L20">
    <cfRule type="expression" dxfId="6" priority="9">
      <formula>IF($H$6&lt;&gt;"","FALSE","TRUE")</formula>
    </cfRule>
  </conditionalFormatting>
  <conditionalFormatting sqref="H29:L29">
    <cfRule type="expression" dxfId="5" priority="3">
      <formula>IF($H$6&lt;&gt;"","FALSE","TRUE")</formula>
    </cfRule>
  </conditionalFormatting>
  <conditionalFormatting sqref="I21:L21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topLeftCell="F16" zoomScale="115" zoomScaleNormal="115" workbookViewId="0">
      <selection activeCell="N43" sqref="N43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</row>
    <row r="2" spans="2:14" ht="18" customHeight="1">
      <c r="B2" s="10" t="s">
        <v>157</v>
      </c>
      <c r="D2" s="10"/>
      <c r="E2" s="214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v>2018</v>
      </c>
      <c r="I6" s="155">
        <v>2019</v>
      </c>
      <c r="J6" s="155">
        <v>2020</v>
      </c>
      <c r="K6" s="155">
        <v>2021</v>
      </c>
      <c r="L6" s="155" t="s">
        <v>193</v>
      </c>
      <c r="N6" s="2"/>
    </row>
    <row r="7" spans="2:14" s="60" customFormat="1" ht="10.5" customHeight="1">
      <c r="C7" s="215" t="s">
        <v>159</v>
      </c>
      <c r="N7" s="2"/>
    </row>
    <row r="8" spans="2:14" s="60" customFormat="1" ht="10.5" customHeight="1">
      <c r="H8" s="216"/>
      <c r="N8" s="2"/>
    </row>
    <row r="9" spans="2:14" ht="10.5" customHeight="1">
      <c r="C9" s="217" t="s">
        <v>160</v>
      </c>
      <c r="D9" s="70" t="str">
        <f>'Input | General'!$D$6</f>
        <v>AST gas</v>
      </c>
      <c r="E9" s="70" t="s">
        <v>161</v>
      </c>
      <c r="F9" s="70" t="s">
        <v>162</v>
      </c>
      <c r="G9" s="60"/>
      <c r="H9" s="218">
        <v>698129.41666666663</v>
      </c>
      <c r="I9" s="218">
        <v>718009.83333333337</v>
      </c>
      <c r="J9" s="218">
        <v>739651.08333333337</v>
      </c>
      <c r="K9" s="218">
        <v>759254.91666666663</v>
      </c>
      <c r="L9" s="219"/>
    </row>
    <row r="10" spans="2:14" s="60" customFormat="1" ht="10.5" customHeight="1">
      <c r="C10" s="217" t="s">
        <v>163</v>
      </c>
      <c r="D10" s="70" t="str">
        <f>'Input | General'!$D$6</f>
        <v>AST gas</v>
      </c>
      <c r="E10" s="70" t="s">
        <v>161</v>
      </c>
      <c r="F10" s="70" t="s">
        <v>162</v>
      </c>
      <c r="H10" s="218">
        <v>698129.41666666663</v>
      </c>
      <c r="I10" s="218">
        <v>718009.83333333337</v>
      </c>
      <c r="J10" s="218">
        <v>739651.08333333337</v>
      </c>
      <c r="K10" s="218">
        <v>759254.91666666663</v>
      </c>
      <c r="L10" s="219"/>
      <c r="N10" s="2"/>
    </row>
    <row r="11" spans="2:14" s="60" customFormat="1" ht="10.5" customHeight="1">
      <c r="H11" s="220"/>
      <c r="I11" s="220"/>
      <c r="J11" s="220"/>
      <c r="K11" s="220"/>
      <c r="N11" s="2"/>
    </row>
    <row r="12" spans="2:14" ht="10.5" customHeight="1">
      <c r="C12" s="69" t="s">
        <v>164</v>
      </c>
      <c r="D12" s="68" t="s">
        <v>56</v>
      </c>
      <c r="E12" s="156" t="s">
        <v>161</v>
      </c>
      <c r="F12" s="157" t="s">
        <v>162</v>
      </c>
      <c r="G12" s="60"/>
      <c r="H12" s="141">
        <f>IFERROR(AVERAGE(H9:H10),NA())</f>
        <v>698129.41666666663</v>
      </c>
      <c r="I12" s="141">
        <f>IFERROR(AVERAGE(I9:I10),NA())</f>
        <v>718009.83333333337</v>
      </c>
      <c r="J12" s="141">
        <f>IFERROR(AVERAGE(J9:J10),NA())</f>
        <v>739651.08333333337</v>
      </c>
      <c r="K12" s="141">
        <f>IFERROR(AVERAGE(K9:K10),NA())</f>
        <v>759254.91666666663</v>
      </c>
      <c r="L12" s="221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7" t="str">
        <f>"Conversion to per "&amp;H15&amp;" customer basis"</f>
        <v>Conversion to per 1000 customer basis</v>
      </c>
      <c r="D15" s="229" t="s">
        <v>182</v>
      </c>
      <c r="E15" s="70" t="s">
        <v>161</v>
      </c>
      <c r="F15" s="70" t="s">
        <v>162</v>
      </c>
      <c r="H15" s="136"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5" t="s">
        <v>165</v>
      </c>
      <c r="H18" s="222"/>
      <c r="I18" s="222"/>
      <c r="J18" s="222"/>
      <c r="N18" s="2"/>
    </row>
    <row r="19" spans="2:14" s="60" customFormat="1" ht="10.5" customHeight="1">
      <c r="H19" s="216"/>
      <c r="N19" s="2"/>
    </row>
    <row r="20" spans="2:14" ht="10.5" customHeight="1">
      <c r="C20" s="217" t="s">
        <v>160</v>
      </c>
      <c r="D20" s="70" t="str">
        <f>'Input | General'!$D$6</f>
        <v>AST gas</v>
      </c>
      <c r="E20" s="70" t="s">
        <v>166</v>
      </c>
      <c r="F20" s="70" t="s">
        <v>162</v>
      </c>
      <c r="G20" s="60"/>
      <c r="H20" s="218">
        <v>11447.582667416669</v>
      </c>
      <c r="I20" s="218">
        <v>11696.736787083333</v>
      </c>
      <c r="J20" s="218">
        <v>12008.492858416692</v>
      </c>
      <c r="K20" s="218">
        <v>12278.056491750018</v>
      </c>
      <c r="L20" s="223"/>
    </row>
    <row r="21" spans="2:14" s="60" customFormat="1" ht="10.5" customHeight="1">
      <c r="C21" s="217" t="s">
        <v>163</v>
      </c>
      <c r="D21" s="70" t="str">
        <f>'Input | General'!$D$6</f>
        <v>AST gas</v>
      </c>
      <c r="E21" s="70" t="s">
        <v>167</v>
      </c>
      <c r="F21" s="70" t="s">
        <v>162</v>
      </c>
      <c r="H21" s="218">
        <v>11447.582667416669</v>
      </c>
      <c r="I21" s="218">
        <v>11696.736787083333</v>
      </c>
      <c r="J21" s="218">
        <v>12008.492858416692</v>
      </c>
      <c r="K21" s="218">
        <v>12278.056491750018</v>
      </c>
      <c r="L21" s="218"/>
      <c r="N21" s="2"/>
    </row>
    <row r="22" spans="2:14" s="60" customFormat="1" ht="10.5" customHeight="1">
      <c r="H22" s="222"/>
      <c r="I22" s="222"/>
      <c r="J22" s="216"/>
      <c r="N22" s="2"/>
    </row>
    <row r="23" spans="2:14" ht="10.5" customHeight="1">
      <c r="C23" s="69" t="s">
        <v>168</v>
      </c>
      <c r="D23" s="68" t="s">
        <v>56</v>
      </c>
      <c r="E23" s="156" t="s">
        <v>167</v>
      </c>
      <c r="F23" s="157" t="s">
        <v>162</v>
      </c>
      <c r="G23" s="60"/>
      <c r="H23" s="141">
        <f>IFERROR(AVERAGE(H20:H21),NA())</f>
        <v>11447.582667416669</v>
      </c>
      <c r="I23" s="141">
        <f>IFERROR(AVERAGE(I20:I21),NA())</f>
        <v>11696.736787083333</v>
      </c>
      <c r="J23" s="141">
        <f>IFERROR(AVERAGE(J20:J21),NA())</f>
        <v>12008.492858416692</v>
      </c>
      <c r="K23" s="141">
        <f>IFERROR(AVERAGE(K20:K21),NA())</f>
        <v>12278.056491750018</v>
      </c>
      <c r="L23" s="221" t="e">
        <f>IFERROR(AVERAGE(L20:L21),NA())</f>
        <v>#N/A</v>
      </c>
    </row>
    <row r="24" spans="2:14" s="60" customFormat="1" ht="10.5" customHeight="1">
      <c r="H24" s="224"/>
      <c r="I24" s="224"/>
      <c r="J24" s="224"/>
    </row>
    <row r="25" spans="2:14" s="8" customFormat="1" ht="12.75" customHeight="1">
      <c r="B25" s="23" t="s">
        <v>169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5">
        <f>H6</f>
        <v>2018</v>
      </c>
      <c r="I27" s="155">
        <f>I6</f>
        <v>2019</v>
      </c>
      <c r="J27" s="155">
        <f>J6</f>
        <v>2020</v>
      </c>
      <c r="K27" s="155">
        <f>K6</f>
        <v>2021</v>
      </c>
      <c r="L27" s="155" t="str">
        <f>L6</f>
        <v>n/a</v>
      </c>
      <c r="N27" s="2"/>
    </row>
    <row r="28" spans="2:14" s="60" customFormat="1" ht="10.5" customHeight="1">
      <c r="C28" s="215" t="s">
        <v>170</v>
      </c>
      <c r="N28" s="2"/>
    </row>
    <row r="29" spans="2:14" s="60" customFormat="1" ht="10.5" customHeight="1">
      <c r="H29" s="216"/>
      <c r="N29" s="2"/>
    </row>
    <row r="30" spans="2:14" s="60" customFormat="1" ht="10.5" customHeight="1">
      <c r="C30" s="217" t="s">
        <v>171</v>
      </c>
      <c r="D30" s="70" t="str">
        <f>'Input | General'!$D$6</f>
        <v>AST gas</v>
      </c>
      <c r="E30" s="70" t="s">
        <v>172</v>
      </c>
      <c r="F30" s="70" t="s">
        <v>162</v>
      </c>
      <c r="H30" s="218">
        <v>17533</v>
      </c>
      <c r="I30" s="218">
        <v>18529</v>
      </c>
      <c r="J30" s="218">
        <v>16157</v>
      </c>
      <c r="K30" s="218">
        <v>11857</v>
      </c>
      <c r="L30" s="225"/>
      <c r="M30" s="226"/>
      <c r="N30" s="2"/>
    </row>
    <row r="31" spans="2:14" s="60" customFormat="1" ht="10.5" customHeight="1">
      <c r="C31" s="217" t="s">
        <v>173</v>
      </c>
      <c r="D31" s="70" t="str">
        <f>'Input | General'!$D$6</f>
        <v>AST gas</v>
      </c>
      <c r="E31" s="70" t="s">
        <v>174</v>
      </c>
      <c r="F31" s="70" t="s">
        <v>162</v>
      </c>
      <c r="H31" s="218">
        <v>486803</v>
      </c>
      <c r="I31" s="218">
        <v>1036064</v>
      </c>
      <c r="J31" s="218">
        <v>394749</v>
      </c>
      <c r="K31" s="218">
        <v>429412</v>
      </c>
      <c r="L31" s="225"/>
      <c r="N31" s="2"/>
    </row>
    <row r="32" spans="2:14" s="60" customFormat="1" ht="10.5" customHeight="1">
      <c r="J32" s="227"/>
      <c r="N32" s="2"/>
    </row>
    <row r="33" spans="2:15" s="60" customFormat="1" ht="10.5" customHeight="1">
      <c r="C33" s="215" t="s">
        <v>175</v>
      </c>
      <c r="N33" s="2"/>
    </row>
    <row r="34" spans="2:15" s="60" customFormat="1" ht="10.5" customHeight="1">
      <c r="H34" s="216"/>
      <c r="N34" s="2"/>
    </row>
    <row r="35" spans="2:15" s="60" customFormat="1" ht="10.5" customHeight="1">
      <c r="C35" s="217" t="s">
        <v>176</v>
      </c>
      <c r="D35" s="70" t="str">
        <f>'Input | General'!$D$6</f>
        <v>AST gas</v>
      </c>
      <c r="E35" s="70" t="s">
        <v>177</v>
      </c>
      <c r="F35" s="70" t="s">
        <v>162</v>
      </c>
      <c r="H35" s="218">
        <v>474</v>
      </c>
      <c r="I35" s="218">
        <v>528</v>
      </c>
      <c r="J35" s="218">
        <v>442</v>
      </c>
      <c r="K35" s="218">
        <v>289</v>
      </c>
      <c r="L35" s="225"/>
      <c r="N35" s="2"/>
    </row>
    <row r="36" spans="2:15" s="60" customFormat="1" ht="10.5" customHeight="1">
      <c r="C36" s="217" t="s">
        <v>178</v>
      </c>
      <c r="D36" s="70" t="str">
        <f>'Input | General'!$D$6</f>
        <v>AST gas</v>
      </c>
      <c r="E36" s="70" t="s">
        <v>177</v>
      </c>
      <c r="F36" s="70" t="s">
        <v>162</v>
      </c>
      <c r="H36" s="218">
        <v>3810</v>
      </c>
      <c r="I36" s="218">
        <v>3348</v>
      </c>
      <c r="J36" s="218">
        <v>3325</v>
      </c>
      <c r="K36" s="218">
        <v>2608</v>
      </c>
      <c r="L36" s="225"/>
      <c r="N36" s="2"/>
    </row>
    <row r="37" spans="2:15" s="60" customFormat="1" ht="10.5" customHeight="1">
      <c r="C37" s="217" t="s">
        <v>179</v>
      </c>
      <c r="D37" s="70" t="str">
        <f>'Input | General'!$D$6</f>
        <v>AST gas</v>
      </c>
      <c r="E37" s="70" t="s">
        <v>177</v>
      </c>
      <c r="F37" s="70" t="s">
        <v>162</v>
      </c>
      <c r="H37" s="218">
        <v>15512</v>
      </c>
      <c r="I37" s="218">
        <v>16072</v>
      </c>
      <c r="J37" s="218">
        <v>13131</v>
      </c>
      <c r="K37" s="218">
        <v>9145</v>
      </c>
      <c r="L37" s="225"/>
      <c r="N37" s="2"/>
    </row>
    <row r="38" spans="2:15" s="60" customFormat="1" ht="10.5" customHeight="1">
      <c r="H38" s="216"/>
      <c r="J38" s="227"/>
      <c r="N38" s="2"/>
    </row>
    <row r="39" spans="2:15" s="8" customFormat="1" ht="12.75" customHeight="1">
      <c r="B39" s="66" t="s">
        <v>180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5">
        <f>H6</f>
        <v>2018</v>
      </c>
      <c r="I41" s="155">
        <f>I6</f>
        <v>2019</v>
      </c>
      <c r="J41" s="155">
        <f>J6</f>
        <v>2020</v>
      </c>
      <c r="K41" s="155">
        <f>K6</f>
        <v>2021</v>
      </c>
      <c r="L41" s="155" t="str">
        <f>L6</f>
        <v>n/a</v>
      </c>
      <c r="M41" s="60"/>
      <c r="N41" s="155" t="s">
        <v>181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132</v>
      </c>
      <c r="D43" s="70" t="s">
        <v>56</v>
      </c>
      <c r="E43" s="70" t="s">
        <v>194</v>
      </c>
      <c r="F43" s="70" t="s">
        <v>162</v>
      </c>
      <c r="G43" s="60"/>
      <c r="H43" s="230">
        <f>IF('Input | General'!D$18="No","",H30/H$12*$H$15)</f>
        <v>25.114254723306438</v>
      </c>
      <c r="I43" s="230">
        <f>IF('Input | General'!E$18="No","",I30/I$12*$H$15)</f>
        <v>25.806053259716265</v>
      </c>
      <c r="J43" s="230">
        <f>IF('Input | General'!F$18="No","",J30/J$12*$H$15)</f>
        <v>21.844083465931512</v>
      </c>
      <c r="K43" s="230">
        <f>IF('Input | General'!G$18="No","",K30/K$12*$H$15)</f>
        <v>15.616625904848163</v>
      </c>
      <c r="L43" s="230" t="e">
        <f>IF('Input | General'!H$18="No","",L30/L$12*$H$15)</f>
        <v>#N/A</v>
      </c>
      <c r="N43" s="230">
        <f>AVERAGEIF(H43:L43,"&lt;&gt;#N/A")</f>
        <v>22.095254338450594</v>
      </c>
      <c r="O43" s="228"/>
    </row>
    <row r="44" spans="2:15" ht="10.5" customHeight="1">
      <c r="B44" s="65"/>
      <c r="C44" s="72" t="s">
        <v>131</v>
      </c>
      <c r="D44" s="70" t="s">
        <v>56</v>
      </c>
      <c r="E44" s="70" t="s">
        <v>195</v>
      </c>
      <c r="F44" s="70" t="s">
        <v>162</v>
      </c>
      <c r="G44" s="123"/>
      <c r="H44" s="230">
        <f>IF('Input | General'!D$18="No","",H31/H$12*$H$15)</f>
        <v>697.29621525521839</v>
      </c>
      <c r="I44" s="230">
        <f>IF('Input | General'!E$18="No","",I31/I$12*$H$15)</f>
        <v>1442.966310349974</v>
      </c>
      <c r="J44" s="230">
        <f>IF('Input | General'!F$18="No","",J31/J$12*$H$15)</f>
        <v>533.69623717849845</v>
      </c>
      <c r="K44" s="230">
        <f>IF('Input | General'!G$18="No","",K31/K$12*$H$15)</f>
        <v>565.57025917623844</v>
      </c>
      <c r="L44" s="230" t="e">
        <f>IF('Input | General'!H$18="No","",L31/L$12*$H$15)</f>
        <v>#N/A</v>
      </c>
      <c r="N44" s="230">
        <f>AVERAGEIF(H44:L44,"&lt;&gt;#N/A")</f>
        <v>809.8822554899823</v>
      </c>
    </row>
    <row r="45" spans="2:15" ht="10.5" customHeight="1">
      <c r="B45" s="65"/>
      <c r="C45" s="72" t="s">
        <v>135</v>
      </c>
      <c r="D45" s="70" t="s">
        <v>56</v>
      </c>
      <c r="E45" s="70" t="s">
        <v>196</v>
      </c>
      <c r="F45" s="70" t="s">
        <v>162</v>
      </c>
      <c r="G45" s="123"/>
      <c r="H45" s="230">
        <f>IF('Input | General'!D$18="No","",H35/H23)</f>
        <v>4.1406121604096326E-2</v>
      </c>
      <c r="I45" s="230">
        <f>IF('Input | General'!E$18="No","",I35/I23)</f>
        <v>4.51407952158989E-2</v>
      </c>
      <c r="J45" s="230">
        <f>IF('Input | General'!F$18="No","",J35/J23)</f>
        <v>3.6807283412772687E-2</v>
      </c>
      <c r="K45" s="230">
        <f>IF('Input | General'!G$18="No","",K35/K23)</f>
        <v>2.3537927211378078E-2</v>
      </c>
      <c r="L45" s="230" t="e">
        <f>IF('Input | General'!H$18="No","",L35/L23)</f>
        <v>#N/A</v>
      </c>
      <c r="N45" s="230">
        <f>AVERAGEIF(H45:L45,"&lt;&gt;#N/A")</f>
        <v>3.6723031861036495E-2</v>
      </c>
    </row>
    <row r="46" spans="2:15" ht="10.5" customHeight="1">
      <c r="B46" s="65"/>
      <c r="C46" s="72" t="s">
        <v>136</v>
      </c>
      <c r="D46" s="70" t="s">
        <v>56</v>
      </c>
      <c r="E46" s="70" t="s">
        <v>197</v>
      </c>
      <c r="F46" s="70" t="s">
        <v>162</v>
      </c>
      <c r="G46" s="123"/>
      <c r="H46" s="230">
        <f>IF('Input | General'!D$18="No","",H36/H12*$H$15)</f>
        <v>5.4574408541491772</v>
      </c>
      <c r="I46" s="230">
        <f>IF('Input | General'!E$18="No","",I36/I12*$H$15)</f>
        <v>4.6628887858778167</v>
      </c>
      <c r="J46" s="230">
        <f>IF('Input | General'!F$18="No","",J36/J12*$H$15)</f>
        <v>4.4953628473245208</v>
      </c>
      <c r="K46" s="230">
        <f>IF('Input | General'!G$18="No","",K36/K12*$H$15)</f>
        <v>3.4349464754865489</v>
      </c>
      <c r="L46" s="230" t="e">
        <f>IF('Input | General'!H$18="No","",L36/L12*$H$15)</f>
        <v>#N/A</v>
      </c>
      <c r="N46" s="230">
        <f>AVERAGEIF(H46:L46,"&lt;&gt;#N/A")</f>
        <v>4.5126597407095161</v>
      </c>
    </row>
    <row r="47" spans="2:15" ht="10.5" customHeight="1">
      <c r="B47" s="65"/>
      <c r="C47" s="72" t="s">
        <v>137</v>
      </c>
      <c r="D47" s="70" t="s">
        <v>56</v>
      </c>
      <c r="E47" s="70" t="s">
        <v>198</v>
      </c>
      <c r="F47" s="70" t="s">
        <v>162</v>
      </c>
      <c r="G47" s="123"/>
      <c r="H47" s="230">
        <f>IF('Input | General'!D$18="No","",H37/H12*$H$15)</f>
        <v>22.219375992011031</v>
      </c>
      <c r="I47" s="230">
        <f>IF('Input | General'!E$18="No","",I37/I12*$H$15)</f>
        <v>22.384094553951094</v>
      </c>
      <c r="J47" s="230">
        <f>IF('Input | General'!F$18="No","",J37/J12*$H$15)</f>
        <v>17.752965277659634</v>
      </c>
      <c r="K47" s="230">
        <f>IF('Input | General'!G$18="No","",K37/K12*$H$15)</f>
        <v>12.044703036167366</v>
      </c>
      <c r="L47" s="230" t="e">
        <f>IF('Input | General'!H$18="No","",L37/L12*$H$15)</f>
        <v>#N/A</v>
      </c>
      <c r="N47" s="230">
        <f>AVERAGEIF(H47:L47,"&lt;&gt;#N/A")</f>
        <v>18.600284714947282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H9:L10">
    <cfRule type="expression" dxfId="3" priority="8">
      <formula>H$6="n/a"</formula>
    </cfRule>
  </conditionalFormatting>
  <conditionalFormatting sqref="H20:L21">
    <cfRule type="expression" dxfId="2" priority="6">
      <formula>H$6="n/a"</formula>
    </cfRule>
  </conditionalFormatting>
  <conditionalFormatting sqref="H30:L31">
    <cfRule type="expression" dxfId="1" priority="4">
      <formula>H$6="n/a"</formula>
    </cfRule>
  </conditionalFormatting>
  <conditionalFormatting sqref="H35:L37">
    <cfRule type="expression" dxfId="0" priority="1">
      <formula>H$6="n/a"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zoomScale="115" zoomScaleNormal="115" workbookViewId="0">
      <selection activeCell="F15" sqref="F15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7" width="12.7109375" style="11" customWidth="1"/>
    <col min="8" max="8" width="14.570312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129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138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3" t="s">
        <v>130</v>
      </c>
      <c r="E9" s="203" t="s">
        <v>7</v>
      </c>
      <c r="F9" s="203" t="s">
        <v>134</v>
      </c>
      <c r="G9" s="203" t="s">
        <v>133</v>
      </c>
      <c r="H9" s="203" t="s">
        <v>139</v>
      </c>
      <c r="J9" s="71"/>
      <c r="K9" s="71"/>
      <c r="L9" s="71"/>
      <c r="M9" s="71"/>
    </row>
    <row r="10" spans="1:13" s="62" customFormat="1" ht="11.25" customHeight="1">
      <c r="C10" s="61" t="s">
        <v>132</v>
      </c>
      <c r="D10" s="204">
        <v>20.518998590471995</v>
      </c>
      <c r="E10" s="231">
        <f>'Input | Reported Performance'!N43</f>
        <v>22.095254338450594</v>
      </c>
      <c r="F10" s="205">
        <f>200-(100*(E10/D10))</f>
        <v>92.318066883095668</v>
      </c>
      <c r="G10" s="204">
        <v>0.25</v>
      </c>
      <c r="H10" s="205">
        <f>F10*G10</f>
        <v>23.079516720773917</v>
      </c>
      <c r="J10" s="71"/>
      <c r="K10" s="71"/>
      <c r="L10" s="71"/>
      <c r="M10" s="71"/>
    </row>
    <row r="11" spans="1:13" s="62" customFormat="1" ht="11.25" customHeight="1">
      <c r="C11" s="61" t="s">
        <v>131</v>
      </c>
      <c r="D11" s="137">
        <v>891.63327419200141</v>
      </c>
      <c r="E11" s="231">
        <f>'Input | Reported Performance'!N44</f>
        <v>809.8822554899823</v>
      </c>
      <c r="F11" s="177">
        <f>200-(100*(E11/D11))</f>
        <v>109.16868190861338</v>
      </c>
      <c r="G11" s="137">
        <v>0.25</v>
      </c>
      <c r="H11" s="177">
        <f>F11*G11</f>
        <v>27.292170477153345</v>
      </c>
      <c r="J11" s="71"/>
      <c r="K11" s="71"/>
      <c r="L11" s="71"/>
      <c r="M11" s="71"/>
    </row>
    <row r="12" spans="1:13" s="62" customFormat="1" ht="11.25" customHeight="1">
      <c r="C12" s="61" t="s">
        <v>135</v>
      </c>
      <c r="D12" s="137">
        <v>9.0311265270213242E-2</v>
      </c>
      <c r="E12" s="231">
        <f>'Input | Reported Performance'!N45</f>
        <v>3.6723031861036495E-2</v>
      </c>
      <c r="F12" s="177">
        <f>200-(100*(E12/D12))</f>
        <v>159.33726346191651</v>
      </c>
      <c r="G12" s="137">
        <v>0.20399999999999999</v>
      </c>
      <c r="H12" s="177">
        <f>F12*G12</f>
        <v>32.504801746230967</v>
      </c>
      <c r="J12" s="71"/>
      <c r="K12" s="71"/>
      <c r="L12" s="71"/>
      <c r="M12" s="71"/>
    </row>
    <row r="13" spans="1:13" s="62" customFormat="1" ht="11.25" customHeight="1">
      <c r="C13" s="61" t="s">
        <v>136</v>
      </c>
      <c r="D13" s="137">
        <v>5.5196917568286352</v>
      </c>
      <c r="E13" s="231">
        <f>'Input | Reported Performance'!N46</f>
        <v>4.5126597407095161</v>
      </c>
      <c r="F13" s="177">
        <f>200-(100*(E13/D13))</f>
        <v>118.24435241104322</v>
      </c>
      <c r="G13" s="137">
        <v>0.23</v>
      </c>
      <c r="H13" s="177">
        <f>F13*G13</f>
        <v>27.196201054539941</v>
      </c>
      <c r="J13" s="71"/>
      <c r="K13" s="71"/>
      <c r="L13" s="71"/>
      <c r="M13" s="71"/>
    </row>
    <row r="14" spans="1:13" s="62" customFormat="1" ht="11.25" customHeight="1">
      <c r="C14" s="61" t="s">
        <v>137</v>
      </c>
      <c r="D14" s="137">
        <v>15.985990138539567</v>
      </c>
      <c r="E14" s="231">
        <f>'Input | Reported Performance'!N47</f>
        <v>18.600284714947282</v>
      </c>
      <c r="F14" s="177">
        <f>200-(100*(E14/D14))</f>
        <v>83.646339364960042</v>
      </c>
      <c r="G14" s="137">
        <v>6.6000000000000003E-2</v>
      </c>
      <c r="H14" s="177">
        <f>F14*G14</f>
        <v>5.5206583980873631</v>
      </c>
      <c r="J14" s="71"/>
      <c r="K14" s="71"/>
      <c r="L14" s="71"/>
      <c r="M14" s="71"/>
    </row>
    <row r="15" spans="1:13" s="62" customFormat="1" ht="11.25" customHeight="1">
      <c r="C15" s="61" t="s">
        <v>140</v>
      </c>
      <c r="D15" s="71"/>
      <c r="E15" s="71"/>
      <c r="F15" s="71"/>
      <c r="G15" s="71"/>
      <c r="H15" s="177">
        <f>SUM(H10:H14)</f>
        <v>115.59334839678553</v>
      </c>
      <c r="J15" s="71"/>
      <c r="K15" s="71"/>
      <c r="L15" s="71"/>
      <c r="M15" s="71"/>
    </row>
    <row r="16" spans="1:13" s="62" customFormat="1" ht="11.25" customHeight="1">
      <c r="C16" s="61"/>
      <c r="D16" s="203" t="s">
        <v>142</v>
      </c>
      <c r="E16" s="203" t="s">
        <v>143</v>
      </c>
      <c r="F16" s="203" t="s">
        <v>144</v>
      </c>
      <c r="G16" s="203" t="s">
        <v>141</v>
      </c>
      <c r="H16" s="207"/>
      <c r="J16" s="71"/>
      <c r="K16" s="71"/>
      <c r="L16" s="71"/>
      <c r="M16" s="71"/>
    </row>
    <row r="17" spans="1:13" s="62" customFormat="1" ht="11.25" customHeight="1">
      <c r="C17" s="61" t="s">
        <v>145</v>
      </c>
      <c r="D17" s="206">
        <v>1</v>
      </c>
      <c r="E17" s="206">
        <f>(H15-80)/(100-80)</f>
        <v>1.7796674198392766</v>
      </c>
      <c r="F17" s="206">
        <v>0</v>
      </c>
      <c r="G17" s="206">
        <f>IF(H15&gt;=100,1,IF(H15&lt;80,0,E17))</f>
        <v>1</v>
      </c>
      <c r="H17" s="207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7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7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A13" zoomScale="115" zoomScaleNormal="115" workbookViewId="0">
      <selection activeCell="D25" sqref="D25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AST gas 2023-28 Gas AA Proposal - Capital expenditure sharing scheme model</v>
      </c>
      <c r="C1" s="2"/>
      <c r="D1" s="96" t="s">
        <v>43</v>
      </c>
      <c r="E1" s="136" t="s">
        <v>44</v>
      </c>
      <c r="F1" s="141" t="s">
        <v>32</v>
      </c>
      <c r="G1" s="198" t="s">
        <v>97</v>
      </c>
      <c r="H1" s="199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5">
        <f>IF('Input | General'!D14="Yes",'Input | General'!D13,"n/a")</f>
        <v>2018</v>
      </c>
      <c r="E7" s="155">
        <f>IF('Input | General'!E14="Yes",'Input | General'!E13,"n/a")</f>
        <v>2019</v>
      </c>
      <c r="F7" s="155">
        <f>IF('Input | General'!F14="Yes",'Input | General'!F13,"n/a")</f>
        <v>2020</v>
      </c>
      <c r="G7" s="155">
        <f>IF('Input | General'!G14="Yes",'Input | General'!G13,"n/a")</f>
        <v>2021</v>
      </c>
      <c r="H7" s="159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2">
        <f>'Input | Inflation and Disc Rate'!G20</f>
        <v>3.4087332412137218E-2</v>
      </c>
      <c r="E8" s="143">
        <f>'Input | Inflation and Disc Rate'!H20</f>
        <v>3.380691054853853E-2</v>
      </c>
      <c r="F8" s="143">
        <f>'Input | Inflation and Disc Rate'!I20</f>
        <v>3.2900386733906786E-2</v>
      </c>
      <c r="G8" s="143">
        <f>'Input | Inflation and Disc Rate'!J20</f>
        <v>3.1562637503338563E-2</v>
      </c>
      <c r="H8" s="144">
        <f>'Input | Inflation and Disc Rate'!K20</f>
        <v>2.9978877207864942E-2</v>
      </c>
      <c r="I8" s="87"/>
      <c r="J8" s="71"/>
      <c r="K8" s="71"/>
    </row>
    <row r="9" spans="2:23" ht="11.25" customHeight="1">
      <c r="C9" s="129" t="s">
        <v>90</v>
      </c>
      <c r="D9" s="143">
        <f>'Input | Inflation and Disc Rate'!G22</f>
        <v>5.4083496298559686E-2</v>
      </c>
      <c r="E9" s="143">
        <f>'Input | Inflation and Disc Rate'!H22</f>
        <v>5.5286186919465852E-2</v>
      </c>
      <c r="F9" s="143">
        <f>'Input | Inflation and Disc Rate'!I22</f>
        <v>4.9353667230553233E-2</v>
      </c>
      <c r="G9" s="143">
        <f>'Input | Inflation and Disc Rate'!J22</f>
        <v>2.7968342599145934E-2</v>
      </c>
      <c r="H9" s="144">
        <f>'Input | Inflation and Disc Rate'!K22</f>
        <v>6.9593449408167141E-2</v>
      </c>
      <c r="I9" s="87"/>
      <c r="J9" s="71"/>
      <c r="K9" s="71"/>
    </row>
    <row r="10" spans="2:23" ht="11.25" customHeight="1">
      <c r="C10" s="101" t="s">
        <v>13</v>
      </c>
      <c r="D10" s="145">
        <f>'Input | Reported Capex'!H$12*'Input | Inflation and Disc Rate'!G$15*(1+'Input | Inflation and Disc Rate'!G$20)^0.5</f>
        <v>106.91197064632817</v>
      </c>
      <c r="E10" s="146">
        <f>'Input | Reported Capex'!I$12*'Input | Inflation and Disc Rate'!H$15*(1+'Input | Inflation and Disc Rate'!H$20)^0.5</f>
        <v>106.02831039976799</v>
      </c>
      <c r="F10" s="146">
        <f>'Input | Reported Capex'!J$12*'Input | Inflation and Disc Rate'!I$15*(1+'Input | Inflation and Disc Rate'!I$20)^0.5</f>
        <v>104.22374116844654</v>
      </c>
      <c r="G10" s="146">
        <f>'Input | Reported Capex'!K$12*'Input | Inflation and Disc Rate'!J$15*(1+'Input | Inflation and Disc Rate'!J$20)^0.5</f>
        <v>97.216833777999852</v>
      </c>
      <c r="H10" s="147">
        <f>'Input | Reported Capex'!L$12*'Input | Inflation and Disc Rate'!K$15*(1+'Input | Inflation and Disc Rate'!K$20)^0.5</f>
        <v>95.779568009350683</v>
      </c>
      <c r="I10" s="87"/>
      <c r="J10" s="71"/>
      <c r="K10" s="71"/>
      <c r="N10" s="120"/>
    </row>
    <row r="11" spans="2:23" ht="11.25" customHeight="1">
      <c r="C11" s="101" t="s">
        <v>15</v>
      </c>
      <c r="D11" s="148">
        <f>'Input | Reported Capex'!H23*(1+D$9)^0.5</f>
        <v>97.845287815072936</v>
      </c>
      <c r="E11" s="146">
        <f>'Input | Reported Capex'!I23*(1+E$9)^0.5</f>
        <v>96.957520384629234</v>
      </c>
      <c r="F11" s="146">
        <f>'Input | Reported Capex'!J23*(1+F$9)^0.5</f>
        <v>93.238081529305532</v>
      </c>
      <c r="G11" s="146">
        <f>'Input | Reported Capex'!K23*(1+G$9)^0.5</f>
        <v>100.9912018417693</v>
      </c>
      <c r="H11" s="147">
        <f>'Input | Reported Capex'!L23*(1+H$9)^0.5</f>
        <v>92.625723871680918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9.0666828312552354</v>
      </c>
      <c r="E12" s="127">
        <f>(E10-E11)</f>
        <v>9.0707900151387548</v>
      </c>
      <c r="F12" s="127">
        <f>(F10-F11)</f>
        <v>10.985659639141005</v>
      </c>
      <c r="G12" s="127">
        <f>(G10-G11)</f>
        <v>-3.7743680637694439</v>
      </c>
      <c r="H12" s="130">
        <f>(H10-H11)</f>
        <v>3.1538441376697648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0.30651653544821578</v>
      </c>
      <c r="F13" s="127">
        <f>$D$12*$F$8*(1+'Input | Inflation and Disc Rate'!H13)</f>
        <v>0.30449505857491088</v>
      </c>
      <c r="G13" s="127">
        <f>$D$12*$G$8*(1+'Input | Inflation and Disc Rate'!H13)*(1+'Input | Inflation and Disc Rate'!I13)</f>
        <v>0.29676725406289878</v>
      </c>
      <c r="H13" s="130">
        <f>$D$12*$H$8*(1+'Input | Inflation and Disc Rate'!H13)*(1+'Input | Inflation and Disc Rate'!I13)*(1+'Input | Inflation and Disc Rate'!J13)</f>
        <v>0.28089382397949553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0.29843249948012524</v>
      </c>
      <c r="G14" s="127">
        <f>$E$12*G$8*(1+'Input | Inflation and Disc Rate'!I13)</f>
        <v>0.2908585571415957</v>
      </c>
      <c r="H14" s="130">
        <f>$E$12*H$8*(1+'Input | Inflation and Disc Rate'!I13)*(1+'Input | Inflation and Disc Rate'!J13)</f>
        <v>0.27530117030818135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0.34673639292526465</v>
      </c>
      <c r="H15" s="130">
        <f>$F$12*$H$8*(1+'Input | Inflation and Disc Rate'!J13)</f>
        <v>0.32819022310659562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-0.11315131672103111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0.30651653544821578</v>
      </c>
      <c r="F18" s="82">
        <f>SUM(F13:F17)</f>
        <v>0.60292755805503617</v>
      </c>
      <c r="G18" s="82">
        <f>SUM(G13:G17)</f>
        <v>0.93436220412975923</v>
      </c>
      <c r="H18" s="83">
        <f>SUM(H13:H17)</f>
        <v>0.77123390067324149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1.2175606754772994</v>
      </c>
      <c r="E19" s="82">
        <f>F19*(1+F$9)</f>
        <v>1.1537729675317143</v>
      </c>
      <c r="F19" s="82">
        <f>G19*(1+G$9)</f>
        <v>1.099508205443017</v>
      </c>
      <c r="G19" s="82">
        <f>H19*(1+H$9)</f>
        <v>1.0695934494081671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6" t="s">
        <v>120</v>
      </c>
      <c r="D20" s="80">
        <f>D12*D19</f>
        <v>11.039236472361559</v>
      </c>
      <c r="E20" s="127">
        <f>E12*E19</f>
        <v>10.465632313623685</v>
      </c>
      <c r="F20" s="127">
        <f>F12*F19</f>
        <v>12.078822915439709</v>
      </c>
      <c r="G20" s="127">
        <f>G12*G19</f>
        <v>-4.0370393566631844</v>
      </c>
      <c r="H20" s="130">
        <f>H12*H19</f>
        <v>3.1538441376697648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7" t="s">
        <v>121</v>
      </c>
      <c r="D21" s="81">
        <f>D18*D19</f>
        <v>0</v>
      </c>
      <c r="E21" s="82">
        <f>E18*E19</f>
        <v>0.35365049270162785</v>
      </c>
      <c r="F21" s="82">
        <f>F18*F19</f>
        <v>0.66292379736923324</v>
      </c>
      <c r="G21" s="82">
        <f>G18*G19</f>
        <v>0.99938769291176721</v>
      </c>
      <c r="H21" s="83">
        <f>H18*H19</f>
        <v>0.77123390067324149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60" t="str">
        <f>'Input | General'!$D$18</f>
        <v>2023-24</v>
      </c>
      <c r="E24" s="160" t="str">
        <f>'Input | General'!$E$18</f>
        <v>2024–25</v>
      </c>
      <c r="F24" s="160" t="str">
        <f>'Input | General'!$F$18</f>
        <v>2025–26</v>
      </c>
      <c r="G24" s="160" t="str">
        <f>'Input | General'!$G$18</f>
        <v>2026–27</v>
      </c>
      <c r="H24" s="161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9">
        <f ca="1">'Input | Inflation and Disc Rate'!M$22</f>
        <v>5.5737137404024084E-2</v>
      </c>
      <c r="E25" s="149">
        <f ca="1">'Input | Inflation and Disc Rate'!N$22</f>
        <v>5.6566777255741219E-2</v>
      </c>
      <c r="F25" s="149">
        <f ca="1">'Input | Inflation and Disc Rate'!O$22</f>
        <v>5.7396417107458575E-2</v>
      </c>
      <c r="G25" s="149">
        <f ca="1">'Input | Inflation and Disc Rate'!P$22</f>
        <v>5.8226056959175487E-2</v>
      </c>
      <c r="H25" s="150">
        <f ca="1">'Input | Inflation and Disc Rate'!Q$22</f>
        <v>5.9055696810892844E-2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6">
        <f ca="1">'Input | Reported Capex'!H31</f>
        <v>0</v>
      </c>
      <c r="E26" s="146">
        <f ca="1">'Input | Reported Capex'!I31</f>
        <v>0</v>
      </c>
      <c r="F26" s="146">
        <f ca="1">'Input | Reported Capex'!J31</f>
        <v>0</v>
      </c>
      <c r="G26" s="146">
        <f ca="1">'Input | Reported Capex'!K31</f>
        <v>0</v>
      </c>
      <c r="H26" s="147">
        <f ca="1"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1">
        <f ca="1">1/((1+D25)^(0.5)*(1+'Input | Inflation and Disc Rate'!$L$22))</f>
        <v>0.95696151557745146</v>
      </c>
      <c r="E27" s="179">
        <f ca="1">1/((1+E25)^(0.5)*(1+D25)*(1+'Input | Inflation and Disc Rate'!$L$22))</f>
        <v>0.90608324185609834</v>
      </c>
      <c r="F27" s="179">
        <f ca="1">1/((1+F25)^(0.5)*(1+E25)*(1+D25)*(1+'Input | Inflation and Disc Rate'!$L$22))</f>
        <v>0.85723660095008025</v>
      </c>
      <c r="G27" s="179">
        <f ca="1">1/((1+G25)^(0.5)*(1+F25)*(1+E25)*(1+D25)*(1+'Input | Inflation and Disc Rate'!$L$22))</f>
        <v>0.81038718142910726</v>
      </c>
      <c r="H27" s="180">
        <f ca="1">1/((1+H25)^(0.5)*(1+G25)*(1+F25)*(1+E25)*(1+D25)*(1+'Input | Inflation and Disc Rate'!$L$22))</f>
        <v>0.765497782427493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8" t="s">
        <v>154</v>
      </c>
      <c r="D28" s="82">
        <f ca="1">D26*D27</f>
        <v>0</v>
      </c>
      <c r="E28" s="82">
        <f ca="1">E26*E27</f>
        <v>0</v>
      </c>
      <c r="F28" s="82">
        <f ca="1">F26*F27</f>
        <v>0</v>
      </c>
      <c r="G28" s="82">
        <f ca="1">G26*G27</f>
        <v>0</v>
      </c>
      <c r="H28" s="83">
        <f ca="1"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 ca="1">SUM(D20:H20)-SUM(D28:H28)</f>
        <v>32.700496482431532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 ca="1">(1-D32)*D31</f>
        <v>22.89034753770207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3">
        <f ca="1">D32*D31</f>
        <v>9.810148944729459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4">
        <f>SUM(D21:H21)</f>
        <v>2.7871958836558695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7" t="s">
        <v>122</v>
      </c>
      <c r="D36" s="93">
        <f ca="1">D34-D35</f>
        <v>7.02295306107359</v>
      </c>
      <c r="E36" s="86"/>
      <c r="F36" s="173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8" t="s">
        <v>123</v>
      </c>
      <c r="D37" s="182">
        <f ca="1">D36*(1+'Input | Inflation and Disc Rate'!L22)</f>
        <v>7.1424530359620979</v>
      </c>
      <c r="E37" s="86"/>
      <c r="F37" s="173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2" t="str">
        <f>'Input | General'!D18</f>
        <v>2023-24</v>
      </c>
      <c r="E41" s="162" t="str">
        <f>'Input | General'!E18</f>
        <v>2024–25</v>
      </c>
      <c r="F41" s="162" t="str">
        <f>'Input | General'!F18</f>
        <v>2025–26</v>
      </c>
      <c r="G41" s="162" t="str">
        <f>'Input | General'!G18</f>
        <v>2026–27</v>
      </c>
      <c r="H41" s="162" t="str">
        <f>'Input | General'!H18</f>
        <v>2027–28</v>
      </c>
    </row>
    <row r="42" spans="2:15" s="24" customFormat="1" ht="11.25" customHeight="1">
      <c r="C42" s="90" t="s">
        <v>94</v>
      </c>
      <c r="D42" s="151">
        <f ca="1">1/(1+'Input | Inflation and Disc Rate'!M21)</f>
        <v>0.97485729358599438</v>
      </c>
      <c r="E42" s="151">
        <f ca="1">D42/(1+'Input | Inflation and Disc Rate'!N21)</f>
        <v>0.94960050935151663</v>
      </c>
      <c r="F42" s="151">
        <f ca="1">E42/(1+'Input | Inflation and Disc Rate'!O21)</f>
        <v>0.92427232329541043</v>
      </c>
      <c r="G42" s="151">
        <f ca="1">F42/(1+'Input | Inflation and Disc Rate'!P21)</f>
        <v>0.89891440851242588</v>
      </c>
      <c r="H42" s="152">
        <f ca="1">G42/(1+'Input | Inflation and Disc Rate'!Q21)</f>
        <v>0.8735673328895639</v>
      </c>
    </row>
    <row r="43" spans="2:15" s="24" customFormat="1" ht="11.25" customHeight="1">
      <c r="C43" s="168" t="str">
        <f>CONCATENATE("CESS Payment Per Year before CPF ($", 'Output | Models'!$F$8," million)")</f>
        <v>CESS Payment Per Year before CPF ($2022–23 million)</v>
      </c>
      <c r="D43" s="183">
        <f ca="1">D37/(SUM(D42:H42))</f>
        <v>1.5455800860343438</v>
      </c>
      <c r="E43" s="184">
        <f ca="1">D43</f>
        <v>1.5455800860343438</v>
      </c>
      <c r="F43" s="184">
        <f ca="1">E43</f>
        <v>1.5455800860343438</v>
      </c>
      <c r="G43" s="184">
        <f ca="1">F43</f>
        <v>1.5455800860343438</v>
      </c>
      <c r="H43" s="185">
        <f ca="1">G43</f>
        <v>1.5455800860343438</v>
      </c>
    </row>
    <row r="44" spans="2:15" s="24" customFormat="1" ht="11.25" customHeight="1">
      <c r="C44" s="167" t="s">
        <v>145</v>
      </c>
      <c r="D44" s="208">
        <f ca="1">IF($D$34&lt;=$D$35,1,'Input | Asset Performance Index'!$G$17)</f>
        <v>1</v>
      </c>
      <c r="E44" s="208">
        <f ca="1">IF($D$34&lt;=$D$35,1,'Input | Asset Performance Index'!$G$17)</f>
        <v>1</v>
      </c>
      <c r="F44" s="208">
        <f ca="1">IF($D$34&lt;=$D$35,1,'Input | Asset Performance Index'!$G$17)</f>
        <v>1</v>
      </c>
      <c r="G44" s="208">
        <f ca="1">IF($D$34&lt;=$D$35,1,'Input | Asset Performance Index'!$G$17)</f>
        <v>1</v>
      </c>
      <c r="H44" s="208">
        <f ca="1">IF($D$34&lt;=$D$35,1,'Input | Asset Performance Index'!$G$17)</f>
        <v>1</v>
      </c>
    </row>
    <row r="45" spans="2:15" s="24" customFormat="1" ht="11.25" customHeight="1">
      <c r="C45" s="167" t="str">
        <f>CONCATENATE("CESS Payment Per Year after CPF ($", 'Output | Models'!$F$8," million)")</f>
        <v>CESS Payment Per Year after CPF ($2022–23 million)</v>
      </c>
      <c r="D45" s="202">
        <f ca="1">D43*D44</f>
        <v>1.5455800860343438</v>
      </c>
      <c r="E45" s="202">
        <f ca="1">E43*E44</f>
        <v>1.5455800860343438</v>
      </c>
      <c r="F45" s="202">
        <f ca="1">F43*F44</f>
        <v>1.5455800860343438</v>
      </c>
      <c r="G45" s="202">
        <f ca="1">G43*G44</f>
        <v>1.5455800860343438</v>
      </c>
      <c r="H45" s="202">
        <f ca="1">H43*H44</f>
        <v>1.5455800860343438</v>
      </c>
    </row>
    <row r="46" spans="2:15" s="71" customFormat="1" ht="11.25" customHeight="1"/>
    <row r="47" spans="2:15" s="24" customFormat="1" ht="11.25" customHeight="1">
      <c r="C47" s="168" t="str">
        <f>CONCATENATE("Total CESS Payment ($", 'Output | Models'!$F$8," million)")</f>
        <v>Total CESS Payment ($2022–23 million)</v>
      </c>
      <c r="D47" s="135">
        <f ca="1">SUM(D45:H45)</f>
        <v>7.7279004301717187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abSelected="1" topLeftCell="I1" workbookViewId="0">
      <selection activeCell="J8" sqref="J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AST gas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1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44"/>
      <c r="K3" s="244"/>
      <c r="L3" s="244"/>
      <c r="M3" s="35"/>
      <c r="N3" s="244"/>
      <c r="O3" s="244"/>
      <c r="P3" s="244"/>
      <c r="Q3" s="244"/>
      <c r="R3" s="244"/>
      <c r="S3" s="244"/>
      <c r="T3" s="244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3" t="str">
        <f>'Calc | CESS Revenue Increments'!D41</f>
        <v>2023-24</v>
      </c>
      <c r="K6" s="163" t="str">
        <f>'Calc | CESS Revenue Increments'!E41</f>
        <v>2024–25</v>
      </c>
      <c r="L6" s="163" t="str">
        <f>'Calc | CESS Revenue Increments'!F41</f>
        <v>2025–26</v>
      </c>
      <c r="M6" s="163" t="str">
        <f>'Calc | CESS Revenue Increments'!G41</f>
        <v>2026–27</v>
      </c>
      <c r="N6" s="163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5" t="s">
        <v>54</v>
      </c>
      <c r="E8" s="45" t="s">
        <v>46</v>
      </c>
      <c r="F8" s="164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 ca="1">'Calc | CESS Revenue Increments'!D45</f>
        <v>1.5455800860343438</v>
      </c>
      <c r="K8" s="115">
        <f ca="1">'Calc | CESS Revenue Increments'!E45</f>
        <v>1.5455800860343438</v>
      </c>
      <c r="L8" s="115">
        <f ca="1">'Calc | CESS Revenue Increments'!F45</f>
        <v>1.5455800860343438</v>
      </c>
      <c r="M8" s="115">
        <f ca="1">'Calc | CESS Revenue Increments'!G45</f>
        <v>1.5455800860343438</v>
      </c>
      <c r="N8" s="115">
        <f ca="1">'Calc | CESS Revenue Increments'!H45</f>
        <v>1.5455800860343438</v>
      </c>
      <c r="O8" s="52">
        <f ca="1">SUM(J8:N8)</f>
        <v>7.7279004301717187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O9" s="242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8C903532EB34B83AD0B9FCE85DA5A" ma:contentTypeVersion="4" ma:contentTypeDescription="Create a new document." ma:contentTypeScope="" ma:versionID="f7dacd8caac23ece0b0741b83774d278">
  <xsd:schema xmlns:xsd="http://www.w3.org/2001/XMLSchema" xmlns:xs="http://www.w3.org/2001/XMLSchema" xmlns:p="http://schemas.microsoft.com/office/2006/metadata/properties" xmlns:ns2="2d72c0e6-4d35-4430-bdbc-b1366eef4b28" targetNamespace="http://schemas.microsoft.com/office/2006/metadata/properties" ma:root="true" ma:fieldsID="64107c3251267e6b8386030d126ee0ee" ns2:_="">
    <xsd:import namespace="2d72c0e6-4d35-4430-bdbc-b1366eef4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c0e6-4d35-4430-bdbc-b1366eef4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5285F7-5C9A-4D3F-B9FE-4E18659CE269}"/>
</file>

<file path=customXml/itemProps2.xml><?xml version="1.0" encoding="utf-8"?>
<ds:datastoreItem xmlns:ds="http://schemas.openxmlformats.org/officeDocument/2006/customXml" ds:itemID="{96234DEF-1534-4907-A088-033EA36355C5}"/>
</file>

<file path=customXml/itemProps3.xml><?xml version="1.0" encoding="utf-8"?>
<ds:datastoreItem xmlns:ds="http://schemas.openxmlformats.org/officeDocument/2006/customXml" ds:itemID="{305D9582-A7DC-44D5-A91D-F8255B163CFE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Kane Glenister</cp:lastModifiedBy>
  <dcterms:created xsi:type="dcterms:W3CDTF">2017-09-22T02:00:05Z</dcterms:created>
  <dcterms:modified xsi:type="dcterms:W3CDTF">2024-09-25T03:56:11Z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0x010100B118C903532EB34B83AD0B9FCE85DA5A</vt:lpwstr>
  </property>
</Properties>
</file>