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526C1059-1EC1-4280-A22B-9DABB940D10B}" xr6:coauthVersionLast="47" xr6:coauthVersionMax="47" xr10:uidLastSave="{00000000-0000-0000-0000-000000000000}"/>
  <bookViews>
    <workbookView xWindow="-28920" yWindow="-45" windowWidth="29040" windowHeight="15840" tabRatio="691" activeTab="5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definedNames>
    <definedName name="A10remlife">#REF!</definedName>
    <definedName name="A10stdlife">#REF!</definedName>
    <definedName name="A10taxremlife">#REF!</definedName>
    <definedName name="A10taxstdlife">#REF!</definedName>
    <definedName name="A10taxvalue">#REF!</definedName>
    <definedName name="A10value">#REF!</definedName>
    <definedName name="A11remlife">#REF!</definedName>
    <definedName name="A11stdlife">#REF!</definedName>
    <definedName name="A11taxremlife">#REF!</definedName>
    <definedName name="A11taxstdlife">#REF!</definedName>
    <definedName name="A11taxvalue">#REF!</definedName>
    <definedName name="A11value">#REF!</definedName>
    <definedName name="A12remlife">#REF!</definedName>
    <definedName name="A12stdlife">#REF!</definedName>
    <definedName name="A12taxremlife">#REF!</definedName>
    <definedName name="A12taxstdlife">#REF!</definedName>
    <definedName name="A12taxvalue">#REF!</definedName>
    <definedName name="A12value">#REF!</definedName>
    <definedName name="A13remlife">#REF!</definedName>
    <definedName name="A13stdlife">#REF!</definedName>
    <definedName name="A13taxremlife">#REF!</definedName>
    <definedName name="A13taxstdlife">#REF!</definedName>
    <definedName name="A13taxvalue">#REF!</definedName>
    <definedName name="A13value">#REF!</definedName>
    <definedName name="A14remlife">#REF!</definedName>
    <definedName name="A14stdlife">#REF!</definedName>
    <definedName name="A14taxremlife">#REF!</definedName>
    <definedName name="A14taxstdlife">#REF!</definedName>
    <definedName name="A14taxvalue">#REF!</definedName>
    <definedName name="A14value">#REF!</definedName>
    <definedName name="A15remlife">#REF!</definedName>
    <definedName name="A15stdlife">#REF!</definedName>
    <definedName name="A15taxremlife">#REF!</definedName>
    <definedName name="A15taxstdlife">#REF!</definedName>
    <definedName name="A15taxvalue">#REF!</definedName>
    <definedName name="A15value">#REF!</definedName>
    <definedName name="A16remlife">#REF!</definedName>
    <definedName name="A16stdlife">#REF!</definedName>
    <definedName name="A16taxremlife">#REF!</definedName>
    <definedName name="A16taxstdlife">#REF!</definedName>
    <definedName name="A16taxvalue">#REF!</definedName>
    <definedName name="A16value">#REF!</definedName>
    <definedName name="A17remlife">#REF!</definedName>
    <definedName name="A17stdlife">#REF!</definedName>
    <definedName name="A17taxremlife">#REF!</definedName>
    <definedName name="A17taxstdlife">#REF!</definedName>
    <definedName name="A17taxvalue">#REF!</definedName>
    <definedName name="A17value">#REF!</definedName>
    <definedName name="A18remlife">#REF!</definedName>
    <definedName name="A18stdlife">#REF!</definedName>
    <definedName name="A18taxremlife">#REF!</definedName>
    <definedName name="A18taxstdlife">#REF!</definedName>
    <definedName name="A18taxvalue">#REF!</definedName>
    <definedName name="A18value">#REF!</definedName>
    <definedName name="A19remlife">#REF!</definedName>
    <definedName name="A19stdlife">#REF!</definedName>
    <definedName name="A19taxremlife">#REF!</definedName>
    <definedName name="A19taxstdlife">#REF!</definedName>
    <definedName name="A19taxvalue">#REF!</definedName>
    <definedName name="A19value">#REF!</definedName>
    <definedName name="A1remlife">#REF!</definedName>
    <definedName name="A1stdlife">#REF!</definedName>
    <definedName name="A1taxremlife">#REF!</definedName>
    <definedName name="A1taxstdlife">#REF!</definedName>
    <definedName name="A1taxvalue">#REF!</definedName>
    <definedName name="A1value">#REF!</definedName>
    <definedName name="A20remlife">#REF!</definedName>
    <definedName name="A20stdlife">#REF!</definedName>
    <definedName name="A20taxremlife">#REF!</definedName>
    <definedName name="A20taxstdlife">#REF!</definedName>
    <definedName name="A20taxvalue">#REF!</definedName>
    <definedName name="A20value">#REF!</definedName>
    <definedName name="A21remlife">#REF!</definedName>
    <definedName name="A21stdlife">#REF!</definedName>
    <definedName name="A21taxremlife">#REF!</definedName>
    <definedName name="A21taxstdlife">#REF!</definedName>
    <definedName name="A21taxvalue">#REF!</definedName>
    <definedName name="A21value">#REF!</definedName>
    <definedName name="A22remlife">#REF!</definedName>
    <definedName name="A22stdlife">#REF!</definedName>
    <definedName name="A22taxremlife">#REF!</definedName>
    <definedName name="A22taxstdlife">#REF!</definedName>
    <definedName name="A22taxvalue">#REF!</definedName>
    <definedName name="A22value">#REF!</definedName>
    <definedName name="A23remlife">#REF!</definedName>
    <definedName name="A23stdlife">#REF!</definedName>
    <definedName name="A23taxremlife">#REF!</definedName>
    <definedName name="A23taxstdlife">#REF!</definedName>
    <definedName name="A23taxvalue">#REF!</definedName>
    <definedName name="A23value">#REF!</definedName>
    <definedName name="A24remlife">#REF!</definedName>
    <definedName name="A24stdlife">#REF!</definedName>
    <definedName name="A24taxremlife">#REF!</definedName>
    <definedName name="A24taxstdlife">#REF!</definedName>
    <definedName name="A24taxvalue">#REF!</definedName>
    <definedName name="A24value">#REF!</definedName>
    <definedName name="A25remlife">#REF!</definedName>
    <definedName name="A25stdlife">#REF!</definedName>
    <definedName name="A25taxremlife">#REF!</definedName>
    <definedName name="A25taxstdlife">#REF!</definedName>
    <definedName name="A25taxvalue">#REF!</definedName>
    <definedName name="A25value">#REF!</definedName>
    <definedName name="A26remlife">#REF!</definedName>
    <definedName name="A26stdlife">#REF!</definedName>
    <definedName name="A26taxremlife">#REF!</definedName>
    <definedName name="A26taxstdlife">#REF!</definedName>
    <definedName name="A26taxvalue">#REF!</definedName>
    <definedName name="A26value">#REF!</definedName>
    <definedName name="A27remlife">#REF!</definedName>
    <definedName name="A27stdlife">#REF!</definedName>
    <definedName name="A27taxremlife">#REF!</definedName>
    <definedName name="A27taxstdlife">#REF!</definedName>
    <definedName name="A27taxvalue">#REF!</definedName>
    <definedName name="A27value">#REF!</definedName>
    <definedName name="A28remlife">#REF!</definedName>
    <definedName name="A28stdlife">#REF!</definedName>
    <definedName name="A28taxremlife">#REF!</definedName>
    <definedName name="A28taxstdlife">#REF!</definedName>
    <definedName name="A28taxvalue">#REF!</definedName>
    <definedName name="A28value">#REF!</definedName>
    <definedName name="A29remlife">#REF!</definedName>
    <definedName name="A29stdlife">#REF!</definedName>
    <definedName name="A29taxremlife">#REF!</definedName>
    <definedName name="A29taxstdlife">#REF!</definedName>
    <definedName name="A29taxvalue">#REF!</definedName>
    <definedName name="A29value">#REF!</definedName>
    <definedName name="A2remlife">#REF!</definedName>
    <definedName name="A2stdlife">#REF!</definedName>
    <definedName name="A2taxremlife">#REF!</definedName>
    <definedName name="A2taxstdlife">#REF!</definedName>
    <definedName name="A2taxvalue">#REF!</definedName>
    <definedName name="A2value">#REF!</definedName>
    <definedName name="A30remlife">#REF!</definedName>
    <definedName name="A30stdlife">#REF!</definedName>
    <definedName name="A30taxremlife">#REF!</definedName>
    <definedName name="A30taxstdlife">#REF!</definedName>
    <definedName name="A30taxvalue">#REF!</definedName>
    <definedName name="A30value">#REF!</definedName>
    <definedName name="A31remlife">#REF!</definedName>
    <definedName name="A31stdlife">#REF!</definedName>
    <definedName name="A31taxremlife">#REF!</definedName>
    <definedName name="A31taxstdlife">#REF!</definedName>
    <definedName name="A31taxvalue">#REF!</definedName>
    <definedName name="A31value">#REF!</definedName>
    <definedName name="A32remlife">#REF!</definedName>
    <definedName name="A32stdlife">#REF!</definedName>
    <definedName name="A32taxremlife">#REF!</definedName>
    <definedName name="A32taxstdlife">#REF!</definedName>
    <definedName name="A32taxvalue">#REF!</definedName>
    <definedName name="A32value">#REF!</definedName>
    <definedName name="A33remlife">#REF!</definedName>
    <definedName name="A33stdlife">#REF!</definedName>
    <definedName name="A33taxremlife">#REF!</definedName>
    <definedName name="A33taxstdlife">#REF!</definedName>
    <definedName name="A33taxvalue">#REF!</definedName>
    <definedName name="A33value">#REF!</definedName>
    <definedName name="A34remlife">#REF!</definedName>
    <definedName name="A34stdlife">#REF!</definedName>
    <definedName name="A34taxremlife">#REF!</definedName>
    <definedName name="A34taxstdlife">#REF!</definedName>
    <definedName name="A34taxvalue">#REF!</definedName>
    <definedName name="A34value">#REF!</definedName>
    <definedName name="A35remlife">#REF!</definedName>
    <definedName name="A35stdlife">#REF!</definedName>
    <definedName name="A35taxremlife">#REF!</definedName>
    <definedName name="A35taxstdlife">#REF!</definedName>
    <definedName name="A35taxvalue">#REF!</definedName>
    <definedName name="A35value">#REF!</definedName>
    <definedName name="A36remlife">#REF!</definedName>
    <definedName name="A36stdlife">#REF!</definedName>
    <definedName name="A36taxremlife">#REF!</definedName>
    <definedName name="A36taxstdlife">#REF!</definedName>
    <definedName name="A36taxvalue">#REF!</definedName>
    <definedName name="A36value">#REF!</definedName>
    <definedName name="A37remlife">#REF!</definedName>
    <definedName name="A37stdlife">#REF!</definedName>
    <definedName name="A37taxremlife">#REF!</definedName>
    <definedName name="A37taxstdlife">#REF!</definedName>
    <definedName name="A37taxvalue">#REF!</definedName>
    <definedName name="A37value">#REF!</definedName>
    <definedName name="A38remlife">#REF!</definedName>
    <definedName name="A38stdlife">#REF!</definedName>
    <definedName name="A38taxremlife">#REF!</definedName>
    <definedName name="A38taxstdlife">#REF!</definedName>
    <definedName name="A38taxvalue">#REF!</definedName>
    <definedName name="A38value">#REF!</definedName>
    <definedName name="A39remlife">#REF!</definedName>
    <definedName name="A39stdlife">#REF!</definedName>
    <definedName name="A39taxremlife">#REF!</definedName>
    <definedName name="A39taxstdlife">#REF!</definedName>
    <definedName name="A39taxvalue">#REF!</definedName>
    <definedName name="A39value">#REF!</definedName>
    <definedName name="A3remlife">#REF!</definedName>
    <definedName name="A3stdlife">#REF!</definedName>
    <definedName name="A3taxremlife">#REF!</definedName>
    <definedName name="A3taxstdlife">#REF!</definedName>
    <definedName name="A3taxvalue">#REF!</definedName>
    <definedName name="A3value">#REF!</definedName>
    <definedName name="A40remlife">#REF!</definedName>
    <definedName name="A40stdlife">#REF!</definedName>
    <definedName name="A40taxremlife">#REF!</definedName>
    <definedName name="A40taxstdlife">#REF!</definedName>
    <definedName name="A40taxvalue">#REF!</definedName>
    <definedName name="A40value">#REF!</definedName>
    <definedName name="A41remlife">#REF!</definedName>
    <definedName name="A41stdlife">#REF!</definedName>
    <definedName name="A41taxremlife">#REF!</definedName>
    <definedName name="A41taxstdlife">#REF!</definedName>
    <definedName name="A41taxvalue">#REF!</definedName>
    <definedName name="A41value">#REF!</definedName>
    <definedName name="A42remlife">#REF!</definedName>
    <definedName name="A42stdlife">#REF!</definedName>
    <definedName name="A42taxremlife">#REF!</definedName>
    <definedName name="A42taxstdlife">#REF!</definedName>
    <definedName name="A42taxvalue">#REF!</definedName>
    <definedName name="A42value">#REF!</definedName>
    <definedName name="A43remlife">#REF!</definedName>
    <definedName name="A43stdlife">#REF!</definedName>
    <definedName name="A43taxremlife">#REF!</definedName>
    <definedName name="A43taxstdlife">#REF!</definedName>
    <definedName name="A43taxvalue">#REF!</definedName>
    <definedName name="A43value">#REF!</definedName>
    <definedName name="A44remlife">#REF!</definedName>
    <definedName name="A44stdlife">#REF!</definedName>
    <definedName name="A44taxremlife">#REF!</definedName>
    <definedName name="A44taxstdlife">#REF!</definedName>
    <definedName name="A44taxvalue">#REF!</definedName>
    <definedName name="A44value">#REF!</definedName>
    <definedName name="A45remlife">#REF!</definedName>
    <definedName name="A45stdlife">#REF!</definedName>
    <definedName name="A45taxremlife">#REF!</definedName>
    <definedName name="A45taxstdlife">#REF!</definedName>
    <definedName name="A45taxvalue">#REF!</definedName>
    <definedName name="A45value">#REF!</definedName>
    <definedName name="A46remlife">#REF!</definedName>
    <definedName name="A46stdlife">#REF!</definedName>
    <definedName name="A46taxremlife">#REF!</definedName>
    <definedName name="A46taxstdlife">#REF!</definedName>
    <definedName name="A46taxvalue">#REF!</definedName>
    <definedName name="A46value">#REF!</definedName>
    <definedName name="A47remlife">#REF!</definedName>
    <definedName name="A47stdlife">#REF!</definedName>
    <definedName name="A47taxremlife">#REF!</definedName>
    <definedName name="A47taxstdlife">#REF!</definedName>
    <definedName name="A47taxvalue">#REF!</definedName>
    <definedName name="A47value">#REF!</definedName>
    <definedName name="A48remlife">#REF!</definedName>
    <definedName name="A48stdlife">#REF!</definedName>
    <definedName name="A48taxremlife">#REF!</definedName>
    <definedName name="A48taxstdlife">#REF!</definedName>
    <definedName name="A48taxvalue">#REF!</definedName>
    <definedName name="A48value">#REF!</definedName>
    <definedName name="A49remlife">#REF!</definedName>
    <definedName name="A49stdlife">#REF!</definedName>
    <definedName name="A49taxremlife">#REF!</definedName>
    <definedName name="A49taxstdlife">#REF!</definedName>
    <definedName name="A49taxvalue">#REF!</definedName>
    <definedName name="A49value">#REF!</definedName>
    <definedName name="A4remlife">#REF!</definedName>
    <definedName name="A4stdlife">#REF!</definedName>
    <definedName name="A4taxremlife">#REF!</definedName>
    <definedName name="A4taxstdlife">#REF!</definedName>
    <definedName name="A4taxvalue">#REF!</definedName>
    <definedName name="A4value">#REF!</definedName>
    <definedName name="A50remlife">#REF!</definedName>
    <definedName name="A50stdlife">#REF!</definedName>
    <definedName name="A50taxremlife">#REF!</definedName>
    <definedName name="A50taxstdlife">#REF!</definedName>
    <definedName name="A50taxvalue">#REF!</definedName>
    <definedName name="A50value">#REF!</definedName>
    <definedName name="A5remlife">#REF!</definedName>
    <definedName name="A5stdlife">#REF!</definedName>
    <definedName name="A5taxremlife">#REF!</definedName>
    <definedName name="A5taxstdlife">#REF!</definedName>
    <definedName name="A5taxvalue">#REF!</definedName>
    <definedName name="A5value">#REF!</definedName>
    <definedName name="A6remlife">#REF!</definedName>
    <definedName name="A6stdlife">#REF!</definedName>
    <definedName name="A6taxremlife">#REF!</definedName>
    <definedName name="A6taxstdlife">#REF!</definedName>
    <definedName name="A6taxvalue">#REF!</definedName>
    <definedName name="A6value">#REF!</definedName>
    <definedName name="A7remlife">#REF!</definedName>
    <definedName name="A7stdlife">#REF!</definedName>
    <definedName name="A7taxremlife">#REF!</definedName>
    <definedName name="A7taxstdlife">#REF!</definedName>
    <definedName name="A7taxvalue">#REF!</definedName>
    <definedName name="A7value">#REF!</definedName>
    <definedName name="A8remlife">#REF!</definedName>
    <definedName name="A8stdlife">#REF!</definedName>
    <definedName name="A8taxremlife">#REF!</definedName>
    <definedName name="A8taxstdlife">#REF!</definedName>
    <definedName name="A8taxvalue">#REF!</definedName>
    <definedName name="A8value">#REF!</definedName>
    <definedName name="A9remlife">#REF!</definedName>
    <definedName name="A9stdlife">#REF!</definedName>
    <definedName name="A9taxremlife">#REF!</definedName>
    <definedName name="A9taxstdlife">#REF!</definedName>
    <definedName name="A9taxvalue">#REF!</definedName>
    <definedName name="A9value">#REF!</definedName>
    <definedName name="anscount" hidden="1">1</definedName>
    <definedName name="Asset1">#REF!</definedName>
    <definedName name="Asset10">#REF!</definedName>
    <definedName name="Asset11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21">#REF!</definedName>
    <definedName name="Asset22">#REF!</definedName>
    <definedName name="Asset23">#REF!</definedName>
    <definedName name="Asset24">#REF!</definedName>
    <definedName name="Asset25">#REF!</definedName>
    <definedName name="Asset26">#REF!</definedName>
    <definedName name="Asset27">#REF!</definedName>
    <definedName name="Asset28">#REF!</definedName>
    <definedName name="Asset29">#REF!</definedName>
    <definedName name="Asset3">#REF!</definedName>
    <definedName name="Asset30">#REF!</definedName>
    <definedName name="Asset31">#REF!</definedName>
    <definedName name="Asset32">#REF!</definedName>
    <definedName name="Asset33">#REF!</definedName>
    <definedName name="Asset34">#REF!</definedName>
    <definedName name="Asset35">#REF!</definedName>
    <definedName name="Asset36">#REF!</definedName>
    <definedName name="Asset37">#REF!</definedName>
    <definedName name="Asset38">#REF!</definedName>
    <definedName name="Asset39">#REF!</definedName>
    <definedName name="Asset4">#REF!</definedName>
    <definedName name="Asset40">#REF!</definedName>
    <definedName name="Asset41">#REF!</definedName>
    <definedName name="Asset42">#REF!</definedName>
    <definedName name="Asset43">#REF!</definedName>
    <definedName name="Asset44">#REF!</definedName>
    <definedName name="Asset45">#REF!</definedName>
    <definedName name="Asset46">#REF!</definedName>
    <definedName name="Asset47">#REF!</definedName>
    <definedName name="Asset48">#REF!</definedName>
    <definedName name="Asset49">#REF!</definedName>
    <definedName name="Asset5">#REF!</definedName>
    <definedName name="Asset50">#REF!</definedName>
    <definedName name="Asset6">#REF!</definedName>
    <definedName name="Asset7">#REF!</definedName>
    <definedName name="Asset8">#REF!</definedName>
    <definedName name="Asset9">#REF!</definedName>
    <definedName name="CRCP_final_year">#REF!</definedName>
    <definedName name="CRCP_span">CONCATENATE(CRCP_y1, " to ",CRCP_y5)</definedName>
    <definedName name="CRCP_y1">#REF!</definedName>
    <definedName name="CRCP_y10">#REF!</definedName>
    <definedName name="CRCP_y11">#REF!</definedName>
    <definedName name="CRCP_y12">#REF!</definedName>
    <definedName name="CRCP_y13">#REF!</definedName>
    <definedName name="CRCP_y14">#REF!</definedName>
    <definedName name="CRCP_y15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CP_y8">#REF!</definedName>
    <definedName name="CRCP_y9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663_List">#REF!</definedName>
    <definedName name="dms_AAD_AC_VALUES">#REF!</definedName>
    <definedName name="dms_ABN_List">#REF!</definedName>
    <definedName name="dms_ACE_AC_VALUES">#REF!</definedName>
    <definedName name="dms_Addr1_List">#REF!</definedName>
    <definedName name="dms_Addr2_List">#REF!</definedName>
    <definedName name="dms_Amendment_Text">#REF!</definedName>
    <definedName name="dms_Cal_Year_B4_CRY">#REF!</definedName>
    <definedName name="dms_CBD_flag">#REF!</definedName>
    <definedName name="dms_CF_8.1_Neg">#REF!</definedName>
    <definedName name="dms_CF_TradingName">#REF!</definedName>
    <definedName name="dms_Confid_status_List">#REF!</definedName>
    <definedName name="dms_CRCP_start_row">#REF!</definedName>
    <definedName name="dms_CRCPlength_List">#REF!</definedName>
    <definedName name="dms_CRCPlength_Num">#REF!</definedName>
    <definedName name="dms_CRY_RYE">#REF!</definedName>
    <definedName name="dms_CRY_start_row">#REF!</definedName>
    <definedName name="dms_CRY_start_year">#REF!</definedName>
    <definedName name="dms_DataQuality_List">#REF!</definedName>
    <definedName name="dms_DeterminationRef_List">#REF!</definedName>
    <definedName name="dms_DollarReal_year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ormControl_List">#REF!</definedName>
    <definedName name="dms_FRCP_start_row">#REF!</definedName>
    <definedName name="dms_FRCPlength_List">#REF!</definedName>
    <definedName name="dms_FRCPlength_Num">#REF!</definedName>
    <definedName name="dms_Header_Span">#REF!</definedName>
    <definedName name="dms_JurisdictionList">#REF!</definedName>
    <definedName name="dms_LeapYear_Result">#REF!</definedName>
    <definedName name="dms_LongRural_flag">#REF!</definedName>
    <definedName name="dms_Model">#REF!</definedName>
    <definedName name="dms_Model_List">#REF!</definedName>
    <definedName name="dms_Model_Span">#REF!</definedName>
    <definedName name="dms_Model_Span_List">#REF!</definedName>
    <definedName name="dms_MultiYear_Flag">#REF!</definedName>
    <definedName name="dms_MultiYear_ResponseFlag">#REF!</definedName>
    <definedName name="dms_PAddr1_List">#REF!</definedName>
    <definedName name="dms_PAddr2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_List">#REF!</definedName>
    <definedName name="dms_PSuburb_List">#REF!</definedName>
    <definedName name="dms_Public_Lighting_List">#REF!</definedName>
    <definedName name="dms_Reset_final_year">#REF!</definedName>
    <definedName name="dms_Reset_RYE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result">#REF!</definedName>
    <definedName name="dms_RYE_start_row">#REF!</definedName>
    <definedName name="dms_Sector_List">#REF!</definedName>
    <definedName name="dms_Segment">#REF!</definedName>
    <definedName name="dms_Segment_List">#REF!</definedName>
    <definedName name="dms_Selected_Source">#REF!</definedName>
    <definedName name="dms_ShortRural_flag">#REF!</definedName>
    <definedName name="dms_SingleYear_Model">#REF!</definedName>
    <definedName name="dms_SingleYearModel">#REF!</definedName>
    <definedName name="dms_SourceList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_List">#REF!</definedName>
    <definedName name="dms_Suburb_List">#REF!</definedName>
    <definedName name="dms_TradingName">#REF!</definedName>
    <definedName name="dms_TradingName_List">#REF!</definedName>
    <definedName name="dms_TradingNameFull_List">#REF!</definedName>
    <definedName name="dms_Typed_Submission_Date">#REF!</definedName>
    <definedName name="dms_Urban_flag">#REF!</definedName>
    <definedName name="dms_Worksheet_List">#REF!</definedName>
    <definedName name="dms_y1">#REF!</definedName>
    <definedName name="dollars">'Lookup | Tables'!$E$7</definedName>
    <definedName name="factor">'Lookup | Tables'!#REF!</definedName>
    <definedName name="FRCP_final_year">#REF!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millions">'Lookup | Tables'!$E$9</definedName>
    <definedName name="Nominal_to_Real">#REF!</definedName>
    <definedName name="number">'Lookup | Tables'!#REF!</definedName>
    <definedName name="percent" localSheetId="5">#REF!</definedName>
    <definedName name="percent">'Lookup | Tables'!#REF!</definedName>
    <definedName name="PRCP_final_year">#REF!</definedName>
    <definedName name="PRCP_y1">#REF!</definedName>
    <definedName name="PRCP_y10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evious_vanilla">#REF!</definedName>
    <definedName name="RAB">#REF!</definedName>
    <definedName name="thousands">'Lookup | Tables'!$E$8</definedName>
    <definedName name="unit">'Lookup | Tables'!#REF!</definedName>
    <definedName name="vanilla1">#REF!</definedName>
    <definedName name="vanilla10">#REF!</definedName>
    <definedName name="vanilla2">#REF!</definedName>
    <definedName name="vanilla3">#REF!</definedName>
    <definedName name="vanilla4">#REF!</definedName>
    <definedName name="vanilla5">#REF!</definedName>
    <definedName name="vanilla6">#REF!</definedName>
    <definedName name="vanilla7">#REF!</definedName>
    <definedName name="vanilla8">#REF!</definedName>
    <definedName name="vanilla9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K7" i="13" s="1"/>
  <c r="D18" i="2"/>
  <c r="L7" i="13" s="1"/>
  <c r="G13" i="2" l="1"/>
  <c r="E18" i="2"/>
  <c r="J7" i="13" l="1"/>
  <c r="J19" i="13" s="1"/>
  <c r="F13" i="2"/>
  <c r="J6" i="3" s="1"/>
  <c r="M7" i="13"/>
  <c r="M19" i="13" s="1"/>
  <c r="F18" i="2"/>
  <c r="D18" i="4"/>
  <c r="D8" i="4"/>
  <c r="G7" i="4"/>
  <c r="H7" i="4"/>
  <c r="K6" i="3"/>
  <c r="L6" i="3"/>
  <c r="L19" i="13"/>
  <c r="K19" i="13"/>
  <c r="E13" i="2" l="1"/>
  <c r="I7" i="13"/>
  <c r="I19" i="13" s="1"/>
  <c r="F7" i="4"/>
  <c r="G18" i="2"/>
  <c r="N7" i="13"/>
  <c r="N19" i="13" s="1"/>
  <c r="L16" i="3"/>
  <c r="L23" i="3" s="1"/>
  <c r="L12" i="3"/>
  <c r="J16" i="3"/>
  <c r="J23" i="3" s="1"/>
  <c r="J12" i="3"/>
  <c r="K16" i="3"/>
  <c r="K23" i="3" s="1"/>
  <c r="K12" i="3"/>
  <c r="D13" i="2" l="1"/>
  <c r="H7" i="13"/>
  <c r="H19" i="13" s="1"/>
  <c r="I6" i="3"/>
  <c r="E7" i="4"/>
  <c r="H18" i="2"/>
  <c r="P7" i="13" s="1"/>
  <c r="P19" i="13" s="1"/>
  <c r="O7" i="13"/>
  <c r="O19" i="13" s="1"/>
  <c r="G7" i="13" l="1"/>
  <c r="H6" i="3"/>
  <c r="D7" i="4"/>
  <c r="I16" i="3"/>
  <c r="I23" i="3" s="1"/>
  <c r="I12" i="3"/>
  <c r="G22" i="13"/>
  <c r="D9" i="4" s="1"/>
  <c r="H22" i="13"/>
  <c r="I22" i="13"/>
  <c r="J22" i="13"/>
  <c r="K22" i="13"/>
  <c r="H12" i="3" l="1"/>
  <c r="D31" i="4" s="1"/>
  <c r="H16" i="3"/>
  <c r="H23" i="3" s="1"/>
  <c r="F7" i="13"/>
  <c r="F24" i="3" s="1"/>
  <c r="F31" i="3" s="1"/>
  <c r="G19" i="13"/>
  <c r="H9" i="4"/>
  <c r="H8" i="4"/>
  <c r="F8" i="3" l="1"/>
  <c r="F9" i="3"/>
  <c r="F10" i="3"/>
  <c r="F12" i="3"/>
  <c r="G19" i="4"/>
  <c r="M14" i="13"/>
  <c r="E9" i="4"/>
  <c r="M9" i="13"/>
  <c r="N9" i="13" s="1"/>
  <c r="O9" i="13" s="1"/>
  <c r="P9" i="13" s="1"/>
  <c r="C15" i="13"/>
  <c r="G15" i="13"/>
  <c r="C10" i="13"/>
  <c r="G8" i="4"/>
  <c r="F8" i="4"/>
  <c r="E8" i="4"/>
  <c r="F9" i="4"/>
  <c r="C47" i="4"/>
  <c r="B1" i="2"/>
  <c r="B1" i="10" s="1"/>
  <c r="G9" i="4"/>
  <c r="C45" i="4"/>
  <c r="D43" i="4"/>
  <c r="J6" i="10" s="1"/>
  <c r="E43" i="4"/>
  <c r="K6" i="10" s="1"/>
  <c r="F43" i="4"/>
  <c r="L6" i="10" s="1"/>
  <c r="G43" i="4"/>
  <c r="M6" i="10" s="1"/>
  <c r="H43" i="4"/>
  <c r="N6" i="10" s="1"/>
  <c r="H24" i="4"/>
  <c r="G24" i="4"/>
  <c r="F24" i="4"/>
  <c r="E24" i="4"/>
  <c r="D24" i="4"/>
  <c r="H28" i="3"/>
  <c r="I28" i="3"/>
  <c r="J28" i="3"/>
  <c r="K28" i="3"/>
  <c r="L28" i="3"/>
  <c r="H11" i="4"/>
  <c r="D11" i="4"/>
  <c r="F8" i="10"/>
  <c r="E8" i="10"/>
  <c r="C18" i="9"/>
  <c r="H15" i="13" l="1"/>
  <c r="E10" i="4" s="1"/>
  <c r="H24" i="3"/>
  <c r="D10" i="4"/>
  <c r="D12" i="4" s="1"/>
  <c r="G10" i="13"/>
  <c r="H10" i="13" s="1"/>
  <c r="I10" i="13" s="1"/>
  <c r="J10" i="13" s="1"/>
  <c r="K10" i="13" s="1"/>
  <c r="L10" i="13" s="1"/>
  <c r="I31" i="3" s="1"/>
  <c r="G11" i="4"/>
  <c r="F11" i="4"/>
  <c r="E11" i="4"/>
  <c r="F19" i="4"/>
  <c r="E19" i="4" s="1"/>
  <c r="D19" i="4" s="1"/>
  <c r="N14" i="13"/>
  <c r="B1" i="9"/>
  <c r="B1" i="5"/>
  <c r="B1" i="3"/>
  <c r="B1" i="13"/>
  <c r="B1" i="4"/>
  <c r="I15" i="13" l="1"/>
  <c r="I24" i="3"/>
  <c r="F13" i="4"/>
  <c r="G13" i="4"/>
  <c r="E13" i="4"/>
  <c r="E18" i="4" s="1"/>
  <c r="E21" i="4" s="1"/>
  <c r="H13" i="4"/>
  <c r="D21" i="4"/>
  <c r="D20" i="4"/>
  <c r="H31" i="3"/>
  <c r="E12" i="4"/>
  <c r="G14" i="4" s="1"/>
  <c r="M10" i="13"/>
  <c r="N10" i="13" s="1"/>
  <c r="K31" i="3" s="1"/>
  <c r="O14" i="13"/>
  <c r="J15" i="13" l="1"/>
  <c r="J24" i="3"/>
  <c r="F10" i="4"/>
  <c r="F12" i="4" s="1"/>
  <c r="F20" i="4" s="1"/>
  <c r="H14" i="4"/>
  <c r="E20" i="4"/>
  <c r="F14" i="4"/>
  <c r="F18" i="4" s="1"/>
  <c r="F21" i="4" s="1"/>
  <c r="J31" i="3"/>
  <c r="O10" i="13"/>
  <c r="P10" i="13" s="1"/>
  <c r="P14" i="13"/>
  <c r="H15" i="4" l="1"/>
  <c r="G15" i="4"/>
  <c r="G18" i="4" s="1"/>
  <c r="G21" i="4" s="1"/>
  <c r="K15" i="13"/>
  <c r="K24" i="3"/>
  <c r="G10" i="4"/>
  <c r="G12" i="4" s="1"/>
  <c r="L31" i="3"/>
  <c r="L24" i="3" l="1"/>
  <c r="D32" i="4" s="1"/>
  <c r="D33" i="4" s="1"/>
  <c r="H10" i="4"/>
  <c r="H12" i="4" s="1"/>
  <c r="H20" i="4" s="1"/>
  <c r="L15" i="13"/>
  <c r="H32" i="3"/>
  <c r="D26" i="4" s="1"/>
  <c r="G20" i="4"/>
  <c r="H16" i="4"/>
  <c r="H18" i="4" s="1"/>
  <c r="H21" i="4" s="1"/>
  <c r="D38" i="4" s="1"/>
  <c r="M15" i="13" l="1"/>
  <c r="I32" i="3"/>
  <c r="E26" i="4" s="1"/>
  <c r="N15" i="13" l="1"/>
  <c r="J32" i="3"/>
  <c r="F26" i="4" s="1"/>
  <c r="K32" i="3" l="1"/>
  <c r="G26" i="4" s="1"/>
  <c r="O15" i="13"/>
  <c r="P15" i="13" l="1"/>
  <c r="L32" i="3"/>
  <c r="H26" i="4" s="1"/>
  <c r="M22" i="13" l="1"/>
  <c r="E25" i="4" s="1"/>
  <c r="P22" i="13"/>
  <c r="H25" i="4" s="1"/>
  <c r="D44" i="4" l="1"/>
  <c r="E44" i="4" s="1"/>
  <c r="L22" i="13"/>
  <c r="D25" i="4" s="1"/>
  <c r="D27" i="4" s="1"/>
  <c r="D28" i="4" s="1"/>
  <c r="O22" i="13"/>
  <c r="G25" i="4" s="1"/>
  <c r="N22" i="13"/>
  <c r="F25" i="4" s="1"/>
  <c r="F27" i="4" s="1"/>
  <c r="F28" i="4" s="1"/>
  <c r="E27" i="4"/>
  <c r="E28" i="4" s="1"/>
  <c r="G27" i="4" l="1"/>
  <c r="G28" i="4" s="1"/>
  <c r="F44" i="4"/>
  <c r="G44" i="4" s="1"/>
  <c r="H44" i="4" s="1"/>
  <c r="H27" i="4"/>
  <c r="H28" i="4" s="1"/>
  <c r="D35" i="4" s="1"/>
  <c r="D37" i="4" l="1"/>
  <c r="D39" i="4" s="1"/>
  <c r="D45" i="4" s="1"/>
  <c r="D36" i="4" l="1"/>
  <c r="J8" i="10"/>
  <c r="E45" i="4"/>
  <c r="F45" i="4" l="1"/>
  <c r="K8" i="10"/>
  <c r="G45" i="4" l="1"/>
  <c r="L8" i="10"/>
  <c r="H45" i="4" l="1"/>
  <c r="M8" i="10"/>
  <c r="N8" i="10" l="1"/>
  <c r="O8" i="10" s="1"/>
  <c r="D47" i="4"/>
</calcChain>
</file>

<file path=xl/sharedStrings.xml><?xml version="1.0" encoding="utf-8"?>
<sst xmlns="http://schemas.openxmlformats.org/spreadsheetml/2006/main" count="278" uniqueCount="144">
  <si>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</si>
  <si>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</si>
  <si>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</si>
  <si>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</si>
  <si>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</si>
  <si>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</si>
  <si>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</si>
  <si>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</si>
  <si>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</si>
  <si>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</si>
  <si>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</si>
  <si>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</si>
  <si>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</si>
  <si>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</si>
  <si>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Lookup | Tables</t>
  </si>
  <si>
    <t>Includes the lookup tables used within the CESS model.</t>
  </si>
  <si>
    <t>End</t>
  </si>
  <si>
    <t>Key:</t>
  </si>
  <si>
    <t>Input</t>
  </si>
  <si>
    <t>Internal Link or calculation</t>
  </si>
  <si>
    <t>NSP Name</t>
  </si>
  <si>
    <t>SA Power Networks</t>
  </si>
  <si>
    <t>Determination stage</t>
  </si>
  <si>
    <t>Regulatory proposal</t>
  </si>
  <si>
    <t>Determination years</t>
  </si>
  <si>
    <t>2025-30</t>
  </si>
  <si>
    <t>Draft decision</t>
  </si>
  <si>
    <t>First year of regulatory period</t>
  </si>
  <si>
    <t>2025-26</t>
  </si>
  <si>
    <t>Revised proposal</t>
  </si>
  <si>
    <t>Final decision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</si>
  <si>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</si>
  <si>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</si>
  <si>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</si>
  <si>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</si>
  <si>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</si>
  <si>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</si>
  <si>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</si>
  <si>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</si>
  <si>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</si>
  <si>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</si>
  <si>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</si>
  <si>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</si>
  <si>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</si>
  <si>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</si>
  <si>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</si>
  <si>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</si>
  <si>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</si>
  <si>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</si>
  <si>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</si>
  <si>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</si>
  <si>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</si>
  <si>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</si>
  <si>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</si>
  <si>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</si>
  <si>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DNSP/AER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</si>
  <si>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</si>
  <si>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</si>
  <si>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</si>
  <si>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</si>
  <si>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</si>
  <si>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</si>
  <si>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 (includes customer contributions)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</si>
  <si>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</si>
  <si>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</si>
  <si>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</si>
  <si>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</si>
  <si>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</si>
  <si>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 (includes customer contributions)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</si>
  <si>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</si>
  <si>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</si>
  <si>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</si>
  <si>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</si>
  <si>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</si>
  <si>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</si>
  <si>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</si>
  <si>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</si>
  <si>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</si>
  <si>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</si>
  <si>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</si>
  <si>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</si>
  <si>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</si>
  <si>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</si>
  <si>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</si>
  <si>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</si>
  <si>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</si>
  <si>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</si>
  <si>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</si>
  <si>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</si>
  <si>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</si>
  <si>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</si>
  <si>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</si>
  <si>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</si>
  <si>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</si>
  <si>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</si>
  <si>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</si>
  <si>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</si>
  <si>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</si>
  <si>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Forecast capex</t>
  </si>
  <si>
    <t>Underspend or Overspend, %</t>
  </si>
  <si>
    <t>Relevant sharing ratio</t>
  </si>
  <si>
    <t>Total underspend (NPV) adjusted for deferrals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</si>
  <si>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</si>
  <si>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</si>
  <si>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</si>
  <si>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</si>
  <si>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</si>
  <si>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</si>
  <si>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</si>
  <si>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2024-25</t>
  </si>
  <si>
    <t>Note. The dollar base should be consistent with the post tax revenue model</t>
  </si>
  <si>
    <t>Revenue Adjustments</t>
  </si>
  <si>
    <t>Total</t>
  </si>
  <si>
    <t>CESS increments as per NER 6.4.3(a)(5)</t>
  </si>
  <si>
    <t>Internal Link</t>
  </si>
  <si>
    <t>Unit Denominations</t>
  </si>
  <si>
    <t>Denominations</t>
  </si>
  <si>
    <t>Ref</t>
  </si>
  <si>
    <t>Dollars</t>
  </si>
  <si>
    <t>$dollars</t>
  </si>
  <si>
    <t>Thousands</t>
  </si>
  <si>
    <t>$000</t>
  </si>
  <si>
    <t>Millions</t>
  </si>
  <si>
    <t>not applicable</t>
  </si>
  <si>
    <t>n/a</t>
  </si>
  <si>
    <t>Years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</si>
  <si>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</si>
  <si>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</si>
  <si>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</si>
  <si>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</si>
  <si>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</si>
  <si>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</si>
  <si>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</si>
  <si>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</si>
  <si>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</si>
  <si>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</si>
  <si>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</si>
  <si>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</si>
  <si>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</si>
  <si>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</si>
  <si>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</si>
  <si>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</si>
  <si>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</si>
  <si>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AER draft decision 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</si>
</sst>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&quot;$&quot;#,##0.000000"/>
    <numFmt numFmtId="196" formatCode="#,##0.000000"/>
    <numFmt numFmtId="197" formatCode="#,##0.0000000000000000"/>
    <numFmt numFmtId="198" formatCode="0.000000000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40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</cellStyleXfs>
  <cellXfs count="195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6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99" fillId="3" borderId="0" xfId="2" applyFont="1" applyFill="1" applyBorder="1" applyAlignment="1" applyProtection="1">
      <alignment horizontal="left" vertical="center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9" fontId="89" fillId="53" borderId="25" xfId="3" applyNumberFormat="1" applyFont="1" applyFill="1" applyBorder="1" applyAlignment="1" applyProtection="1">
      <alignment horizontal="center"/>
      <protection locked="0"/>
    </xf>
    <xf numFmtId="170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Alignment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17" fillId="55" borderId="45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7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4" fillId="53" borderId="0" xfId="1" applyFont="1" applyFill="1" applyBorder="1" applyAlignment="1">
      <alignment horizontal="center" vertical="center"/>
    </xf>
    <xf numFmtId="0" fontId="24" fillId="55" borderId="26" xfId="1" applyFont="1" applyFill="1" applyBorder="1" applyAlignment="1">
      <alignment horizontal="center" vertical="center"/>
    </xf>
    <xf numFmtId="10" fontId="24" fillId="55" borderId="28" xfId="0" applyNumberFormat="1" applyFont="1" applyFill="1" applyBorder="1" applyAlignment="1">
      <alignment horizontal="center" vertical="center"/>
    </xf>
    <xf numFmtId="10" fontId="15" fillId="55" borderId="28" xfId="0" applyNumberFormat="1" applyFont="1" applyFill="1" applyBorder="1" applyAlignment="1">
      <alignment horizontal="center" vertical="center"/>
    </xf>
    <xf numFmtId="192" fontId="24" fillId="55" borderId="28" xfId="0" applyNumberFormat="1" applyFont="1" applyFill="1" applyBorder="1" applyAlignment="1">
      <alignment horizontal="center" vertical="center"/>
    </xf>
    <xf numFmtId="192" fontId="15" fillId="55" borderId="28" xfId="268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2" fontId="24" fillId="55" borderId="26" xfId="1" applyNumberFormat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5" borderId="41" xfId="0" applyNumberFormat="1" applyFont="1" applyFill="1" applyBorder="1"/>
    <xf numFmtId="2" fontId="15" fillId="55" borderId="4" xfId="0" applyNumberFormat="1" applyFont="1" applyFill="1" applyBorder="1"/>
    <xf numFmtId="2" fontId="15" fillId="55" borderId="40" xfId="0" applyNumberFormat="1" applyFont="1" applyFill="1" applyBorder="1"/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189" fontId="20" fillId="55" borderId="26" xfId="55" applyNumberFormat="1" applyFont="1" applyFill="1" applyBorder="1" applyAlignment="1" applyProtection="1">
      <alignment horizontal="center" vertical="center"/>
    </xf>
    <xf numFmtId="2" fontId="24" fillId="55" borderId="2" xfId="268" applyNumberFormat="1" applyFont="1" applyFill="1" applyBorder="1" applyAlignment="1">
      <alignment horizontal="right" vertical="center"/>
    </xf>
    <xf numFmtId="2" fontId="24" fillId="55" borderId="36" xfId="268" applyNumberFormat="1" applyFont="1" applyFill="1" applyBorder="1" applyAlignment="1">
      <alignment horizontal="right" vertical="center"/>
    </xf>
    <xf numFmtId="170" fontId="17" fillId="53" borderId="0" xfId="3" applyNumberFormat="1" applyFont="1" applyFill="1" applyAlignment="1" applyProtection="1">
      <alignment horizontal="center"/>
      <protection locked="0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0" fontId="101" fillId="55" borderId="0" xfId="265" applyFont="1" applyFill="1" applyAlignment="1">
      <alignment horizontal="center" vertical="center" wrapText="1"/>
    </xf>
    <xf numFmtId="0" fontId="106" fillId="3" borderId="0" xfId="0" applyFont="1" applyFill="1"/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1" xfId="0" applyNumberFormat="1" applyFont="1" applyFill="1" applyBorder="1" applyAlignment="1">
      <alignment horizontal="right"/>
    </xf>
    <xf numFmtId="2" fontId="15" fillId="55" borderId="38" xfId="0" applyNumberFormat="1" applyFont="1" applyFill="1" applyBorder="1" applyAlignment="1">
      <alignment horizontal="right"/>
    </xf>
    <xf numFmtId="2" fontId="15" fillId="55" borderId="39" xfId="0" applyNumberFormat="1" applyFont="1" applyFill="1" applyBorder="1" applyAlignment="1">
      <alignment horizontal="right"/>
    </xf>
    <xf numFmtId="9" fontId="15" fillId="55" borderId="4" xfId="0" applyNumberFormat="1" applyFont="1" applyFill="1" applyBorder="1"/>
    <xf numFmtId="195" fontId="24" fillId="55" borderId="2" xfId="0" applyNumberFormat="1" applyFont="1" applyFill="1" applyBorder="1" applyAlignment="1">
      <alignment horizontal="right" vertical="center"/>
    </xf>
    <xf numFmtId="195" fontId="24" fillId="55" borderId="39" xfId="0" applyNumberFormat="1" applyFont="1" applyFill="1" applyBorder="1" applyAlignment="1">
      <alignment horizontal="right" vertical="center"/>
    </xf>
    <xf numFmtId="10" fontId="24" fillId="56" borderId="28" xfId="0" applyNumberFormat="1" applyFont="1" applyFill="1" applyBorder="1" applyAlignment="1">
      <alignment horizontal="center" vertical="center"/>
    </xf>
    <xf numFmtId="10" fontId="24" fillId="53" borderId="28" xfId="268" applyNumberFormat="1" applyFont="1" applyFill="1" applyBorder="1" applyAlignment="1">
      <alignment horizontal="center" vertical="center"/>
    </xf>
    <xf numFmtId="10" fontId="24" fillId="56" borderId="28" xfId="268" applyNumberFormat="1" applyFont="1" applyFill="1" applyBorder="1" applyAlignment="1">
      <alignment horizontal="center" vertical="center"/>
    </xf>
    <xf numFmtId="196" fontId="3" fillId="3" borderId="0" xfId="0" applyNumberFormat="1" applyFont="1" applyFill="1" applyAlignment="1">
      <alignment horizontal="center" vertical="center"/>
    </xf>
    <xf numFmtId="197" fontId="3" fillId="3" borderId="0" xfId="0" applyNumberFormat="1" applyFont="1" applyFill="1" applyAlignment="1">
      <alignment horizontal="center" vertical="center"/>
    </xf>
    <xf numFmtId="2" fontId="24" fillId="56" borderId="26" xfId="1" applyNumberFormat="1" applyFont="1" applyFill="1" applyBorder="1" applyAlignment="1">
      <alignment horizontal="center" vertical="center"/>
    </xf>
    <xf numFmtId="198" fontId="0" fillId="3" borderId="0" xfId="0" applyNumberFormat="1" applyFill="1" applyAlignment="1">
      <alignment vertical="center"/>
    </xf>
    <xf numFmtId="0" fontId="101" fillId="56" borderId="0" xfId="265" applyFont="1" applyFill="1" applyAlignment="1">
      <alignment horizontal="center" vertical="center" wrapText="1"/>
    </xf>
    <xf numFmtId="0" fontId="24" fillId="56" borderId="26" xfId="1" applyFont="1" applyFill="1" applyBorder="1" applyAlignment="1">
      <alignment horizontal="center" vertical="center"/>
    </xf>
    <xf numFmtId="0" fontId="88" fillId="3" borderId="24" xfId="3" applyFont="1" applyFill="1" applyBorder="1" applyAlignment="1">
      <alignment horizontal="center"/>
    </xf>
  </cellXfs>
  <cellStyles count="340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45" xfId="339" xr:uid="{4F50A16A-5FDF-47AC-868E-9D547C2F3FDE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473E95F1-9661-4895-8634-6E7ED97719E4}"/>
  </tableStyles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zoomScaleNormal="100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SA Power Networks 2025-30 Draft decision - Capital expenditure sharing scheme model</v>
      </c>
      <c r="D1" s="4"/>
      <c r="E1" s="4"/>
    </row>
    <row r="2" spans="2:13" ht="18" customHeight="1">
      <c r="B2" s="28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103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103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103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103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103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103" t="s">
        <v>14</v>
      </c>
      <c r="D12" s="26" t="s">
        <v>15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2.75" customHeight="1"/>
    <row r="14" spans="2:13" s="8" customFormat="1" ht="12.75" customHeight="1">
      <c r="C14" s="23" t="s">
        <v>16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14.7109375" style="11" customWidth="1"/>
    <col min="5" max="8" width="12.7109375" style="11" customWidth="1"/>
    <col min="9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SA Power Networks 2025-30 Draft decision - Capital expenditure sharing scheme model</v>
      </c>
      <c r="F1" s="99"/>
      <c r="G1" s="100" t="s">
        <v>17</v>
      </c>
      <c r="H1" s="135" t="s">
        <v>18</v>
      </c>
      <c r="I1" s="173" t="s">
        <v>19</v>
      </c>
      <c r="M1" s="101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63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71" customFormat="1" ht="11.25" customHeight="1">
      <c r="C6" s="70" t="s">
        <v>20</v>
      </c>
      <c r="D6" s="136" t="s">
        <v>21</v>
      </c>
      <c r="J6" s="80"/>
      <c r="K6" s="80"/>
      <c r="L6" s="80"/>
      <c r="M6" s="80"/>
    </row>
    <row r="7" spans="1:13" s="71" customFormat="1" ht="11.25" customHeight="1">
      <c r="C7" s="70" t="s">
        <v>22</v>
      </c>
      <c r="D7" s="193" t="s">
        <v>26</v>
      </c>
      <c r="I7" s="80"/>
      <c r="J7" s="174" t="s">
        <v>23</v>
      </c>
      <c r="K7" s="80"/>
      <c r="L7" s="80"/>
    </row>
    <row r="8" spans="1:13" s="71" customFormat="1" ht="11.25" customHeight="1">
      <c r="C8" s="70" t="s">
        <v>24</v>
      </c>
      <c r="D8" s="136" t="s">
        <v>25</v>
      </c>
      <c r="J8" s="174" t="s">
        <v>26</v>
      </c>
      <c r="K8" s="80"/>
      <c r="L8" s="80"/>
      <c r="M8" s="80"/>
    </row>
    <row r="9" spans="1:13" s="71" customFormat="1" ht="11.25" customHeight="1">
      <c r="C9" s="70" t="s">
        <v>27</v>
      </c>
      <c r="D9" s="154" t="s">
        <v>28</v>
      </c>
      <c r="J9" s="174" t="s">
        <v>29</v>
      </c>
      <c r="K9" s="80"/>
      <c r="L9" s="80"/>
      <c r="M9" s="80"/>
    </row>
    <row r="10" spans="1:13" s="71" customFormat="1" ht="11.25" customHeight="1">
      <c r="C10" s="70"/>
      <c r="J10" s="174" t="s">
        <v>30</v>
      </c>
      <c r="K10" s="80"/>
      <c r="L10" s="80"/>
      <c r="M10" s="80"/>
    </row>
    <row r="11" spans="1:13" s="71" customFormat="1" ht="11.25" customHeight="1">
      <c r="C11" s="90" t="s">
        <v>31</v>
      </c>
      <c r="J11" s="80"/>
      <c r="K11" s="80"/>
      <c r="L11" s="80"/>
      <c r="M11" s="80"/>
    </row>
    <row r="12" spans="1:13" s="71" customFormat="1" ht="11.25" customHeight="1">
      <c r="C12" s="70"/>
      <c r="D12" s="72" t="s">
        <v>32</v>
      </c>
      <c r="E12" s="72" t="s">
        <v>33</v>
      </c>
      <c r="F12" s="72" t="s">
        <v>34</v>
      </c>
      <c r="G12" s="72" t="s">
        <v>35</v>
      </c>
      <c r="H12" s="72" t="s">
        <v>36</v>
      </c>
      <c r="J12" s="80"/>
      <c r="K12" s="80"/>
      <c r="L12" s="80"/>
      <c r="M12" s="80"/>
    </row>
    <row r="13" spans="1:13" s="71" customFormat="1" ht="11.25" customHeight="1">
      <c r="C13" s="70" t="s">
        <v>37</v>
      </c>
      <c r="D13" s="155" t="str">
        <f t="shared" ref="D13:F13" si="0">IF(LEN(E13)&gt;4,CONCATENATE(LEFT(E13,4)-1&amp;"–"&amp;IF(RIGHT(E13,2)="00","99",IF(RIGHT(E13,2)-1&lt;10,"0","")&amp;RIGHT(E13,2)-1)),E13-1)</f>
        <v>2020–21</v>
      </c>
      <c r="E13" s="155" t="str">
        <f t="shared" si="0"/>
        <v>2021–22</v>
      </c>
      <c r="F13" s="155" t="str">
        <f t="shared" si="0"/>
        <v>2022–23</v>
      </c>
      <c r="G13" s="155" t="str">
        <f>IF(LEN(H13)&gt;4,CONCATENATE(LEFT(H13,4)-1&amp;"–"&amp;IF(RIGHT(H13,2)="00","99",IF(RIGHT(H13,2)-1&lt;10,"0","")&amp;RIGHT(H13,2)-1)),H13-1)</f>
        <v>2023–24</v>
      </c>
      <c r="H13" s="155" t="str">
        <f>IF(LEN(D9)&gt;4,CONCATENATE(LEFT(D9,4)-1&amp;"–"&amp;IF(RIGHT(D9,2)="00","99",IF(RIGHT(D9,2)-1&lt;10,"0","")&amp;RIGHT(D9,2)-1)),D9-1)</f>
        <v>2024–25</v>
      </c>
      <c r="J13" s="80"/>
      <c r="K13" s="80"/>
      <c r="L13" s="80"/>
      <c r="M13" s="80"/>
    </row>
    <row r="14" spans="1:13" s="71" customFormat="1" ht="11.25" customHeight="1">
      <c r="C14" s="70" t="s">
        <v>38</v>
      </c>
      <c r="D14" s="136" t="s">
        <v>39</v>
      </c>
      <c r="E14" s="136" t="s">
        <v>39</v>
      </c>
      <c r="F14" s="136" t="s">
        <v>39</v>
      </c>
      <c r="G14" s="136" t="s">
        <v>39</v>
      </c>
      <c r="H14" s="136" t="s">
        <v>39</v>
      </c>
      <c r="J14" s="80"/>
      <c r="K14" s="80"/>
      <c r="L14" s="80"/>
      <c r="M14" s="80"/>
    </row>
    <row r="15" spans="1:13" s="71" customFormat="1" ht="11.25" customHeight="1">
      <c r="C15" s="70" t="s">
        <v>40</v>
      </c>
      <c r="D15" s="136" t="s">
        <v>41</v>
      </c>
      <c r="E15" s="136" t="s">
        <v>41</v>
      </c>
      <c r="F15" s="136" t="s">
        <v>41</v>
      </c>
      <c r="G15" s="136" t="s">
        <v>42</v>
      </c>
      <c r="H15" s="136" t="s">
        <v>42</v>
      </c>
      <c r="J15" s="80"/>
      <c r="K15" s="80"/>
      <c r="L15" s="80"/>
      <c r="M15" s="80"/>
    </row>
    <row r="16" spans="1:13" s="71" customFormat="1" ht="11.25" customHeight="1">
      <c r="C16" s="70"/>
      <c r="D16" s="80"/>
      <c r="E16" s="80"/>
      <c r="F16" s="80"/>
      <c r="G16" s="80"/>
      <c r="H16" s="80"/>
      <c r="J16" s="80"/>
      <c r="K16" s="80"/>
      <c r="L16" s="80"/>
      <c r="M16" s="80"/>
    </row>
    <row r="17" spans="1:13" s="71" customFormat="1" ht="11.25" customHeight="1">
      <c r="C17" s="70"/>
      <c r="D17" s="72" t="s">
        <v>32</v>
      </c>
      <c r="E17" s="72" t="s">
        <v>33</v>
      </c>
      <c r="F17" s="72" t="s">
        <v>34</v>
      </c>
      <c r="G17" s="72" t="s">
        <v>35</v>
      </c>
      <c r="H17" s="72" t="s">
        <v>36</v>
      </c>
      <c r="J17" s="80"/>
      <c r="K17" s="80"/>
      <c r="L17" s="80"/>
      <c r="M17" s="80"/>
    </row>
    <row r="18" spans="1:13" s="71" customFormat="1" ht="11.25" customHeight="1">
      <c r="C18" s="70" t="s">
        <v>43</v>
      </c>
      <c r="D18" s="155" t="str">
        <f>D9</f>
        <v>2025-26</v>
      </c>
      <c r="E18" s="155" t="str">
        <f>IF(LEN(D18)&gt;4,CONCATENATE(LEFT(D18,4)+1&amp;"–"&amp;IF(RIGHT(D18,2)+1&gt;9,"","0")&amp;RIGHT(D18,2)+1),D18+1)</f>
        <v>2026–27</v>
      </c>
      <c r="F18" s="155" t="str">
        <f t="shared" ref="F18:H18" si="1">IF(LEN(E18)&gt;4,CONCATENATE(LEFT(E18,4)+1&amp;"–"&amp;IF(RIGHT(E18,2)+1&gt;9,"","0")&amp;RIGHT(E18,2)+1),E18+1)</f>
        <v>2027–28</v>
      </c>
      <c r="G18" s="155" t="str">
        <f t="shared" si="1"/>
        <v>2028–29</v>
      </c>
      <c r="H18" s="155" t="str">
        <f t="shared" si="1"/>
        <v>2029–30</v>
      </c>
      <c r="J18" s="80"/>
      <c r="K18" s="80"/>
      <c r="L18" s="80"/>
      <c r="M18" s="80"/>
    </row>
    <row r="19" spans="1:13" s="71" customFormat="1" ht="11.25" customHeight="1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s="71" customFormat="1" ht="11.25" customHeight="1">
      <c r="J20" s="80"/>
      <c r="K20" s="80"/>
      <c r="L20" s="80"/>
      <c r="M20" s="80"/>
    </row>
    <row r="21" spans="1:13" s="63" customFormat="1" ht="12.75" customHeight="1">
      <c r="A21" s="8"/>
      <c r="B21" s="23" t="s">
        <v>16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7" xr:uid="{677B27E1-3997-42E9-A7BA-A593F80049F5}">
      <formula1>$J$7:$J$10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'Lookup | Tables'!$E$11:$E$13</xm:f>
          </x14:formula1>
          <xm:sqref>D15:H15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K1" sqref="K1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SA Power Networks 2025-30 Draft decision - Capital expenditure sharing scheme model</v>
      </c>
      <c r="D1" s="3"/>
      <c r="E1" s="3"/>
      <c r="F1" s="3"/>
      <c r="G1" s="99"/>
      <c r="H1" s="100" t="s">
        <v>17</v>
      </c>
      <c r="I1" s="135" t="s">
        <v>18</v>
      </c>
      <c r="J1" s="173" t="s">
        <v>19</v>
      </c>
      <c r="K1" s="192" t="s">
        <v>143</v>
      </c>
      <c r="N1" s="101"/>
      <c r="O1" s="80"/>
      <c r="P1" s="80"/>
      <c r="Q1" s="80"/>
      <c r="R1" s="80"/>
      <c r="S1" s="80"/>
      <c r="T1" s="80"/>
    </row>
    <row r="2" spans="1:20" s="2" customFormat="1" ht="18" customHeight="1">
      <c r="C2" s="10" t="s">
        <v>44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2" customFormat="1" ht="12.75" customHeight="1">
      <c r="C4" s="23" t="s">
        <v>45</v>
      </c>
      <c r="D4" s="83"/>
      <c r="E4" s="83"/>
      <c r="F4" s="83"/>
      <c r="M4" s="84"/>
    </row>
    <row r="5" spans="1:20" ht="11.25" customHeight="1">
      <c r="A5" s="2"/>
      <c r="B5" s="2"/>
      <c r="C5" s="13"/>
      <c r="D5" s="80"/>
      <c r="E5" s="80"/>
      <c r="F5" s="80"/>
      <c r="N5" s="2"/>
    </row>
    <row r="6" spans="1:20" ht="11.25" customHeight="1">
      <c r="A6" s="2"/>
      <c r="B6" s="2"/>
      <c r="C6" s="13"/>
      <c r="D6" s="76" t="s">
        <v>46</v>
      </c>
      <c r="E6" s="76" t="s">
        <v>47</v>
      </c>
      <c r="F6" s="76"/>
      <c r="N6" s="2"/>
    </row>
    <row r="7" spans="1:20" ht="11.25" customHeight="1">
      <c r="A7" s="2"/>
      <c r="B7" s="2"/>
      <c r="C7" s="13"/>
      <c r="D7" s="80"/>
      <c r="E7" s="80"/>
      <c r="F7" s="152" t="str">
        <f>IF(LEN(G7)&gt;4,CONCATENATE(LEFT(G7,4)-1&amp;"–"&amp;IF(RIGHT(G7,2)="00","99",IF(RIGHT(G7,2)-1&lt;10,"0","")&amp;RIGHT(G7,2)-1)),G7-1)</f>
        <v>2019–20</v>
      </c>
      <c r="G7" s="153" t="str">
        <f>'Input | General'!D13</f>
        <v>2020–21</v>
      </c>
      <c r="H7" s="153" t="str">
        <f>'Input | General'!E13</f>
        <v>2021–22</v>
      </c>
      <c r="I7" s="153" t="str">
        <f>'Input | General'!F13</f>
        <v>2022–23</v>
      </c>
      <c r="J7" s="153" t="str">
        <f>'Input | General'!G13</f>
        <v>2023–24</v>
      </c>
      <c r="K7" s="153" t="str">
        <f>'Input | General'!H13</f>
        <v>2024–25</v>
      </c>
      <c r="L7" s="153" t="str">
        <f>'Input | General'!D18</f>
        <v>2025-26</v>
      </c>
      <c r="M7" s="153" t="str">
        <f>'Input | General'!E18</f>
        <v>2026–27</v>
      </c>
      <c r="N7" s="153" t="str">
        <f>'Input | General'!F18</f>
        <v>2027–28</v>
      </c>
      <c r="O7" s="153" t="str">
        <f>'Input | General'!G18</f>
        <v>2028–29</v>
      </c>
      <c r="P7" s="153" t="str">
        <f>'Input | General'!H18</f>
        <v>2029–30</v>
      </c>
    </row>
    <row r="8" spans="1:20" ht="11.25" customHeight="1">
      <c r="A8" s="2"/>
      <c r="B8" s="2"/>
      <c r="C8" s="81" t="s">
        <v>48</v>
      </c>
      <c r="D8" s="79" t="s">
        <v>49</v>
      </c>
      <c r="E8" s="79" t="s">
        <v>50</v>
      </c>
      <c r="F8" s="79"/>
      <c r="G8" s="137">
        <v>8.6058519793459354E-3</v>
      </c>
      <c r="H8" s="137">
        <v>3.4982935153583528E-2</v>
      </c>
      <c r="I8" s="137">
        <v>7.8318219291014124E-2</v>
      </c>
      <c r="J8" s="137">
        <v>4.1000000000000002E-2</v>
      </c>
      <c r="K8" s="137">
        <v>3.3000000000000002E-2</v>
      </c>
      <c r="L8" s="88"/>
      <c r="M8" s="88"/>
      <c r="N8" s="88"/>
      <c r="O8" s="88"/>
      <c r="P8" s="88"/>
    </row>
    <row r="9" spans="1:20" ht="11.25" customHeight="1">
      <c r="A9" s="2"/>
      <c r="B9" s="2"/>
      <c r="C9" s="81" t="s">
        <v>51</v>
      </c>
      <c r="D9" s="79" t="s">
        <v>49</v>
      </c>
      <c r="E9" s="79" t="s">
        <v>50</v>
      </c>
      <c r="F9" s="79"/>
      <c r="G9" s="119"/>
      <c r="H9" s="119"/>
      <c r="I9" s="119"/>
      <c r="J9" s="119"/>
      <c r="K9" s="119"/>
      <c r="L9" s="185">
        <v>2.4999999999999911E-2</v>
      </c>
      <c r="M9" s="156">
        <f t="shared" ref="M9:P9" si="0">L9</f>
        <v>2.4999999999999911E-2</v>
      </c>
      <c r="N9" s="156">
        <f t="shared" si="0"/>
        <v>2.4999999999999911E-2</v>
      </c>
      <c r="O9" s="156">
        <f t="shared" si="0"/>
        <v>2.4999999999999911E-2</v>
      </c>
      <c r="P9" s="156">
        <f t="shared" si="0"/>
        <v>2.4999999999999911E-2</v>
      </c>
    </row>
    <row r="10" spans="1:20" ht="11.25" customHeight="1">
      <c r="A10" s="2"/>
      <c r="B10" s="2"/>
      <c r="C10" s="125" t="str">
        <f>"CPI Index (base year "&amp;F7&amp;")"</f>
        <v>CPI Index (base year 2019–20)</v>
      </c>
      <c r="D10" s="79" t="s">
        <v>49</v>
      </c>
      <c r="E10" s="79" t="s">
        <v>0</v>
      </c>
      <c r="F10" s="158">
        <v>1</v>
      </c>
      <c r="G10" s="159">
        <f>IF(G7&lt;&gt;"",(F10*(1+G8)),"")</f>
        <v>1.0086058519793459</v>
      </c>
      <c r="H10" s="159">
        <f>IF(H7&lt;&gt;"",(G10*(1+H8)),"")</f>
        <v>1.0438898450946643</v>
      </c>
      <c r="I10" s="159">
        <f>IF(I7&lt;&gt;"",(H10*(1+I8)),"")</f>
        <v>1.1256454388984509</v>
      </c>
      <c r="J10" s="159">
        <f>IF(J7&lt;&gt;"",(I10*(1+J8)),"")</f>
        <v>1.1717969018932872</v>
      </c>
      <c r="K10" s="159">
        <f>IF(K7&lt;&gt;"",(J10*(1+K8)),"")</f>
        <v>1.2104661996557655</v>
      </c>
      <c r="L10" s="159">
        <f t="shared" ref="L10:P10" si="1">IF(L7&lt;&gt;"",(K10*(1+L9)),"")</f>
        <v>1.2407278546471596</v>
      </c>
      <c r="M10" s="159">
        <f t="shared" si="1"/>
        <v>1.2717460510133385</v>
      </c>
      <c r="N10" s="159">
        <f t="shared" si="1"/>
        <v>1.3035397022886719</v>
      </c>
      <c r="O10" s="159">
        <f t="shared" si="1"/>
        <v>1.3361281948458885</v>
      </c>
      <c r="P10" s="159">
        <f t="shared" si="1"/>
        <v>1.3695313997170355</v>
      </c>
    </row>
    <row r="11" spans="1:20" ht="11.25" customHeight="1">
      <c r="A11" s="2"/>
      <c r="B11" s="2"/>
      <c r="C11" s="81"/>
      <c r="D11" s="79"/>
      <c r="E11" s="79"/>
      <c r="F11" s="79"/>
      <c r="G11" s="88"/>
      <c r="H11" s="88"/>
      <c r="I11" s="88"/>
      <c r="J11" s="88"/>
      <c r="K11" s="120"/>
      <c r="L11" s="120"/>
      <c r="M11" s="120"/>
      <c r="N11" s="120"/>
      <c r="O11" s="120"/>
      <c r="P11" s="120"/>
    </row>
    <row r="12" spans="1:20" ht="11.25" customHeight="1">
      <c r="A12" s="2"/>
      <c r="B12" s="2"/>
      <c r="C12" s="81"/>
      <c r="D12" s="79"/>
      <c r="E12" s="79"/>
      <c r="F12" s="79"/>
      <c r="G12" s="118"/>
      <c r="H12" s="118"/>
      <c r="I12" s="118"/>
      <c r="J12" s="118"/>
      <c r="K12" s="19"/>
      <c r="L12" s="19"/>
      <c r="M12" s="19"/>
    </row>
    <row r="13" spans="1:20" ht="11.25" customHeight="1">
      <c r="A13" s="2"/>
      <c r="B13" s="2"/>
      <c r="C13" s="81" t="s">
        <v>48</v>
      </c>
      <c r="D13" s="79" t="s">
        <v>52</v>
      </c>
      <c r="E13" s="79" t="s">
        <v>50</v>
      </c>
      <c r="F13" s="79"/>
      <c r="G13" s="137">
        <v>8.6058519793459354E-3</v>
      </c>
      <c r="H13" s="137">
        <v>3.4982935153583528E-2</v>
      </c>
      <c r="I13" s="137">
        <v>7.8318219291014124E-2</v>
      </c>
      <c r="J13" s="185">
        <v>4.0519877675840865E-2</v>
      </c>
      <c r="K13" s="185">
        <v>0.03</v>
      </c>
      <c r="L13" s="118"/>
      <c r="M13" s="118"/>
      <c r="N13" s="118"/>
      <c r="O13" s="118"/>
      <c r="P13" s="118"/>
    </row>
    <row r="14" spans="1:20" ht="11.25" customHeight="1">
      <c r="A14" s="2"/>
      <c r="B14" s="2"/>
      <c r="C14" s="81" t="s">
        <v>51</v>
      </c>
      <c r="D14" s="79" t="s">
        <v>52</v>
      </c>
      <c r="E14" s="79" t="s">
        <v>50</v>
      </c>
      <c r="F14" s="79"/>
      <c r="G14" s="88"/>
      <c r="H14" s="88"/>
      <c r="I14" s="88"/>
      <c r="J14" s="88"/>
      <c r="K14" s="88"/>
      <c r="L14" s="185">
        <v>2.8497022352319323E-2</v>
      </c>
      <c r="M14" s="156">
        <f t="shared" ref="M14:P14" si="2">L14</f>
        <v>2.8497022352319323E-2</v>
      </c>
      <c r="N14" s="156">
        <f t="shared" si="2"/>
        <v>2.8497022352319323E-2</v>
      </c>
      <c r="O14" s="156">
        <f t="shared" si="2"/>
        <v>2.8497022352319323E-2</v>
      </c>
      <c r="P14" s="156">
        <f t="shared" si="2"/>
        <v>2.8497022352319323E-2</v>
      </c>
    </row>
    <row r="15" spans="1:20" ht="11.25" customHeight="1">
      <c r="A15" s="2"/>
      <c r="B15" s="2"/>
      <c r="C15" s="125" t="str">
        <f>"CPI Index (base year "&amp;F7&amp;")"</f>
        <v>CPI Index (base year 2019–20)</v>
      </c>
      <c r="D15" s="79" t="s">
        <v>52</v>
      </c>
      <c r="E15" s="79" t="s">
        <v>0</v>
      </c>
      <c r="F15" s="158">
        <v>1</v>
      </c>
      <c r="G15" s="159">
        <f>IF(G7&lt;&gt;"",(F15*(1+G13)),"")</f>
        <v>1.0086058519793459</v>
      </c>
      <c r="H15" s="159">
        <f>IF(H7&lt;&gt;"",(G15*(1+H13)),"")</f>
        <v>1.0438898450946643</v>
      </c>
      <c r="I15" s="159">
        <f>IF(I7&lt;&gt;"",(H15*(1+I13)),"")</f>
        <v>1.1256454388984509</v>
      </c>
      <c r="J15" s="159">
        <f>IF(J7&lt;&gt;"",(I15*(1+J13)),"")</f>
        <v>1.1712564543889843</v>
      </c>
      <c r="K15" s="159">
        <f>IF(K7&lt;&gt;"",(J15*(1+K13)),"")</f>
        <v>1.2063941480206539</v>
      </c>
      <c r="L15" s="159">
        <f t="shared" ref="L15:P15" si="3">IF(L7&lt;&gt;"",(K15*(1+L14)),"")</f>
        <v>1.2407727890225058</v>
      </c>
      <c r="M15" s="159">
        <f t="shared" si="3"/>
        <v>1.2761311189254296</v>
      </c>
      <c r="N15" s="159">
        <f t="shared" si="3"/>
        <v>1.3124970559459379</v>
      </c>
      <c r="O15" s="159">
        <f t="shared" si="3"/>
        <v>1.3498993138865827</v>
      </c>
      <c r="P15" s="159">
        <f t="shared" si="3"/>
        <v>1.3883674248077891</v>
      </c>
    </row>
    <row r="16" spans="1:20" ht="11.25" customHeight="1">
      <c r="A16" s="2"/>
      <c r="B16" s="2"/>
      <c r="C16" s="81"/>
      <c r="D16" s="79"/>
      <c r="E16" s="79"/>
      <c r="F16" s="79"/>
      <c r="G16" s="88"/>
      <c r="H16" s="88"/>
      <c r="I16" s="88"/>
      <c r="J16" s="88"/>
      <c r="K16" s="121"/>
      <c r="L16" s="121"/>
      <c r="M16" s="121"/>
      <c r="N16" s="121"/>
      <c r="O16" s="121"/>
      <c r="P16" s="121"/>
    </row>
    <row r="17" spans="1:16" s="82" customFormat="1" ht="12.75" customHeight="1">
      <c r="C17" s="23" t="s">
        <v>53</v>
      </c>
      <c r="D17" s="83"/>
      <c r="E17" s="83"/>
      <c r="F17" s="83"/>
      <c r="M17" s="84"/>
    </row>
    <row r="18" spans="1:16" ht="11.25" customHeight="1">
      <c r="A18" s="13"/>
      <c r="B18" s="80"/>
      <c r="C18" s="80"/>
      <c r="D18" s="80"/>
      <c r="E18" s="80"/>
      <c r="F18" s="76"/>
      <c r="N18" s="2"/>
    </row>
    <row r="19" spans="1:16" ht="11.25" customHeight="1">
      <c r="C19" s="13"/>
      <c r="D19" s="76" t="s">
        <v>46</v>
      </c>
      <c r="E19" s="76" t="s">
        <v>47</v>
      </c>
      <c r="F19" s="80"/>
      <c r="G19" s="87" t="str">
        <f>G7</f>
        <v>2020–21</v>
      </c>
      <c r="H19" s="87" t="str">
        <f t="shared" ref="H19:P19" si="4">H7</f>
        <v>2021–22</v>
      </c>
      <c r="I19" s="87" t="str">
        <f t="shared" si="4"/>
        <v>2022–23</v>
      </c>
      <c r="J19" s="87" t="str">
        <f t="shared" si="4"/>
        <v>2023–24</v>
      </c>
      <c r="K19" s="87" t="str">
        <f t="shared" si="4"/>
        <v>2024–25</v>
      </c>
      <c r="L19" s="87" t="str">
        <f t="shared" si="4"/>
        <v>2025-26</v>
      </c>
      <c r="M19" s="87" t="str">
        <f t="shared" si="4"/>
        <v>2026–27</v>
      </c>
      <c r="N19" s="87" t="str">
        <f t="shared" si="4"/>
        <v>2027–28</v>
      </c>
      <c r="O19" s="87" t="str">
        <f t="shared" si="4"/>
        <v>2028–29</v>
      </c>
      <c r="P19" s="87" t="str">
        <f t="shared" si="4"/>
        <v>2029–30</v>
      </c>
    </row>
    <row r="20" spans="1:16" ht="11.25" customHeight="1">
      <c r="C20" s="81" t="s">
        <v>54</v>
      </c>
      <c r="D20" s="79" t="s">
        <v>55</v>
      </c>
      <c r="E20" s="79" t="s">
        <v>50</v>
      </c>
      <c r="F20" s="80"/>
      <c r="G20" s="186">
        <v>2.4166123692419772E-2</v>
      </c>
      <c r="H20" s="187">
        <v>2.2405149377671352E-2</v>
      </c>
      <c r="I20" s="186">
        <v>2.1622476556407477E-2</v>
      </c>
      <c r="J20" s="187">
        <v>2.2220313702952854E-2</v>
      </c>
      <c r="K20" s="187">
        <v>2.2547007664524887E-2</v>
      </c>
      <c r="L20" s="88"/>
      <c r="M20" s="88"/>
      <c r="N20" s="88"/>
      <c r="O20" s="88"/>
      <c r="P20" s="88"/>
    </row>
    <row r="21" spans="1:16" ht="11.25" customHeight="1">
      <c r="C21" s="133" t="s">
        <v>56</v>
      </c>
      <c r="D21" s="79" t="s">
        <v>55</v>
      </c>
      <c r="E21" s="79" t="s">
        <v>50</v>
      </c>
      <c r="F21" s="80"/>
      <c r="G21" s="80"/>
      <c r="H21" s="80"/>
      <c r="I21" s="80"/>
      <c r="J21" s="80"/>
      <c r="K21" s="80"/>
      <c r="L21" s="185">
        <v>3.0838980394598758E-2</v>
      </c>
      <c r="M21" s="185">
        <v>3.1031377865679135E-2</v>
      </c>
      <c r="N21" s="185">
        <v>3.1483078289532611E-2</v>
      </c>
      <c r="O21" s="185">
        <v>3.228609848907258E-2</v>
      </c>
      <c r="P21" s="185">
        <v>3.3059651234401959E-2</v>
      </c>
    </row>
    <row r="22" spans="1:16" ht="11.25" customHeight="1">
      <c r="C22" s="81" t="s">
        <v>57</v>
      </c>
      <c r="D22" s="79" t="s">
        <v>58</v>
      </c>
      <c r="E22" s="79" t="s">
        <v>50</v>
      </c>
      <c r="F22" s="80"/>
      <c r="G22" s="157">
        <f>IF(AND(G13&lt;&gt;"",G20&lt;&gt;""),((1+G20)*(1+G13)-1),"")</f>
        <v>3.2979945755177154E-2</v>
      </c>
      <c r="H22" s="157">
        <f>IF(AND(H13&lt;&gt;"",H20&lt;&gt;""),((1+H20)*(1+H13)-1),"")</f>
        <v>5.8171882419040255E-2</v>
      </c>
      <c r="I22" s="157">
        <f>IF(AND(I13&lt;&gt;"",I20&lt;&gt;""),((1+I20)*(1+I13)-1),"")</f>
        <v>0.10163412970798102</v>
      </c>
      <c r="J22" s="157">
        <f>IF(AND(J13&lt;&gt;"",J20&lt;&gt;""),((1+J20)*(1+J13)-1),"")</f>
        <v>6.3640555771956153E-2</v>
      </c>
      <c r="K22" s="157">
        <f>IF(AND(K13&lt;&gt;"",K20&lt;&gt;""),((1+K20)*(1+K13)-1),"")</f>
        <v>5.3223417894460612E-2</v>
      </c>
      <c r="L22" s="157">
        <f>IF(AND(L14&lt;&gt;"",L21&lt;&gt;""),((1+L21)*(1+L14)-1),"")</f>
        <v>6.0214821860545609E-2</v>
      </c>
      <c r="M22" s="157">
        <f t="shared" ref="M22:P22" si="5">IF(AND(M14&lt;&gt;"",M21&lt;&gt;""),((1+M21)*(1+M14)-1),"")</f>
        <v>6.0412702086660053E-2</v>
      </c>
      <c r="N22" s="157">
        <f t="shared" si="5"/>
        <v>6.0877274627588518E-2</v>
      </c>
      <c r="O22" s="157">
        <f t="shared" si="5"/>
        <v>6.1703178511704149E-2</v>
      </c>
      <c r="P22" s="157">
        <f t="shared" si="5"/>
        <v>6.2498775206907942E-2</v>
      </c>
    </row>
    <row r="23" spans="1:16" ht="11.25" customHeight="1">
      <c r="A23" s="2"/>
      <c r="B23" s="2"/>
      <c r="C23" s="81"/>
      <c r="D23" s="79"/>
      <c r="E23" s="79"/>
      <c r="F23" s="80"/>
      <c r="G23" s="88"/>
      <c r="H23" s="16"/>
      <c r="I23" s="16"/>
      <c r="J23" s="16"/>
      <c r="K23" s="16"/>
      <c r="N23" s="2"/>
    </row>
    <row r="24" spans="1:16" s="63" customFormat="1" ht="12.75" customHeight="1">
      <c r="A24" s="8"/>
      <c r="B24" s="23" t="s">
        <v>16</v>
      </c>
      <c r="D24" s="64"/>
      <c r="E24" s="64"/>
    </row>
    <row r="25" spans="1:16" ht="18" customHeight="1">
      <c r="G25" s="86"/>
      <c r="H25" s="86"/>
      <c r="I25" s="86"/>
      <c r="J25" s="86"/>
      <c r="K25" s="86"/>
      <c r="L25" s="86"/>
      <c r="M25" s="86"/>
    </row>
    <row r="26" spans="1:16" ht="18" customHeight="1">
      <c r="G26" s="86"/>
      <c r="H26" s="189"/>
      <c r="I26" s="86"/>
      <c r="J26" s="189"/>
      <c r="K26" s="188"/>
      <c r="L26" s="86"/>
      <c r="M26" s="86"/>
    </row>
    <row r="27" spans="1:16" ht="18" customHeight="1">
      <c r="G27" s="86"/>
      <c r="H27" s="86"/>
      <c r="I27" s="86"/>
      <c r="J27" s="86"/>
      <c r="K27" s="86"/>
      <c r="L27" s="86"/>
      <c r="M27" s="86"/>
    </row>
    <row r="28" spans="1:16" ht="18" customHeight="1">
      <c r="G28" s="86"/>
      <c r="H28" s="86"/>
      <c r="I28" s="86"/>
      <c r="J28" s="86"/>
      <c r="K28" s="86"/>
      <c r="L28" s="86"/>
      <c r="M28" s="86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1"/>
  <sheetViews>
    <sheetView workbookViewId="0"/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20.570312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SA Power Networks 2025-30 Draft decision - Capital expenditure sharing scheme model</v>
      </c>
      <c r="D1" s="3"/>
      <c r="E1" s="3"/>
      <c r="F1" s="3"/>
      <c r="G1" s="3"/>
      <c r="H1" s="99"/>
      <c r="I1" s="100" t="s">
        <v>17</v>
      </c>
      <c r="J1" s="135" t="s">
        <v>18</v>
      </c>
      <c r="K1" s="173" t="s">
        <v>19</v>
      </c>
      <c r="L1" s="192" t="s">
        <v>143</v>
      </c>
    </row>
    <row r="2" spans="2:14" ht="18" customHeight="1">
      <c r="B2" s="10" t="s">
        <v>59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60</v>
      </c>
      <c r="D4" s="6"/>
      <c r="E4" s="6"/>
      <c r="F4" s="6"/>
      <c r="G4" s="6"/>
    </row>
    <row r="5" spans="2:14" ht="10.5" customHeight="1">
      <c r="D5" s="69"/>
      <c r="E5" s="69"/>
      <c r="F5" s="69"/>
      <c r="G5" s="69"/>
    </row>
    <row r="6" spans="2:14" s="69" customFormat="1" ht="10.5" customHeight="1">
      <c r="D6" s="76" t="s">
        <v>46</v>
      </c>
      <c r="E6" s="76" t="s">
        <v>47</v>
      </c>
      <c r="F6" s="76" t="s">
        <v>61</v>
      </c>
      <c r="G6" s="65"/>
      <c r="H6" s="87" t="str">
        <f>IF('Input | General'!D14="Yes",'Input | General'!D13,"n/a")</f>
        <v>2020–21</v>
      </c>
      <c r="I6" s="87" t="str">
        <f>IF('Input | General'!E14="Yes",'Input | General'!E13,"n/a")</f>
        <v>2021–22</v>
      </c>
      <c r="J6" s="87" t="str">
        <f>IF('Input | General'!F14="Yes",'Input | General'!F13,"n/a")</f>
        <v>2022–23</v>
      </c>
      <c r="K6" s="87" t="str">
        <f>IF('Input | General'!G14="Yes",'Input | General'!G13,"n/a")</f>
        <v>2023–24</v>
      </c>
      <c r="L6" s="87" t="str">
        <f>IF('Input | General'!H14="Yes",'Input | General'!H13,"n/a")</f>
        <v>2024–25</v>
      </c>
    </row>
    <row r="7" spans="2:14" s="69" customFormat="1" ht="10.5" customHeight="1"/>
    <row r="8" spans="2:14" ht="10.5" customHeight="1">
      <c r="C8" s="81" t="s">
        <v>62</v>
      </c>
      <c r="D8" s="79" t="s">
        <v>52</v>
      </c>
      <c r="E8" s="79" t="s">
        <v>63</v>
      </c>
      <c r="F8" s="79" t="str">
        <f>'Input | Inflation and Disc Rate'!$F$7</f>
        <v>2019–20</v>
      </c>
      <c r="G8" s="69"/>
      <c r="H8" s="190">
        <v>426.31311877933734</v>
      </c>
      <c r="I8" s="190">
        <v>425.10580392295492</v>
      </c>
      <c r="J8" s="190">
        <v>422.00582016960368</v>
      </c>
      <c r="K8" s="190">
        <v>413.60157999679205</v>
      </c>
      <c r="L8" s="190">
        <v>391.4523899342675</v>
      </c>
    </row>
    <row r="9" spans="2:14" ht="10.5" customHeight="1">
      <c r="C9" s="81" t="s">
        <v>64</v>
      </c>
      <c r="D9" s="79" t="s">
        <v>52</v>
      </c>
      <c r="E9" s="79" t="s">
        <v>63</v>
      </c>
      <c r="F9" s="79" t="str">
        <f>'Input | Inflation and Disc Rate'!$F$7</f>
        <v>2019–20</v>
      </c>
      <c r="G9" s="69"/>
      <c r="H9" s="138">
        <v>70.572005920245957</v>
      </c>
      <c r="I9" s="138">
        <v>71.473163908104709</v>
      </c>
      <c r="J9" s="138">
        <v>76.601329458596069</v>
      </c>
      <c r="K9" s="138">
        <v>72.974841015280759</v>
      </c>
      <c r="L9" s="138">
        <v>71.035689040122591</v>
      </c>
    </row>
    <row r="10" spans="2:14" ht="10.5" customHeight="1">
      <c r="C10" s="81" t="s">
        <v>65</v>
      </c>
      <c r="D10" s="79" t="s">
        <v>52</v>
      </c>
      <c r="E10" s="79" t="s">
        <v>63</v>
      </c>
      <c r="F10" s="79" t="str">
        <f>'Input | Inflation and Disc Rate'!$F$7</f>
        <v>2019–20</v>
      </c>
      <c r="G10" s="69"/>
      <c r="H10" s="138">
        <v>2.3375000000000004</v>
      </c>
      <c r="I10" s="138">
        <v>3.2629999999999999</v>
      </c>
      <c r="J10" s="138">
        <v>5.4554999999999998</v>
      </c>
      <c r="K10" s="138">
        <v>4.4710000000000001</v>
      </c>
      <c r="L10" s="138">
        <v>3.1315</v>
      </c>
    </row>
    <row r="11" spans="2:14" s="69" customFormat="1" ht="10.5" customHeight="1">
      <c r="H11" s="67"/>
      <c r="I11" s="67"/>
      <c r="J11" s="67"/>
      <c r="K11" s="67"/>
      <c r="L11" s="67"/>
    </row>
    <row r="12" spans="2:14" ht="10.5" customHeight="1">
      <c r="C12" s="78" t="s">
        <v>66</v>
      </c>
      <c r="D12" s="77" t="s">
        <v>58</v>
      </c>
      <c r="E12" s="172" t="s">
        <v>63</v>
      </c>
      <c r="F12" s="162" t="str">
        <f>'Input | Inflation and Disc Rate'!$F$7</f>
        <v>2019–20</v>
      </c>
      <c r="G12" s="69"/>
      <c r="H12" s="160">
        <f>IF(H6="", "", H8-H9-H10)</f>
        <v>353.40361285909142</v>
      </c>
      <c r="I12" s="160">
        <f t="shared" ref="I12:L12" si="0">IF(I6="", "", I8-I9-I10)</f>
        <v>350.36964001485023</v>
      </c>
      <c r="J12" s="160">
        <f t="shared" si="0"/>
        <v>339.94899071100764</v>
      </c>
      <c r="K12" s="160">
        <f t="shared" si="0"/>
        <v>336.15573898151126</v>
      </c>
      <c r="L12" s="160">
        <f t="shared" si="0"/>
        <v>317.28520089414491</v>
      </c>
    </row>
    <row r="13" spans="2:14" ht="10.5" customHeight="1">
      <c r="D13" s="69"/>
      <c r="E13" s="69"/>
      <c r="F13" s="69"/>
      <c r="G13" s="69"/>
      <c r="M13" s="73"/>
      <c r="N13" s="73"/>
    </row>
    <row r="14" spans="2:14" s="8" customFormat="1" ht="12.75" customHeight="1">
      <c r="B14" s="75" t="s">
        <v>67</v>
      </c>
      <c r="D14" s="15"/>
      <c r="E14" s="15"/>
      <c r="F14" s="15"/>
      <c r="G14" s="15"/>
      <c r="M14" s="102"/>
      <c r="N14" s="102"/>
    </row>
    <row r="15" spans="2:14" ht="10.5" customHeight="1">
      <c r="B15" s="74"/>
      <c r="C15" s="2"/>
    </row>
    <row r="16" spans="2:14" ht="10.5" customHeight="1">
      <c r="B16" s="74"/>
      <c r="C16" s="69"/>
      <c r="D16" s="76" t="s">
        <v>46</v>
      </c>
      <c r="E16" s="76" t="s">
        <v>47</v>
      </c>
      <c r="F16" s="76" t="s">
        <v>61</v>
      </c>
      <c r="G16" s="65"/>
      <c r="H16" s="87" t="str">
        <f>H6</f>
        <v>2020–21</v>
      </c>
      <c r="I16" s="87" t="str">
        <f t="shared" ref="I16:L16" si="1">I6</f>
        <v>2021–22</v>
      </c>
      <c r="J16" s="87" t="str">
        <f t="shared" si="1"/>
        <v>2022–23</v>
      </c>
      <c r="K16" s="87" t="str">
        <f t="shared" si="1"/>
        <v>2023–24</v>
      </c>
      <c r="L16" s="87" t="str">
        <f t="shared" si="1"/>
        <v>2024–25</v>
      </c>
      <c r="M16" s="69"/>
      <c r="N16" s="69"/>
    </row>
    <row r="17" spans="2:14" ht="10.5" customHeight="1">
      <c r="B17" s="74"/>
      <c r="C17" s="69"/>
      <c r="D17" s="69"/>
      <c r="E17" s="69"/>
      <c r="F17" s="69"/>
      <c r="G17" s="69"/>
      <c r="H17" s="191"/>
      <c r="I17" s="191"/>
      <c r="J17" s="191"/>
      <c r="K17" s="191"/>
      <c r="L17" s="191"/>
      <c r="M17" s="69"/>
      <c r="N17" s="69"/>
    </row>
    <row r="18" spans="2:14" ht="10.5" customHeight="1">
      <c r="B18" s="74"/>
      <c r="C18" s="81" t="s">
        <v>68</v>
      </c>
      <c r="D18" s="79" t="s">
        <v>52</v>
      </c>
      <c r="E18" s="79" t="s">
        <v>63</v>
      </c>
      <c r="F18" s="79" t="s">
        <v>69</v>
      </c>
      <c r="G18" s="69"/>
      <c r="H18" s="190">
        <v>392.07770603557515</v>
      </c>
      <c r="I18" s="190">
        <v>400.89202418171254</v>
      </c>
      <c r="J18" s="138">
        <v>467.80934279485706</v>
      </c>
      <c r="K18" s="138">
        <v>474.27265406789098</v>
      </c>
      <c r="L18" s="138">
        <v>472.91567272630709</v>
      </c>
    </row>
    <row r="19" spans="2:14" ht="10.5" customHeight="1">
      <c r="B19" s="74"/>
      <c r="C19" s="81" t="s">
        <v>64</v>
      </c>
      <c r="D19" s="79" t="s">
        <v>52</v>
      </c>
      <c r="E19" s="79" t="s">
        <v>63</v>
      </c>
      <c r="F19" s="79" t="s">
        <v>69</v>
      </c>
      <c r="G19" s="69"/>
      <c r="H19" s="138">
        <v>77.200440932137724</v>
      </c>
      <c r="I19" s="190">
        <v>72.033171494909908</v>
      </c>
      <c r="J19" s="138">
        <v>78.728523471830925</v>
      </c>
      <c r="K19" s="138">
        <v>92.756550127616009</v>
      </c>
      <c r="L19" s="138">
        <v>89.433743919953656</v>
      </c>
    </row>
    <row r="20" spans="2:14" ht="10.5" customHeight="1">
      <c r="B20" s="74"/>
      <c r="C20" s="126" t="s">
        <v>65</v>
      </c>
      <c r="D20" s="79" t="s">
        <v>52</v>
      </c>
      <c r="E20" s="79" t="s">
        <v>63</v>
      </c>
      <c r="F20" s="79" t="s">
        <v>69</v>
      </c>
      <c r="G20" s="127"/>
      <c r="H20" s="139">
        <v>2.9489332700000004</v>
      </c>
      <c r="I20" s="190">
        <v>3.2970864300305514</v>
      </c>
      <c r="J20" s="190">
        <v>8.6880268800000007</v>
      </c>
      <c r="K20" s="138">
        <v>3.6908801933333342</v>
      </c>
      <c r="L20" s="138">
        <v>3.6908801933333342</v>
      </c>
    </row>
    <row r="21" spans="2:14" ht="10.5" customHeight="1">
      <c r="B21" s="74"/>
      <c r="C21" s="134" t="s">
        <v>70</v>
      </c>
      <c r="D21" s="79" t="s">
        <v>52</v>
      </c>
      <c r="E21" s="79" t="s">
        <v>63</v>
      </c>
      <c r="F21" s="79" t="s">
        <v>69</v>
      </c>
      <c r="G21" s="127"/>
      <c r="H21" s="139"/>
      <c r="I21" s="138"/>
      <c r="J21" s="138"/>
      <c r="K21" s="138"/>
      <c r="L21" s="138"/>
    </row>
    <row r="22" spans="2:14" ht="10.5" customHeight="1">
      <c r="B22" s="74"/>
      <c r="C22" s="69"/>
      <c r="D22" s="69"/>
      <c r="E22" s="69"/>
      <c r="F22" s="69"/>
      <c r="G22" s="69"/>
      <c r="H22" s="67"/>
      <c r="I22" s="67"/>
      <c r="J22" s="67"/>
      <c r="K22" s="67"/>
      <c r="L22" s="67"/>
      <c r="M22" s="69"/>
      <c r="N22" s="69"/>
    </row>
    <row r="23" spans="2:14" ht="10.5" customHeight="1">
      <c r="B23" s="74"/>
      <c r="C23" s="78" t="s">
        <v>71</v>
      </c>
      <c r="D23" s="77" t="s">
        <v>58</v>
      </c>
      <c r="E23" s="172" t="s">
        <v>63</v>
      </c>
      <c r="F23" s="172" t="s">
        <v>69</v>
      </c>
      <c r="G23" s="69"/>
      <c r="H23" s="160">
        <f>IF(H16="", "", H18-H19-H20-H21)</f>
        <v>311.92833183343743</v>
      </c>
      <c r="I23" s="160">
        <f t="shared" ref="I23:L23" si="2">IF(I16="", "", I18-I19-I20-I21)</f>
        <v>325.56176625677205</v>
      </c>
      <c r="J23" s="160">
        <f t="shared" si="2"/>
        <v>380.39279244302617</v>
      </c>
      <c r="K23" s="160">
        <f t="shared" si="2"/>
        <v>377.82522374694167</v>
      </c>
      <c r="L23" s="160">
        <f t="shared" si="2"/>
        <v>379.79104861302011</v>
      </c>
    </row>
    <row r="24" spans="2:14" ht="10.5" customHeight="1">
      <c r="B24" s="74"/>
      <c r="C24" s="78" t="s">
        <v>71</v>
      </c>
      <c r="D24" s="77" t="s">
        <v>58</v>
      </c>
      <c r="E24" s="172" t="s">
        <v>63</v>
      </c>
      <c r="F24" s="162" t="str">
        <f>'Input | Inflation and Disc Rate'!$F$7</f>
        <v>2019–20</v>
      </c>
      <c r="G24" s="69"/>
      <c r="H24" s="160">
        <f>H23/'Input | Inflation and Disc Rate'!G15</f>
        <v>309.26682729560946</v>
      </c>
      <c r="I24" s="160">
        <f>I23/'Input | Inflation and Disc Rate'!H15</f>
        <v>311.87367880492098</v>
      </c>
      <c r="J24" s="160">
        <f>J23/'Input | Inflation and Disc Rate'!I15</f>
        <v>337.93304649755078</v>
      </c>
      <c r="K24" s="160">
        <f>K23/'Input | Inflation and Disc Rate'!J15</f>
        <v>322.58112416895392</v>
      </c>
      <c r="L24" s="160">
        <f>L23/'Input | Inflation and Disc Rate'!K15</f>
        <v>314.81506208907598</v>
      </c>
      <c r="M24" s="73"/>
      <c r="N24" s="73"/>
    </row>
    <row r="25" spans="2:14" ht="10.5" customHeight="1">
      <c r="B25" s="74"/>
      <c r="C25" s="2"/>
      <c r="M25" s="73"/>
      <c r="N25" s="73"/>
    </row>
    <row r="26" spans="2:14" s="8" customFormat="1" ht="12.75" customHeight="1">
      <c r="B26" s="75" t="s">
        <v>72</v>
      </c>
      <c r="D26" s="15"/>
      <c r="E26" s="15"/>
      <c r="F26" s="15"/>
      <c r="G26" s="15"/>
      <c r="M26" s="102"/>
      <c r="N26" s="102"/>
    </row>
    <row r="27" spans="2:14" ht="10.5" customHeight="1">
      <c r="D27" s="69"/>
      <c r="E27" s="69"/>
      <c r="F27" s="69"/>
      <c r="G27" s="69"/>
    </row>
    <row r="28" spans="2:14" ht="10.5" customHeight="1">
      <c r="D28" s="69"/>
      <c r="E28" s="69"/>
      <c r="F28" s="69"/>
      <c r="G28" s="69"/>
      <c r="H28" s="68" t="str">
        <f>'Input | General'!D18</f>
        <v>2025-26</v>
      </c>
      <c r="I28" s="68" t="str">
        <f>'Input | General'!E18</f>
        <v>2026–27</v>
      </c>
      <c r="J28" s="68" t="str">
        <f>'Input | General'!F18</f>
        <v>2027–28</v>
      </c>
      <c r="K28" s="68" t="str">
        <f>'Input | General'!G18</f>
        <v>2028–29</v>
      </c>
      <c r="L28" s="68" t="str">
        <f>'Input | General'!H18</f>
        <v>2029–30</v>
      </c>
    </row>
    <row r="29" spans="2:14" s="14" customFormat="1" ht="10.5" customHeight="1">
      <c r="C29" s="13"/>
      <c r="D29" s="69"/>
      <c r="E29" s="69"/>
      <c r="F29" s="69"/>
      <c r="G29" s="69"/>
    </row>
    <row r="30" spans="2:14" ht="11.25" customHeight="1">
      <c r="C30" s="85" t="s">
        <v>73</v>
      </c>
      <c r="D30" s="79" t="s">
        <v>49</v>
      </c>
      <c r="E30" s="79" t="s">
        <v>63</v>
      </c>
      <c r="F30" s="79" t="s">
        <v>69</v>
      </c>
      <c r="G30" s="69"/>
      <c r="H30" s="138">
        <v>21.335556188512555</v>
      </c>
      <c r="I30" s="138">
        <v>6.9666248674510678</v>
      </c>
      <c r="J30" s="138">
        <v>0.50577340448800456</v>
      </c>
      <c r="K30" s="138">
        <v>0</v>
      </c>
      <c r="L30" s="138">
        <v>0</v>
      </c>
    </row>
    <row r="31" spans="2:14" ht="11.25" customHeight="1">
      <c r="C31" s="85" t="s">
        <v>73</v>
      </c>
      <c r="D31" s="66" t="s">
        <v>58</v>
      </c>
      <c r="E31" s="79" t="s">
        <v>63</v>
      </c>
      <c r="F31" s="162" t="str">
        <f>F24</f>
        <v>2019–20</v>
      </c>
      <c r="G31" s="69"/>
      <c r="H31" s="161">
        <f>IF(H30&lt;&gt;"",H30/('Input | Inflation and Disc Rate'!K10*(1+'Input | Inflation and Disc Rate'!L9)^0.5),"")</f>
        <v>17.409623097586</v>
      </c>
      <c r="I31" s="161">
        <f>IF(I30&lt;&gt;"",I30/('Input | Inflation and Disc Rate'!L10*(1+'Input | Inflation and Disc Rate'!M9)^0.5),"")</f>
        <v>5.5460522987076128</v>
      </c>
      <c r="J31" s="161">
        <f>IF(J30&lt;&gt;"",J30/('Input | Inflation and Disc Rate'!M10*(1+'Input | Inflation and Disc Rate'!N9)^0.5),"")</f>
        <v>0.39282006058754171</v>
      </c>
      <c r="K31" s="161">
        <f>IF(K30&lt;&gt;"",K30/('Input | Inflation and Disc Rate'!N10*(1+'Input | Inflation and Disc Rate'!O9)^0.5),"")</f>
        <v>0</v>
      </c>
      <c r="L31" s="161">
        <f>IF(L30&lt;&gt;"",L30/('Input | Inflation and Disc Rate'!O10*(1+'Input | Inflation and Disc Rate'!P9)^0.5),"")</f>
        <v>0</v>
      </c>
    </row>
    <row r="32" spans="2:14" ht="11.25" customHeight="1">
      <c r="C32" s="85" t="s">
        <v>73</v>
      </c>
      <c r="D32" s="66" t="s">
        <v>52</v>
      </c>
      <c r="E32" s="79" t="s">
        <v>63</v>
      </c>
      <c r="F32" s="79" t="s">
        <v>69</v>
      </c>
      <c r="G32" s="69"/>
      <c r="H32" s="161">
        <f>IF(H30&lt;&gt;"",H31*'Input | Inflation and Disc Rate'!K15*(1+'Input | Inflation and Disc Rate'!L14)^0.5,"")</f>
        <v>21.300024860952533</v>
      </c>
      <c r="I32" s="161">
        <f>IF(I30&lt;&gt;"",I31*'Input | Inflation and Disc Rate'!L15*(1+'Input | Inflation and Disc Rate'!M14)^0.5,"")</f>
        <v>6.9787516011374091</v>
      </c>
      <c r="J32" s="161">
        <f>IF(J30&lt;&gt;"",J31*'Input | Inflation and Disc Rate'!M15*(1+'Input | Inflation and Disc Rate'!N14)^0.5,"")</f>
        <v>0.50838236467770104</v>
      </c>
      <c r="K32" s="161">
        <f>IF(K30&lt;&gt;"",K31*'Input | Inflation and Disc Rate'!N15*(1+'Input | Inflation and Disc Rate'!O14)^0.5,"")</f>
        <v>0</v>
      </c>
      <c r="L32" s="161">
        <f>IF(L30&lt;&gt;"",L31*'Input | Inflation and Disc Rate'!O15*(1+'Input | Inflation and Disc Rate'!P14)^0.5,"")</f>
        <v>0</v>
      </c>
    </row>
    <row r="33" spans="1:14" ht="10.5" customHeight="1">
      <c r="D33" s="69"/>
      <c r="E33" s="69"/>
      <c r="F33" s="69"/>
      <c r="G33" s="69"/>
      <c r="M33" s="73"/>
      <c r="N33" s="73"/>
    </row>
    <row r="34" spans="1:14" s="63" customFormat="1" ht="12.75" customHeight="1">
      <c r="A34" s="8"/>
      <c r="B34" s="23" t="s">
        <v>16</v>
      </c>
      <c r="D34" s="64"/>
      <c r="E34" s="64"/>
      <c r="F34" s="64"/>
    </row>
    <row r="35" spans="1:14" ht="10.5" customHeight="1"/>
    <row r="36" spans="1:14" ht="18" customHeight="1"/>
    <row r="37" spans="1:14" ht="18" customHeight="1">
      <c r="C37" s="2"/>
      <c r="D37" s="2"/>
      <c r="E37" s="2"/>
      <c r="F37" s="2"/>
      <c r="G37" s="2"/>
    </row>
    <row r="38" spans="1:14" ht="18" customHeight="1"/>
    <row r="39" spans="1:14" ht="18" customHeight="1"/>
    <row r="40" spans="1:14" s="14" customFormat="1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s="14" customFormat="1" ht="18" customHeight="1"/>
    <row r="46" spans="1:14" ht="18" customHeight="1"/>
    <row r="47" spans="1:14" ht="18" customHeight="1"/>
    <row r="48" spans="1:14" ht="18" customHeight="1"/>
    <row r="49" spans="3:7" ht="18" customHeight="1"/>
    <row r="50" spans="3:7" ht="18" customHeight="1"/>
    <row r="51" spans="3:7" ht="18" customHeight="1"/>
    <row r="52" spans="3:7" ht="18" customHeight="1">
      <c r="C52" s="2"/>
      <c r="D52" s="2"/>
      <c r="E52" s="2"/>
      <c r="F52" s="2"/>
      <c r="G52" s="2"/>
    </row>
    <row r="53" spans="3:7" ht="18" customHeight="1"/>
    <row r="54" spans="3:7" ht="18" customHeight="1"/>
    <row r="55" spans="3:7" ht="18" customHeight="1"/>
    <row r="56" spans="3:7" s="14" customFormat="1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spans="8:14" ht="18" customHeight="1">
      <c r="H65" s="14"/>
      <c r="I65" s="14"/>
      <c r="J65" s="14"/>
      <c r="K65" s="14"/>
      <c r="L65" s="14"/>
      <c r="M65" s="14"/>
      <c r="N65" s="14"/>
    </row>
    <row r="66" spans="8:14" ht="18" customHeight="1"/>
    <row r="67" spans="8:14" ht="18" customHeight="1"/>
    <row r="68" spans="8:14" ht="18" customHeight="1"/>
    <row r="69" spans="8:14" ht="18" customHeight="1"/>
    <row r="70" spans="8:14" ht="18" customHeight="1"/>
    <row r="71" spans="8:14" ht="18" customHeight="1"/>
    <row r="72" spans="8:14" ht="18" customHeight="1"/>
    <row r="73" spans="8:14" ht="18" customHeight="1"/>
    <row r="74" spans="8:14" ht="18" customHeight="1"/>
    <row r="75" spans="8:14" ht="18" customHeight="1"/>
    <row r="76" spans="8:14" ht="18" customHeight="1"/>
    <row r="77" spans="8:14" ht="18" customHeight="1"/>
    <row r="78" spans="8:14" ht="18" customHeight="1"/>
    <row r="79" spans="8:14" ht="18" customHeight="1"/>
    <row r="80" spans="8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phoneticPr fontId="105" type="noConversion"/>
  <conditionalFormatting sqref="H20:H21">
    <cfRule type="expression" dxfId="8" priority="8">
      <formula>IF($H$6&lt;&gt;"","FALSE","TRUE")</formula>
    </cfRule>
  </conditionalFormatting>
  <conditionalFormatting sqref="H8:L10">
    <cfRule type="expression" dxfId="7" priority="1">
      <formula>IF($H$6&lt;&gt;"","FALSE","TRUE")</formula>
    </cfRule>
  </conditionalFormatting>
  <conditionalFormatting sqref="H18:L19">
    <cfRule type="expression" dxfId="6" priority="13">
      <formula>IF($H$6&lt;&gt;"","FALSE","TRUE")</formula>
    </cfRule>
  </conditionalFormatting>
  <conditionalFormatting sqref="H30:L30">
    <cfRule type="expression" dxfId="5" priority="2">
      <formula>IF($H$6&lt;&gt;"","FALSE","TRUE")</formula>
    </cfRule>
  </conditionalFormatting>
  <conditionalFormatting sqref="I20:L21">
    <cfRule type="expression" dxfId="4" priority="3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6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73.7109375" style="9" customWidth="1"/>
    <col min="4" max="8" width="12.7109375" style="2" customWidth="1"/>
    <col min="9" max="9" width="2.28515625" style="2" customWidth="1"/>
    <col min="10" max="10" width="12.7109375" style="1" customWidth="1"/>
    <col min="11" max="12" width="12.7109375" style="2" customWidth="1"/>
    <col min="13" max="13" width="13.5703125" style="2" customWidth="1"/>
    <col min="14" max="14" width="12.7109375" style="2" customWidth="1"/>
    <col min="15" max="16" width="2.85546875" style="2" customWidth="1"/>
    <col min="17" max="16383" width="0" style="2" hidden="1"/>
    <col min="16384" max="16384" width="12.7109375" style="2" hidden="1"/>
  </cols>
  <sheetData>
    <row r="1" spans="2:23" ht="18" customHeight="1">
      <c r="B1" s="3" t="str">
        <f>'Input | General'!$B$1</f>
        <v>SA Power Networks 2025-30 Draft decision - Capital expenditure sharing scheme model</v>
      </c>
      <c r="C1" s="2"/>
      <c r="J1" s="117"/>
      <c r="K1" s="100" t="s">
        <v>17</v>
      </c>
      <c r="L1" s="135" t="s">
        <v>18</v>
      </c>
      <c r="M1" s="173" t="s">
        <v>19</v>
      </c>
      <c r="N1"/>
      <c r="Q1" s="101"/>
      <c r="R1" s="80"/>
      <c r="S1" s="80"/>
      <c r="T1" s="80"/>
      <c r="U1" s="80"/>
      <c r="V1" s="80"/>
      <c r="W1" s="80"/>
    </row>
    <row r="2" spans="2:23" ht="18" customHeight="1">
      <c r="B2" s="10" t="s">
        <v>74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75</v>
      </c>
      <c r="J4" s="18"/>
      <c r="K4" s="18"/>
    </row>
    <row r="5" spans="2:23" ht="11.25" customHeight="1">
      <c r="C5" s="91"/>
      <c r="D5" s="91"/>
      <c r="E5" s="91"/>
      <c r="F5" s="91"/>
      <c r="G5" s="91"/>
      <c r="H5" s="91"/>
      <c r="I5" s="80"/>
      <c r="J5" s="80"/>
      <c r="K5" s="80"/>
      <c r="L5" s="80"/>
      <c r="M5" s="80"/>
      <c r="N5" s="80"/>
      <c r="O5" s="80"/>
    </row>
    <row r="6" spans="2:23" ht="11.25" customHeight="1">
      <c r="C6" s="114" t="s">
        <v>76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77</v>
      </c>
      <c r="D7" s="87" t="str">
        <f>IF('Input | General'!D14="Yes",'Input | General'!D13,"n/a")</f>
        <v>2020–21</v>
      </c>
      <c r="E7" s="87" t="str">
        <f>IF('Input | General'!E14="Yes",'Input | General'!E13,"n/a")</f>
        <v>2021–22</v>
      </c>
      <c r="F7" s="87" t="str">
        <f>IF('Input | General'!F14="Yes",'Input | General'!F13,"n/a")</f>
        <v>2022–23</v>
      </c>
      <c r="G7" s="87" t="str">
        <f>IF('Input | General'!G14="Yes",'Input | General'!G13,"n/a")</f>
        <v>2023–24</v>
      </c>
      <c r="H7" s="128" t="str">
        <f>IF('Input | General'!H14="Yes",'Input | General'!H13,"n/a")</f>
        <v>2024–25</v>
      </c>
      <c r="I7" s="93"/>
    </row>
    <row r="8" spans="2:23" ht="11.25" customHeight="1">
      <c r="C8" s="111" t="s">
        <v>78</v>
      </c>
      <c r="D8" s="143">
        <f>'Input | Inflation and Disc Rate'!G20</f>
        <v>2.4166123692419772E-2</v>
      </c>
      <c r="E8" s="144">
        <f>'Input | Inflation and Disc Rate'!H20</f>
        <v>2.2405149377671352E-2</v>
      </c>
      <c r="F8" s="144">
        <f>'Input | Inflation and Disc Rate'!I20</f>
        <v>2.1622476556407477E-2</v>
      </c>
      <c r="G8" s="144">
        <f>'Input | Inflation and Disc Rate'!J20</f>
        <v>2.2220313702952854E-2</v>
      </c>
      <c r="H8" s="145">
        <f>'Input | Inflation and Disc Rate'!K20</f>
        <v>2.2547007664524887E-2</v>
      </c>
      <c r="I8" s="93"/>
      <c r="J8" s="80"/>
      <c r="K8" s="80"/>
    </row>
    <row r="9" spans="2:23" ht="11.25" customHeight="1">
      <c r="C9" s="131" t="s">
        <v>79</v>
      </c>
      <c r="D9" s="144">
        <f>'Input | Inflation and Disc Rate'!G22</f>
        <v>3.2979945755177154E-2</v>
      </c>
      <c r="E9" s="144">
        <f>'Input | Inflation and Disc Rate'!H22</f>
        <v>5.8171882419040255E-2</v>
      </c>
      <c r="F9" s="144">
        <f>'Input | Inflation and Disc Rate'!I22</f>
        <v>0.10163412970798102</v>
      </c>
      <c r="G9" s="144">
        <f>'Input | Inflation and Disc Rate'!J22</f>
        <v>6.3640555771956153E-2</v>
      </c>
      <c r="H9" s="145">
        <f>'Input | Inflation and Disc Rate'!K22</f>
        <v>5.3223417894460612E-2</v>
      </c>
      <c r="I9" s="93"/>
      <c r="J9" s="80"/>
      <c r="K9" s="80"/>
    </row>
    <row r="10" spans="2:23" ht="11.25" customHeight="1">
      <c r="C10" s="109" t="s">
        <v>80</v>
      </c>
      <c r="D10" s="146">
        <f>'Input | Reported Capex'!H$12*'Input | Inflation and Disc Rate'!G$15*(1+'Input | Inflation and Disc Rate'!G$20)^0.5</f>
        <v>360.72618762878699</v>
      </c>
      <c r="E10" s="147">
        <f>'Input | Reported Capex'!I$12*'Input | Inflation and Disc Rate'!H$15*(1+'Input | Inflation and Disc Rate'!H$20)^0.5</f>
        <v>369.82192412749185</v>
      </c>
      <c r="F10" s="147">
        <f>'Input | Reported Capex'!J$12*'Input | Inflation and Disc Rate'!I$15*(1+'Input | Inflation and Disc Rate'!I$20)^0.5</f>
        <v>386.77695648521433</v>
      </c>
      <c r="G10" s="147">
        <f>'Input | Reported Capex'!K$12*'Input | Inflation and Disc Rate'!J$15*(1+'Input | Inflation and Disc Rate'!J$20)^0.5</f>
        <v>398.07488726138212</v>
      </c>
      <c r="H10" s="148">
        <f>'Input | Reported Capex'!L$12*'Input | Inflation and Disc Rate'!K$15*(1+'Input | Inflation and Disc Rate'!K$20)^0.5</f>
        <v>387.06212691812789</v>
      </c>
      <c r="I10" s="93"/>
      <c r="J10" s="80"/>
      <c r="K10" s="80"/>
      <c r="N10" s="124"/>
    </row>
    <row r="11" spans="2:23" ht="11.25" customHeight="1">
      <c r="C11" s="109" t="s">
        <v>81</v>
      </c>
      <c r="D11" s="149">
        <f>'Input | Reported Capex'!H23*(1+D$9)^0.5</f>
        <v>317.03029715681362</v>
      </c>
      <c r="E11" s="147">
        <f>'Input | Reported Capex'!I23*(1+E$9)^0.5</f>
        <v>334.89719084685288</v>
      </c>
      <c r="F11" s="147">
        <f>'Input | Reported Capex'!J23*(1+F$9)^0.5</f>
        <v>399.25555801129093</v>
      </c>
      <c r="G11" s="147">
        <f>'Input | Reported Capex'!K23*(1+G$9)^0.5</f>
        <v>389.66230242839833</v>
      </c>
      <c r="H11" s="148">
        <f>'Input | Reported Capex'!L23*(1+H$9)^0.5</f>
        <v>389.76692065001708</v>
      </c>
      <c r="I11" s="93"/>
      <c r="J11" s="80"/>
      <c r="K11" s="80"/>
    </row>
    <row r="12" spans="2:23" s="14" customFormat="1" ht="11.25" customHeight="1">
      <c r="C12" s="109" t="s">
        <v>82</v>
      </c>
      <c r="D12" s="175">
        <f>(D10-D11)</f>
        <v>43.695890471973371</v>
      </c>
      <c r="E12" s="176">
        <f>(E10-E11)</f>
        <v>34.924733280638975</v>
      </c>
      <c r="F12" s="176">
        <f t="shared" ref="F12:H12" si="0">(F10-F11)</f>
        <v>-12.478601526076602</v>
      </c>
      <c r="G12" s="176">
        <f t="shared" si="0"/>
        <v>8.4125848329837822</v>
      </c>
      <c r="H12" s="177">
        <f t="shared" si="0"/>
        <v>-2.7047937318891968</v>
      </c>
      <c r="I12" s="93"/>
      <c r="J12" s="80"/>
      <c r="K12" s="80"/>
    </row>
    <row r="13" spans="2:23" ht="11.25" customHeight="1">
      <c r="C13" s="109" t="s">
        <v>83</v>
      </c>
      <c r="D13" s="89"/>
      <c r="E13" s="176">
        <f>$D$12*$E$8</f>
        <v>0.97901295321492976</v>
      </c>
      <c r="F13" s="176">
        <f>$D$12*$F$8*(1+'Input | Inflation and Disc Rate'!H13)</f>
        <v>0.97786571210354289</v>
      </c>
      <c r="G13" s="176">
        <f>$D$12*$G$8*(1+'Input | Inflation and Disc Rate'!H13)*(1+'Input | Inflation and Disc Rate'!I13)</f>
        <v>1.0836047808129599</v>
      </c>
      <c r="H13" s="177">
        <f>$D$12*$H$8*(1+'Input | Inflation and Disc Rate'!H13)*(1+'Input | Inflation and Disc Rate'!I13)*(1+'Input | Inflation and Disc Rate'!J13)</f>
        <v>1.1440895535955116</v>
      </c>
      <c r="I13" s="93"/>
      <c r="J13" s="80"/>
      <c r="K13" s="80"/>
      <c r="L13" s="92"/>
      <c r="M13" s="92"/>
      <c r="N13" s="92"/>
      <c r="O13" s="92"/>
    </row>
    <row r="14" spans="2:23" ht="11.25" customHeight="1">
      <c r="C14" s="109" t="s">
        <v>84</v>
      </c>
      <c r="D14" s="89"/>
      <c r="E14" s="130"/>
      <c r="F14" s="176">
        <f>$E$12*F$8</f>
        <v>0.75515922659940027</v>
      </c>
      <c r="G14" s="176">
        <f>$E$12*G$8*(1+'Input | Inflation and Disc Rate'!I13)</f>
        <v>0.83681648521845398</v>
      </c>
      <c r="H14" s="177">
        <f>$E$12*H$8*(1+'Input | Inflation and Disc Rate'!I13)*(1+'Input | Inflation and Disc Rate'!J13)</f>
        <v>0.88352600133110792</v>
      </c>
      <c r="I14" s="93"/>
      <c r="J14" s="80"/>
      <c r="K14" s="80"/>
      <c r="L14" s="92"/>
      <c r="M14" s="92"/>
      <c r="N14" s="93"/>
      <c r="O14" s="93"/>
    </row>
    <row r="15" spans="2:23" ht="11.25" customHeight="1">
      <c r="C15" s="109" t="s">
        <v>85</v>
      </c>
      <c r="D15" s="89"/>
      <c r="E15" s="129"/>
      <c r="F15" s="129"/>
      <c r="G15" s="176">
        <f>$F$12*G$8</f>
        <v>-0.27727844048356831</v>
      </c>
      <c r="H15" s="177">
        <f>$F$12*$H$8*(1+'Input | Inflation and Disc Rate'!J13)</f>
        <v>-0.29275559946912272</v>
      </c>
      <c r="I15" s="93"/>
      <c r="J15" s="80"/>
      <c r="K15" s="80"/>
      <c r="L15" s="92"/>
      <c r="M15" s="92"/>
      <c r="N15" s="92"/>
      <c r="O15" s="92"/>
    </row>
    <row r="16" spans="2:23" ht="11.25" customHeight="1">
      <c r="C16" s="109" t="s">
        <v>86</v>
      </c>
      <c r="D16" s="89"/>
      <c r="E16" s="129"/>
      <c r="F16" s="129"/>
      <c r="G16" s="129"/>
      <c r="H16" s="177">
        <f>$G$12*$H$8</f>
        <v>0.18967861470775116</v>
      </c>
      <c r="I16" s="93"/>
      <c r="J16" s="80"/>
      <c r="K16" s="80"/>
      <c r="L16" s="92"/>
      <c r="M16" s="92"/>
      <c r="N16" s="92"/>
      <c r="O16" s="92"/>
    </row>
    <row r="17" spans="3:15" ht="11.25" customHeight="1">
      <c r="C17" s="109" t="s">
        <v>87</v>
      </c>
      <c r="D17" s="89"/>
      <c r="E17" s="129"/>
      <c r="F17" s="129"/>
      <c r="G17" s="129"/>
      <c r="H17" s="132"/>
      <c r="I17" s="93"/>
      <c r="J17" s="80"/>
      <c r="K17" s="80"/>
      <c r="L17" s="92"/>
      <c r="M17" s="92"/>
      <c r="N17" s="92"/>
      <c r="O17" s="92"/>
    </row>
    <row r="18" spans="3:15" s="14" customFormat="1" ht="11.25" customHeight="1">
      <c r="C18" s="110" t="s">
        <v>88</v>
      </c>
      <c r="D18" s="178">
        <f>SUM(D13:D17)</f>
        <v>0</v>
      </c>
      <c r="E18" s="179">
        <f>SUM(E13:E17)</f>
        <v>0.97901295321492976</v>
      </c>
      <c r="F18" s="179">
        <f t="shared" ref="F18:H18" si="1">SUM(F13:F17)</f>
        <v>1.7330249387029433</v>
      </c>
      <c r="G18" s="179">
        <f t="shared" si="1"/>
        <v>1.6431428255478457</v>
      </c>
      <c r="H18" s="180">
        <f t="shared" si="1"/>
        <v>1.9245385701652478</v>
      </c>
      <c r="I18" s="93"/>
      <c r="J18" s="80"/>
      <c r="K18" s="80"/>
      <c r="L18" s="92"/>
      <c r="M18" s="92"/>
      <c r="N18" s="92"/>
      <c r="O18" s="92"/>
    </row>
    <row r="19" spans="3:15" ht="11.25" customHeight="1">
      <c r="C19" s="111" t="s">
        <v>89</v>
      </c>
      <c r="D19" s="178">
        <f>E19*(1+E$9)</f>
        <v>1.3058972123666235</v>
      </c>
      <c r="E19" s="179">
        <f>F19*(1+F$9)</f>
        <v>1.2341068913882585</v>
      </c>
      <c r="F19" s="179">
        <f>G19*(1+G$9)</f>
        <v>1.1202511415613032</v>
      </c>
      <c r="G19" s="179">
        <f>H19*(1+H$9)</f>
        <v>1.0532234178944606</v>
      </c>
      <c r="H19" s="181">
        <v>1</v>
      </c>
      <c r="I19" s="93"/>
      <c r="J19" s="80"/>
      <c r="K19" s="80"/>
      <c r="L19" s="93"/>
      <c r="M19" s="93"/>
      <c r="N19" s="93"/>
      <c r="O19" s="93"/>
    </row>
    <row r="20" spans="3:15" s="14" customFormat="1" ht="11.25" customHeight="1">
      <c r="C20" s="109" t="s">
        <v>90</v>
      </c>
      <c r="D20" s="175">
        <f>D12*D19</f>
        <v>57.062341559227328</v>
      </c>
      <c r="E20" s="176">
        <f>E12*E19</f>
        <v>43.100854021533422</v>
      </c>
      <c r="F20" s="176">
        <f t="shared" ref="F20:H20" si="2">F12*F19</f>
        <v>-13.979167604675935</v>
      </c>
      <c r="G20" s="176">
        <f t="shared" si="2"/>
        <v>8.8603313511222783</v>
      </c>
      <c r="H20" s="177">
        <f t="shared" si="2"/>
        <v>-2.7047937318891968</v>
      </c>
      <c r="I20" s="93"/>
      <c r="J20" s="80"/>
      <c r="K20" s="80"/>
      <c r="L20" s="93"/>
      <c r="M20" s="93"/>
      <c r="N20" s="93"/>
      <c r="O20" s="93"/>
    </row>
    <row r="21" spans="3:15" s="14" customFormat="1" ht="11.25" customHeight="1">
      <c r="C21" s="110" t="s">
        <v>91</v>
      </c>
      <c r="D21" s="178">
        <f>D18*D19</f>
        <v>0</v>
      </c>
      <c r="E21" s="179">
        <f>E18*E19</f>
        <v>1.2082066323209155</v>
      </c>
      <c r="F21" s="179">
        <f t="shared" ref="F21:H21" si="3">F18*F19</f>
        <v>1.9414231659361798</v>
      </c>
      <c r="G21" s="179">
        <f t="shared" si="3"/>
        <v>1.7305965028122636</v>
      </c>
      <c r="H21" s="180">
        <f t="shared" si="3"/>
        <v>1.9245385701652478</v>
      </c>
      <c r="I21" s="93"/>
      <c r="J21" s="80"/>
      <c r="K21" s="80"/>
      <c r="L21" s="93"/>
      <c r="M21" s="93"/>
      <c r="N21" s="93"/>
      <c r="O21" s="93"/>
    </row>
    <row r="22" spans="3:15" s="80" customFormat="1" ht="11.25" customHeight="1"/>
    <row r="23" spans="3:15" ht="11.25" customHeight="1">
      <c r="C23" s="114" t="s">
        <v>92</v>
      </c>
      <c r="D23" s="115"/>
      <c r="E23" s="116"/>
      <c r="F23" s="116"/>
      <c r="G23" s="116"/>
      <c r="H23" s="116"/>
      <c r="I23" s="93"/>
      <c r="J23" s="80"/>
      <c r="K23" s="80"/>
      <c r="L23" s="93"/>
      <c r="M23" s="93"/>
      <c r="N23" s="93"/>
      <c r="O23" s="93"/>
    </row>
    <row r="24" spans="3:15" ht="11.25" customHeight="1">
      <c r="C24" s="108" t="s">
        <v>77</v>
      </c>
      <c r="D24" s="105" t="str">
        <f>'Input | General'!$D$18</f>
        <v>2025-26</v>
      </c>
      <c r="E24" s="105" t="str">
        <f>'Input | General'!$E$18</f>
        <v>2026–27</v>
      </c>
      <c r="F24" s="105" t="str">
        <f>'Input | General'!$F$18</f>
        <v>2027–28</v>
      </c>
      <c r="G24" s="105" t="str">
        <f>'Input | General'!$G$18</f>
        <v>2028–29</v>
      </c>
      <c r="H24" s="106" t="str">
        <f>'Input | General'!$H$18</f>
        <v>2029–30</v>
      </c>
      <c r="I24" s="93"/>
      <c r="J24" s="80"/>
      <c r="K24" s="80"/>
      <c r="L24" s="93"/>
      <c r="M24" s="93"/>
      <c r="N24" s="93"/>
      <c r="O24" s="93"/>
    </row>
    <row r="25" spans="3:15" ht="11.25" customHeight="1">
      <c r="C25" s="112" t="s">
        <v>93</v>
      </c>
      <c r="D25" s="150">
        <f>'Input | Inflation and Disc Rate'!L$22</f>
        <v>6.0214821860545609E-2</v>
      </c>
      <c r="E25" s="150">
        <f>'Input | Inflation and Disc Rate'!M$22</f>
        <v>6.0412702086660053E-2</v>
      </c>
      <c r="F25" s="150">
        <f>'Input | Inflation and Disc Rate'!N$22</f>
        <v>6.0877274627588518E-2</v>
      </c>
      <c r="G25" s="150">
        <f>'Input | Inflation and Disc Rate'!O$22</f>
        <v>6.1703178511704149E-2</v>
      </c>
      <c r="H25" s="151">
        <f>'Input | Inflation and Disc Rate'!P$22</f>
        <v>6.2498775206907942E-2</v>
      </c>
      <c r="I25" s="93"/>
      <c r="J25" s="80"/>
      <c r="K25" s="80"/>
      <c r="L25" s="93"/>
      <c r="M25" s="93"/>
      <c r="N25" s="93"/>
      <c r="O25" s="93"/>
    </row>
    <row r="26" spans="3:15" ht="11.25" customHeight="1">
      <c r="C26" s="113" t="s">
        <v>94</v>
      </c>
      <c r="D26" s="147">
        <f>'Input | Reported Capex'!H32</f>
        <v>21.300024860952533</v>
      </c>
      <c r="E26" s="147">
        <f>'Input | Reported Capex'!I32</f>
        <v>6.9787516011374091</v>
      </c>
      <c r="F26" s="147">
        <f>'Input | Reported Capex'!J32</f>
        <v>0.50838236467770104</v>
      </c>
      <c r="G26" s="147">
        <f>'Input | Reported Capex'!K32</f>
        <v>0</v>
      </c>
      <c r="H26" s="148">
        <f>'Input | Reported Capex'!L32</f>
        <v>0</v>
      </c>
      <c r="I26" s="93"/>
      <c r="J26" s="80"/>
      <c r="K26" s="80"/>
      <c r="L26" s="93"/>
      <c r="M26" s="93"/>
      <c r="N26" s="93"/>
      <c r="O26" s="93"/>
    </row>
    <row r="27" spans="3:15" ht="11.25" customHeight="1">
      <c r="C27" s="113" t="s">
        <v>95</v>
      </c>
      <c r="D27" s="176">
        <f>1/(1+D25)^(0.5)</f>
        <v>0.97118745588235122</v>
      </c>
      <c r="E27" s="176">
        <f>1/((1+E25)^(0.5)*(1+D25))</f>
        <v>0.9159434640391535</v>
      </c>
      <c r="F27" s="176">
        <f>1/((1+F25)^(0.5)*(1+E25)*(1+D25))</f>
        <v>0.86357216227799993</v>
      </c>
      <c r="G27" s="176">
        <f>1/((1+G25)^(0.5)*(1+F25)*(1+E25)*(1+D25))</f>
        <v>0.81370034890684495</v>
      </c>
      <c r="H27" s="177">
        <f>1/((1+H25)^(0.5)*(1+G25)*(1+F25)*(1+E25)*(1+D25))</f>
        <v>0.76612339476964353</v>
      </c>
      <c r="I27" s="93"/>
      <c r="J27" s="80"/>
      <c r="K27" s="80"/>
      <c r="L27" s="93"/>
      <c r="M27" s="93"/>
      <c r="N27" s="93"/>
      <c r="O27" s="93"/>
    </row>
    <row r="28" spans="3:15" ht="11.25" customHeight="1">
      <c r="C28" s="108" t="s">
        <v>96</v>
      </c>
      <c r="D28" s="179">
        <f>D26*D27</f>
        <v>20.686316954939322</v>
      </c>
      <c r="E28" s="179">
        <f t="shared" ref="E28:G28" si="4">E26*E27</f>
        <v>6.3921419162145874</v>
      </c>
      <c r="F28" s="179">
        <f t="shared" si="4"/>
        <v>0.43902485792872498</v>
      </c>
      <c r="G28" s="179">
        <f t="shared" si="4"/>
        <v>0</v>
      </c>
      <c r="H28" s="180">
        <f>H26*H27</f>
        <v>0</v>
      </c>
      <c r="I28" s="93"/>
      <c r="J28" s="80"/>
      <c r="K28" s="80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80"/>
      <c r="K29" s="80"/>
      <c r="L29" s="93"/>
      <c r="M29" s="93"/>
      <c r="N29" s="93"/>
      <c r="O29" s="93"/>
    </row>
    <row r="30" spans="3:15" ht="11.25" customHeight="1">
      <c r="C30" s="107" t="s">
        <v>97</v>
      </c>
      <c r="D30" s="92"/>
      <c r="E30" s="92"/>
      <c r="F30" s="92"/>
      <c r="G30" s="92"/>
      <c r="H30" s="92"/>
      <c r="I30" s="93"/>
      <c r="J30" s="80"/>
      <c r="K30" s="80"/>
      <c r="L30" s="93"/>
      <c r="M30" s="93"/>
      <c r="N30" s="93"/>
      <c r="O30" s="93"/>
    </row>
    <row r="31" spans="3:15" ht="11.25" customHeight="1">
      <c r="C31" s="109" t="s">
        <v>98</v>
      </c>
      <c r="D31" s="163">
        <f>SUM('Input | Reported Capex'!H12:L12)</f>
        <v>1697.1631834606055</v>
      </c>
      <c r="E31" s="92"/>
      <c r="F31" s="92"/>
      <c r="G31" s="92"/>
      <c r="H31" s="92"/>
      <c r="I31" s="93"/>
      <c r="J31" s="80"/>
      <c r="K31" s="80"/>
      <c r="L31" s="93"/>
      <c r="M31" s="93"/>
      <c r="N31" s="93"/>
      <c r="O31" s="93"/>
    </row>
    <row r="32" spans="3:15" ht="11.25" customHeight="1">
      <c r="C32" s="109" t="s">
        <v>81</v>
      </c>
      <c r="D32" s="164">
        <f>SUM('Input | Reported Capex'!H24:L24)</f>
        <v>1596.4697388561112</v>
      </c>
      <c r="E32" s="92"/>
      <c r="F32" s="92"/>
      <c r="G32" s="92"/>
      <c r="H32" s="92"/>
      <c r="I32" s="93"/>
      <c r="J32" s="80"/>
      <c r="K32" s="80"/>
      <c r="L32" s="93"/>
      <c r="M32" s="93"/>
      <c r="N32" s="93"/>
      <c r="O32" s="93"/>
    </row>
    <row r="33" spans="2:15" ht="11.25" customHeight="1">
      <c r="C33" s="109" t="s">
        <v>99</v>
      </c>
      <c r="D33" s="182">
        <f>(D31-D32)/D31</f>
        <v>5.9330443640177859E-2</v>
      </c>
      <c r="E33" s="92"/>
      <c r="F33" s="92"/>
      <c r="G33" s="92"/>
      <c r="H33" s="92"/>
      <c r="I33" s="93"/>
      <c r="J33" s="80"/>
      <c r="K33" s="80"/>
      <c r="L33" s="93"/>
      <c r="M33" s="93"/>
      <c r="N33" s="93"/>
      <c r="O33" s="93"/>
    </row>
    <row r="34" spans="2:15" ht="11.25" customHeight="1">
      <c r="C34" s="109" t="s">
        <v>100</v>
      </c>
      <c r="D34" s="97">
        <v>0.3</v>
      </c>
      <c r="E34" s="92"/>
      <c r="F34" s="92"/>
      <c r="G34" s="92"/>
      <c r="H34" s="92"/>
      <c r="I34" s="93"/>
      <c r="J34" s="80"/>
      <c r="K34" s="80"/>
      <c r="L34" s="93"/>
      <c r="M34" s="93"/>
      <c r="N34" s="93"/>
      <c r="O34" s="93"/>
    </row>
    <row r="35" spans="2:15" ht="11.25" customHeight="1">
      <c r="C35" s="109" t="s">
        <v>101</v>
      </c>
      <c r="D35" s="163">
        <f>SUM(D20:H20)-SUM(D28:H28)</f>
        <v>64.822081866235266</v>
      </c>
      <c r="E35" s="92"/>
      <c r="F35" s="92"/>
      <c r="G35" s="92"/>
      <c r="H35" s="92"/>
      <c r="I35" s="93"/>
      <c r="J35" s="80"/>
      <c r="K35" s="80"/>
      <c r="L35" s="93"/>
      <c r="M35" s="93"/>
      <c r="N35" s="93"/>
      <c r="O35" s="93"/>
    </row>
    <row r="36" spans="2:15" ht="11.25" customHeight="1">
      <c r="C36" s="109" t="s">
        <v>102</v>
      </c>
      <c r="D36" s="164">
        <f>D35-D37</f>
        <v>45.375457306364687</v>
      </c>
      <c r="E36" s="92"/>
      <c r="F36" s="92"/>
      <c r="G36" s="92"/>
      <c r="H36" s="92"/>
      <c r="I36" s="93"/>
      <c r="J36" s="80"/>
      <c r="K36" s="80"/>
      <c r="L36" s="93"/>
      <c r="M36" s="93"/>
      <c r="N36" s="93"/>
      <c r="O36" s="93"/>
    </row>
    <row r="37" spans="2:15" ht="11.25" customHeight="1">
      <c r="C37" s="109" t="s">
        <v>103</v>
      </c>
      <c r="D37" s="164">
        <f>D34*D35</f>
        <v>19.446624559870578</v>
      </c>
      <c r="E37" s="92"/>
      <c r="F37" s="92"/>
      <c r="G37" s="92"/>
      <c r="H37" s="92"/>
      <c r="I37" s="93"/>
      <c r="J37" s="80"/>
      <c r="K37" s="80"/>
      <c r="L37" s="93"/>
      <c r="M37" s="93"/>
      <c r="N37" s="93"/>
      <c r="O37" s="93"/>
    </row>
    <row r="38" spans="2:15" ht="11.25" customHeight="1">
      <c r="C38" s="109" t="s">
        <v>104</v>
      </c>
      <c r="D38" s="164">
        <f>SUM(D21:H21)</f>
        <v>6.8047648712346058</v>
      </c>
      <c r="E38" s="92"/>
      <c r="F38" s="92"/>
      <c r="G38" s="92"/>
      <c r="H38" s="92"/>
      <c r="I38" s="93"/>
      <c r="J38" s="80"/>
      <c r="K38" s="80"/>
      <c r="L38" s="93"/>
      <c r="M38" s="93"/>
      <c r="N38" s="93"/>
      <c r="O38" s="93"/>
    </row>
    <row r="39" spans="2:15" ht="11.25" customHeight="1">
      <c r="C39" s="110" t="s">
        <v>105</v>
      </c>
      <c r="D39" s="165">
        <f>D37-D38</f>
        <v>12.641859688635972</v>
      </c>
      <c r="E39" s="92"/>
      <c r="F39" s="92"/>
      <c r="G39" s="92"/>
      <c r="H39" s="92"/>
      <c r="I39" s="93"/>
      <c r="J39" s="80"/>
      <c r="K39" s="80"/>
      <c r="L39" s="93"/>
      <c r="M39" s="93"/>
      <c r="N39" s="93"/>
      <c r="O39" s="93"/>
    </row>
    <row r="40" spans="2:15" ht="11.25" customHeight="1">
      <c r="D40" s="20"/>
      <c r="J40" s="2"/>
    </row>
    <row r="41" spans="2:15" s="8" customFormat="1" ht="12" customHeight="1">
      <c r="B41" s="23" t="s">
        <v>106</v>
      </c>
      <c r="J41" s="18"/>
      <c r="K41" s="18"/>
    </row>
    <row r="42" spans="2:15" s="21" customFormat="1" ht="11.25" customHeight="1">
      <c r="H42" s="22"/>
    </row>
    <row r="43" spans="2:15" s="24" customFormat="1" ht="11.25" customHeight="1">
      <c r="C43" s="90"/>
      <c r="D43" s="104" t="str">
        <f>'Input | General'!D18</f>
        <v>2025-26</v>
      </c>
      <c r="E43" s="104" t="str">
        <f>'Input | General'!E18</f>
        <v>2026–27</v>
      </c>
      <c r="F43" s="104" t="str">
        <f>'Input | General'!F18</f>
        <v>2027–28</v>
      </c>
      <c r="G43" s="104" t="str">
        <f>'Input | General'!G18</f>
        <v>2028–29</v>
      </c>
      <c r="H43" s="104" t="str">
        <f>'Input | General'!H18</f>
        <v>2029–30</v>
      </c>
    </row>
    <row r="44" spans="2:15" s="24" customFormat="1" ht="11.25" customHeight="1">
      <c r="C44" s="96" t="s">
        <v>107</v>
      </c>
      <c r="D44" s="170">
        <f>1/(1+'Input | Inflation and Disc Rate'!L21)</f>
        <v>0.97008361055303338</v>
      </c>
      <c r="E44" s="169">
        <f>D44/(1+'Input | Inflation and Disc Rate'!M21)</f>
        <v>0.94088660285120251</v>
      </c>
      <c r="F44" s="169">
        <f>E44/(1+'Input | Inflation and Disc Rate'!N21)</f>
        <v>0.91216872351550105</v>
      </c>
      <c r="G44" s="169">
        <f>F44/(1+'Input | Inflation and Disc Rate'!O21)</f>
        <v>0.8836394531037628</v>
      </c>
      <c r="H44" s="169">
        <f>G44/(1+'Input | Inflation and Disc Rate'!P21)</f>
        <v>0.85536150022692581</v>
      </c>
    </row>
    <row r="45" spans="2:15" s="24" customFormat="1" ht="11.25" customHeight="1">
      <c r="C45" s="96" t="str">
        <f>CONCATENATE("CESS Payment Per Year ($", 'Output | Models'!F4," million)")</f>
        <v>CESS Payment Per Year ($2024-25 million)</v>
      </c>
      <c r="D45" s="166">
        <f>D39/(SUM(D44:H44))</f>
        <v>2.7710372747780938</v>
      </c>
      <c r="E45" s="183">
        <f>D45</f>
        <v>2.7710372747780938</v>
      </c>
      <c r="F45" s="183">
        <f t="shared" ref="F45:H45" si="5">E45</f>
        <v>2.7710372747780938</v>
      </c>
      <c r="G45" s="183">
        <f t="shared" si="5"/>
        <v>2.7710372747780938</v>
      </c>
      <c r="H45" s="184">
        <f t="shared" si="5"/>
        <v>2.7710372747780938</v>
      </c>
    </row>
    <row r="46" spans="2:15" s="80" customFormat="1" ht="11.25" customHeight="1">
      <c r="J46" s="24"/>
    </row>
    <row r="47" spans="2:15" s="24" customFormat="1" ht="11.25" customHeight="1">
      <c r="C47" s="96" t="str">
        <f>CONCATENATE("Total CESS Payment ($", 'Output | Models'!$F$4," million)")</f>
        <v>Total CESS Payment ($2024-25 million)</v>
      </c>
      <c r="D47" s="167">
        <f>SUM(D45:H45)</f>
        <v>13.855186373890469</v>
      </c>
      <c r="E47" s="71"/>
      <c r="F47" s="71"/>
      <c r="G47" s="71"/>
      <c r="H47" s="71"/>
    </row>
    <row r="48" spans="2:15" s="24" customFormat="1" ht="11.25" customHeight="1">
      <c r="C48" s="70"/>
      <c r="D48" s="95"/>
      <c r="E48" s="71"/>
      <c r="F48" s="71"/>
      <c r="G48" s="71"/>
      <c r="H48" s="71"/>
    </row>
    <row r="49" spans="1:16382" s="24" customFormat="1" ht="11.2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6382" ht="12" customHeight="1">
      <c r="A50" s="23"/>
      <c r="B50" s="23" t="s">
        <v>16</v>
      </c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  <c r="WVB50" s="63"/>
      <c r="WVC50" s="63"/>
      <c r="WVD50" s="63"/>
      <c r="WVE50" s="63"/>
      <c r="WVF50" s="63"/>
      <c r="WVG50" s="63"/>
      <c r="WVH50" s="63"/>
      <c r="WVI50" s="63"/>
      <c r="WVJ50" s="63"/>
      <c r="WVK50" s="63"/>
      <c r="WVL50" s="63"/>
      <c r="WVM50" s="63"/>
      <c r="WVN50" s="63"/>
      <c r="WVO50" s="63"/>
      <c r="WVP50" s="63"/>
      <c r="WVQ50" s="63"/>
      <c r="WVR50" s="63"/>
      <c r="WVS50" s="63"/>
      <c r="WVT50" s="63"/>
      <c r="WVU50" s="63"/>
      <c r="WVV50" s="63"/>
      <c r="WVW50" s="63"/>
      <c r="WVX50" s="63"/>
      <c r="WVY50" s="63"/>
      <c r="WVZ50" s="63"/>
      <c r="WWA50" s="63"/>
      <c r="WWB50" s="63"/>
      <c r="WWC50" s="63"/>
      <c r="WWD50" s="63"/>
      <c r="WWE50" s="63"/>
      <c r="WWF50" s="63"/>
      <c r="WWG50" s="63"/>
      <c r="WWH50" s="63"/>
      <c r="WWI50" s="63"/>
      <c r="WWJ50" s="63"/>
      <c r="WWK50" s="63"/>
      <c r="WWL50" s="63"/>
      <c r="WWM50" s="63"/>
      <c r="WWN50" s="63"/>
      <c r="WWO50" s="63"/>
      <c r="WWP50" s="63"/>
      <c r="WWQ50" s="63"/>
      <c r="WWR50" s="63"/>
      <c r="WWS50" s="63"/>
      <c r="WWT50" s="63"/>
      <c r="WWU50" s="63"/>
      <c r="WWV50" s="63"/>
      <c r="WWW50" s="63"/>
      <c r="WWX50" s="63"/>
      <c r="WWY50" s="63"/>
      <c r="WWZ50" s="63"/>
      <c r="WXA50" s="63"/>
      <c r="WXB50" s="63"/>
      <c r="WXC50" s="63"/>
      <c r="WXD50" s="63"/>
      <c r="WXE50" s="63"/>
      <c r="WXF50" s="63"/>
      <c r="WXG50" s="63"/>
      <c r="WXH50" s="63"/>
      <c r="WXI50" s="63"/>
      <c r="WXJ50" s="63"/>
      <c r="WXK50" s="63"/>
      <c r="WXL50" s="63"/>
      <c r="WXM50" s="63"/>
      <c r="WXN50" s="63"/>
      <c r="WXO50" s="63"/>
      <c r="WXP50" s="63"/>
      <c r="WXQ50" s="63"/>
      <c r="WXR50" s="63"/>
      <c r="WXS50" s="63"/>
      <c r="WXT50" s="63"/>
      <c r="WXU50" s="63"/>
      <c r="WXV50" s="63"/>
      <c r="WXW50" s="63"/>
      <c r="WXX50" s="63"/>
      <c r="WXY50" s="63"/>
      <c r="WXZ50" s="63"/>
      <c r="WYA50" s="63"/>
      <c r="WYB50" s="63"/>
      <c r="WYC50" s="63"/>
      <c r="WYD50" s="63"/>
      <c r="WYE50" s="63"/>
      <c r="WYF50" s="63"/>
      <c r="WYG50" s="63"/>
      <c r="WYH50" s="63"/>
      <c r="WYI50" s="63"/>
      <c r="WYJ50" s="63"/>
      <c r="WYK50" s="63"/>
      <c r="WYL50" s="63"/>
      <c r="WYM50" s="63"/>
      <c r="WYN50" s="63"/>
      <c r="WYO50" s="63"/>
      <c r="WYP50" s="63"/>
      <c r="WYQ50" s="63"/>
      <c r="WYR50" s="63"/>
      <c r="WYS50" s="63"/>
      <c r="WYT50" s="63"/>
      <c r="WYU50" s="63"/>
      <c r="WYV50" s="63"/>
      <c r="WYW50" s="63"/>
      <c r="WYX50" s="63"/>
      <c r="WYY50" s="63"/>
      <c r="WYZ50" s="63"/>
      <c r="WZA50" s="63"/>
      <c r="WZB50" s="63"/>
      <c r="WZC50" s="63"/>
      <c r="WZD50" s="63"/>
      <c r="WZE50" s="63"/>
      <c r="WZF50" s="63"/>
      <c r="WZG50" s="63"/>
      <c r="WZH50" s="63"/>
      <c r="WZI50" s="63"/>
      <c r="WZJ50" s="63"/>
      <c r="WZK50" s="63"/>
      <c r="WZL50" s="63"/>
      <c r="WZM50" s="63"/>
      <c r="WZN50" s="63"/>
      <c r="WZO50" s="63"/>
      <c r="WZP50" s="63"/>
      <c r="WZQ50" s="63"/>
      <c r="WZR50" s="63"/>
      <c r="WZS50" s="63"/>
      <c r="WZT50" s="63"/>
      <c r="WZU50" s="63"/>
      <c r="WZV50" s="63"/>
      <c r="WZW50" s="63"/>
      <c r="WZX50" s="63"/>
      <c r="WZY50" s="63"/>
      <c r="WZZ50" s="63"/>
      <c r="XAA50" s="63"/>
      <c r="XAB50" s="63"/>
      <c r="XAC50" s="63"/>
      <c r="XAD50" s="63"/>
      <c r="XAE50" s="63"/>
      <c r="XAF50" s="63"/>
      <c r="XAG50" s="63"/>
      <c r="XAH50" s="63"/>
      <c r="XAI50" s="63"/>
      <c r="XAJ50" s="63"/>
      <c r="XAK50" s="63"/>
      <c r="XAL50" s="63"/>
      <c r="XAM50" s="63"/>
      <c r="XAN50" s="63"/>
      <c r="XAO50" s="63"/>
      <c r="XAP50" s="63"/>
      <c r="XAQ50" s="63"/>
      <c r="XAR50" s="63"/>
      <c r="XAS50" s="63"/>
      <c r="XAT50" s="63"/>
      <c r="XAU50" s="63"/>
      <c r="XAV50" s="63"/>
      <c r="XAW50" s="63"/>
      <c r="XAX50" s="63"/>
      <c r="XAY50" s="63"/>
      <c r="XAZ50" s="63"/>
      <c r="XBA50" s="63"/>
      <c r="XBB50" s="63"/>
      <c r="XBC50" s="63"/>
      <c r="XBD50" s="63"/>
      <c r="XBE50" s="63"/>
      <c r="XBF50" s="63"/>
      <c r="XBG50" s="63"/>
      <c r="XBH50" s="63"/>
      <c r="XBI50" s="63"/>
      <c r="XBJ50" s="63"/>
      <c r="XBK50" s="63"/>
      <c r="XBL50" s="63"/>
      <c r="XBM50" s="63"/>
      <c r="XBN50" s="63"/>
      <c r="XBO50" s="63"/>
      <c r="XBP50" s="63"/>
      <c r="XBQ50" s="63"/>
      <c r="XBR50" s="63"/>
      <c r="XBS50" s="63"/>
      <c r="XBT50" s="63"/>
      <c r="XBU50" s="63"/>
      <c r="XBV50" s="63"/>
      <c r="XBW50" s="63"/>
      <c r="XBX50" s="63"/>
      <c r="XBY50" s="63"/>
      <c r="XBZ50" s="63"/>
      <c r="XCA50" s="63"/>
      <c r="XCB50" s="63"/>
      <c r="XCC50" s="63"/>
      <c r="XCD50" s="63"/>
      <c r="XCE50" s="63"/>
      <c r="XCF50" s="63"/>
      <c r="XCG50" s="63"/>
      <c r="XCH50" s="63"/>
      <c r="XCI50" s="63"/>
      <c r="XCJ50" s="63"/>
      <c r="XCK50" s="63"/>
      <c r="XCL50" s="63"/>
      <c r="XCM50" s="63"/>
      <c r="XCN50" s="63"/>
      <c r="XCO50" s="63"/>
      <c r="XCP50" s="63"/>
      <c r="XCQ50" s="63"/>
      <c r="XCR50" s="63"/>
      <c r="XCS50" s="63"/>
      <c r="XCT50" s="63"/>
      <c r="XCU50" s="63"/>
      <c r="XCV50" s="63"/>
      <c r="XCW50" s="63"/>
      <c r="XCX50" s="63"/>
      <c r="XCY50" s="63"/>
      <c r="XCZ50" s="63"/>
      <c r="XDA50" s="63"/>
      <c r="XDB50" s="63"/>
      <c r="XDC50" s="63"/>
      <c r="XDD50" s="63"/>
      <c r="XDE50" s="63"/>
      <c r="XDF50" s="63"/>
      <c r="XDG50" s="63"/>
      <c r="XDH50" s="63"/>
      <c r="XDI50" s="63"/>
      <c r="XDJ50" s="63"/>
      <c r="XDK50" s="63"/>
      <c r="XDL50" s="63"/>
      <c r="XDM50" s="63"/>
      <c r="XDN50" s="63"/>
      <c r="XDO50" s="63"/>
      <c r="XDP50" s="63"/>
      <c r="XDQ50" s="63"/>
      <c r="XDR50" s="63"/>
      <c r="XDS50" s="63"/>
      <c r="XDT50" s="63"/>
      <c r="XDU50" s="63"/>
      <c r="XDV50" s="63"/>
      <c r="XDW50" s="63"/>
      <c r="XDX50" s="63"/>
      <c r="XDY50" s="63"/>
      <c r="XDZ50" s="63"/>
      <c r="XEA50" s="63"/>
      <c r="XEB50" s="63"/>
      <c r="XEC50" s="63"/>
      <c r="XED50" s="63"/>
      <c r="XEE50" s="63"/>
      <c r="XEF50" s="63"/>
      <c r="XEG50" s="63"/>
      <c r="XEH50" s="63"/>
      <c r="XEI50" s="63"/>
      <c r="XEJ50" s="63"/>
      <c r="XEK50" s="63"/>
      <c r="XEL50" s="63"/>
      <c r="XEM50" s="63"/>
      <c r="XEN50" s="63"/>
      <c r="XEO50" s="63"/>
      <c r="XEP50" s="63"/>
      <c r="XEQ50" s="63"/>
      <c r="XER50" s="63"/>
      <c r="XES50" s="63"/>
      <c r="XET50" s="63"/>
      <c r="XEU50" s="63"/>
      <c r="XEV50" s="63"/>
      <c r="XEW50" s="63"/>
      <c r="XEX50" s="63"/>
      <c r="XEY50" s="63"/>
      <c r="XEZ50" s="63"/>
      <c r="XFA50" s="63"/>
      <c r="XFB50" s="63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tabSelected="1" workbookViewId="0"/>
  </sheetViews>
  <sheetFormatPr defaultColWidth="0" defaultRowHeight="11.25" customHeight="1" zeroHeight="1"/>
  <cols>
    <col min="1" max="2" width="1.28515625" style="43" customWidth="1"/>
    <col min="3" max="3" width="36" style="43" customWidth="1"/>
    <col min="4" max="4" width="23.7109375" style="45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3" customWidth="1"/>
    <col min="16" max="17" width="3" style="43" customWidth="1"/>
    <col min="18" max="24" width="9.28515625" style="43" hidden="1" customWidth="1"/>
    <col min="25" max="48" width="0" style="43" hidden="1" customWidth="1"/>
    <col min="49" max="16384" width="0" style="43" hidden="1"/>
  </cols>
  <sheetData>
    <row r="1" spans="1:27" s="29" customFormat="1" ht="18">
      <c r="B1" s="3" t="str">
        <f>'Input | General'!$B$1</f>
        <v>SA Power Networks 2025-30 Draft decision - Capital expenditure sharing scheme model</v>
      </c>
      <c r="C1" s="30"/>
      <c r="D1" s="30"/>
      <c r="E1" s="30"/>
      <c r="F1" s="31"/>
      <c r="G1" s="31"/>
      <c r="H1" s="31"/>
      <c r="I1" s="31"/>
      <c r="J1" s="99"/>
      <c r="K1" s="100" t="s">
        <v>17</v>
      </c>
      <c r="L1" s="135" t="s">
        <v>18</v>
      </c>
      <c r="M1" s="173" t="s">
        <v>19</v>
      </c>
      <c r="R1" s="101"/>
      <c r="S1" s="80"/>
      <c r="T1" s="80"/>
      <c r="U1" s="80"/>
      <c r="V1" s="80"/>
      <c r="W1" s="80"/>
    </row>
    <row r="2" spans="1:27" s="50" customFormat="1" ht="13.5" thickBot="1">
      <c r="B2" s="51" t="s">
        <v>12</v>
      </c>
      <c r="C2" s="51"/>
      <c r="D2" s="51"/>
      <c r="E2" s="51"/>
      <c r="F2" s="52"/>
      <c r="G2" s="52"/>
      <c r="H2" s="52"/>
      <c r="I2" s="52"/>
    </row>
    <row r="3" spans="1:27" s="53" customFormat="1">
      <c r="D3" s="54"/>
      <c r="E3" s="54"/>
      <c r="F3" s="54"/>
      <c r="G3" s="54"/>
      <c r="H3" s="54"/>
      <c r="I3" s="54"/>
      <c r="J3" s="194"/>
      <c r="K3" s="194"/>
      <c r="L3" s="194"/>
      <c r="M3" s="54"/>
      <c r="N3" s="194"/>
      <c r="O3" s="194"/>
      <c r="P3" s="194"/>
      <c r="Q3" s="194"/>
      <c r="R3" s="194"/>
      <c r="S3" s="194"/>
      <c r="T3" s="194"/>
      <c r="U3" s="55"/>
      <c r="V3" s="55"/>
      <c r="W3" s="55"/>
      <c r="X3" s="55"/>
      <c r="Y3" s="55"/>
      <c r="Z3" s="55"/>
      <c r="AA3" s="55"/>
    </row>
    <row r="4" spans="1:27" s="42" customFormat="1" ht="12.75">
      <c r="A4" s="34"/>
      <c r="B4" s="35" t="s">
        <v>108</v>
      </c>
      <c r="C4" s="34"/>
      <c r="D4" s="34"/>
      <c r="E4" s="140" t="s">
        <v>63</v>
      </c>
      <c r="F4" s="140" t="s">
        <v>109</v>
      </c>
      <c r="G4" s="36"/>
      <c r="H4" s="36"/>
      <c r="I4" s="36"/>
      <c r="J4" s="56" t="s">
        <v>110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0"/>
      <c r="R5" s="80"/>
      <c r="S5" s="80"/>
      <c r="T5" s="80"/>
      <c r="U5" s="80"/>
      <c r="V5" s="80"/>
      <c r="W5" s="80"/>
      <c r="X5" s="80"/>
    </row>
    <row r="6" spans="1:27" ht="11.25" customHeight="1">
      <c r="C6" s="58" t="s">
        <v>111</v>
      </c>
      <c r="D6" s="59" t="s">
        <v>46</v>
      </c>
      <c r="E6" s="59" t="s">
        <v>47</v>
      </c>
      <c r="F6" s="59" t="s">
        <v>61</v>
      </c>
      <c r="H6" s="59"/>
      <c r="I6" s="59"/>
      <c r="J6" s="60" t="str">
        <f>'Calc | CESS Revenue Increments'!D43</f>
        <v>2025-26</v>
      </c>
      <c r="K6" s="60" t="str">
        <f>'Calc | CESS Revenue Increments'!E43</f>
        <v>2026–27</v>
      </c>
      <c r="L6" s="60" t="str">
        <f>'Calc | CESS Revenue Increments'!F43</f>
        <v>2027–28</v>
      </c>
      <c r="M6" s="60" t="str">
        <f>'Calc | CESS Revenue Increments'!G43</f>
        <v>2028–29</v>
      </c>
      <c r="N6" s="60" t="str">
        <f>'Calc | CESS Revenue Increments'!H43</f>
        <v>2029–30</v>
      </c>
      <c r="O6" s="60" t="s">
        <v>112</v>
      </c>
      <c r="P6" s="47"/>
      <c r="Q6" s="80"/>
      <c r="R6" s="80"/>
      <c r="S6" s="80"/>
      <c r="T6" s="80"/>
      <c r="U6" s="80"/>
      <c r="V6" s="80"/>
      <c r="W6" s="80"/>
      <c r="X6" s="80"/>
    </row>
    <row r="7" spans="1:27" ht="11.25" customHeight="1">
      <c r="C7" s="58"/>
      <c r="D7" s="59"/>
      <c r="E7" s="59"/>
      <c r="F7" s="59"/>
      <c r="H7" s="59"/>
      <c r="I7" s="59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7" ht="11.25" customHeight="1">
      <c r="C8" s="48" t="s">
        <v>113</v>
      </c>
      <c r="D8" s="27" t="s">
        <v>10</v>
      </c>
      <c r="E8" s="45" t="str">
        <f>$E$4</f>
        <v>$millions</v>
      </c>
      <c r="F8" s="45" t="str">
        <f>$F$4</f>
        <v>2024-25</v>
      </c>
      <c r="H8" s="59"/>
      <c r="I8" s="59"/>
      <c r="J8" s="161">
        <f>'Calc | CESS Revenue Increments'!D45</f>
        <v>2.7710372747780938</v>
      </c>
      <c r="K8" s="161">
        <f>'Calc | CESS Revenue Increments'!E45</f>
        <v>2.7710372747780938</v>
      </c>
      <c r="L8" s="161">
        <f>'Calc | CESS Revenue Increments'!F45</f>
        <v>2.7710372747780938</v>
      </c>
      <c r="M8" s="161">
        <f>'Calc | CESS Revenue Increments'!G45</f>
        <v>2.7710372747780938</v>
      </c>
      <c r="N8" s="161">
        <f>'Calc | CESS Revenue Increments'!H45</f>
        <v>2.7710372747780938</v>
      </c>
      <c r="O8" s="168">
        <f>SUM(J8:N8)</f>
        <v>13.855186373890469</v>
      </c>
      <c r="P8" s="123"/>
      <c r="Q8" s="80"/>
      <c r="R8" s="80"/>
      <c r="S8" s="80"/>
      <c r="T8" s="80"/>
      <c r="U8" s="80"/>
      <c r="V8" s="80"/>
      <c r="W8" s="80"/>
      <c r="X8" s="80"/>
    </row>
    <row r="9" spans="1:27" ht="11.25" customHeight="1">
      <c r="C9" s="48"/>
      <c r="D9" s="61"/>
      <c r="H9" s="59"/>
      <c r="I9" s="59"/>
      <c r="Q9" s="80"/>
      <c r="R9" s="80"/>
      <c r="S9" s="80"/>
      <c r="T9" s="80"/>
      <c r="U9" s="80"/>
      <c r="V9" s="80"/>
      <c r="W9" s="80"/>
      <c r="X9" s="80"/>
    </row>
    <row r="10" spans="1:27" ht="11.25" customHeight="1">
      <c r="D10" s="61"/>
      <c r="H10" s="59"/>
      <c r="I10" s="59"/>
      <c r="J10" s="122"/>
      <c r="K10" s="122"/>
      <c r="L10" s="122"/>
      <c r="M10" s="122"/>
      <c r="N10" s="122"/>
      <c r="Q10" s="80"/>
      <c r="R10" s="80"/>
      <c r="S10" s="80"/>
      <c r="T10" s="80"/>
      <c r="U10" s="80"/>
      <c r="V10" s="80"/>
      <c r="W10" s="80"/>
      <c r="X10" s="80"/>
    </row>
    <row r="11" spans="1:27" s="42" customFormat="1" ht="12.75">
      <c r="A11" s="34"/>
      <c r="B11" s="35" t="s">
        <v>16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idden="1">
      <c r="M17" s="62"/>
      <c r="N17" s="62"/>
      <c r="O17" s="62"/>
      <c r="P17" s="62"/>
      <c r="Q17" s="62"/>
      <c r="R17" s="62"/>
      <c r="S17" s="62"/>
      <c r="T17" s="62"/>
    </row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Tables'!$E$19:$E$39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0"/>
  <sheetViews>
    <sheetView workbookViewId="0"/>
  </sheetViews>
  <sheetFormatPr defaultColWidth="0" defaultRowHeight="11.25" customHeight="1" zeroHeight="1"/>
  <cols>
    <col min="1" max="2" width="1.28515625" style="43" customWidth="1"/>
    <col min="3" max="3" width="56.42578125" style="43" customWidth="1"/>
    <col min="4" max="4" width="9.140625" style="44" customWidth="1"/>
    <col min="5" max="5" width="14.140625" style="45" customWidth="1"/>
    <col min="6" max="7" width="4.5703125" style="43" customWidth="1"/>
    <col min="8" max="12" width="9.28515625" style="43" customWidth="1"/>
    <col min="13" max="14" width="2.85546875" style="43" customWidth="1"/>
    <col min="15" max="22" width="9.2851562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75">
      <c r="B1" s="3" t="str">
        <f>'Input | General'!$B$1</f>
        <v>SA Power Networks 2025-30 Draft decision - Capital expenditure sharing scheme model</v>
      </c>
      <c r="C1" s="30"/>
      <c r="D1" s="31"/>
      <c r="E1" s="31"/>
      <c r="F1" s="31"/>
      <c r="G1" s="31"/>
      <c r="H1" s="99"/>
      <c r="I1" s="100" t="s">
        <v>17</v>
      </c>
      <c r="J1" s="135" t="s">
        <v>18</v>
      </c>
      <c r="K1" s="142" t="s">
        <v>114</v>
      </c>
      <c r="P1" s="101"/>
      <c r="Q1" s="80"/>
      <c r="R1" s="80"/>
      <c r="S1" s="80"/>
      <c r="T1" s="80"/>
      <c r="U1" s="80"/>
    </row>
    <row r="2" spans="1:29" s="29" customFormat="1" ht="12.75">
      <c r="B2" s="32" t="s">
        <v>14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2.75">
      <c r="A4" s="34"/>
      <c r="B4" s="35" t="s">
        <v>115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/>
    <row r="6" spans="1:29">
      <c r="C6" s="46" t="s">
        <v>116</v>
      </c>
      <c r="D6" s="47"/>
      <c r="E6" s="47" t="s">
        <v>117</v>
      </c>
      <c r="F6" s="47"/>
    </row>
    <row r="7" spans="1:29">
      <c r="C7" s="48" t="s">
        <v>118</v>
      </c>
      <c r="D7" s="45"/>
      <c r="E7" s="141" t="s">
        <v>119</v>
      </c>
    </row>
    <row r="8" spans="1:29">
      <c r="C8" s="48" t="s">
        <v>120</v>
      </c>
      <c r="D8" s="45"/>
      <c r="E8" s="141" t="s">
        <v>121</v>
      </c>
    </row>
    <row r="9" spans="1:29">
      <c r="C9" s="48" t="s">
        <v>122</v>
      </c>
      <c r="D9" s="45"/>
      <c r="E9" s="141" t="s">
        <v>63</v>
      </c>
      <c r="S9" s="49"/>
    </row>
    <row r="10" spans="1:29">
      <c r="D10" s="43"/>
      <c r="E10" s="43"/>
    </row>
    <row r="11" spans="1:29">
      <c r="C11" s="48" t="s">
        <v>41</v>
      </c>
      <c r="D11" s="45"/>
      <c r="E11" s="141" t="s">
        <v>41</v>
      </c>
    </row>
    <row r="12" spans="1:29">
      <c r="C12" s="48" t="s">
        <v>42</v>
      </c>
      <c r="D12" s="45"/>
      <c r="E12" s="141" t="s">
        <v>42</v>
      </c>
    </row>
    <row r="13" spans="1:29">
      <c r="C13" s="48" t="s">
        <v>123</v>
      </c>
      <c r="D13" s="45"/>
      <c r="E13" s="141" t="s">
        <v>124</v>
      </c>
    </row>
    <row r="14" spans="1:29">
      <c r="C14" s="48"/>
      <c r="D14" s="45"/>
      <c r="E14" s="43"/>
    </row>
    <row r="15" spans="1:29">
      <c r="C15" s="48"/>
      <c r="D15" s="45"/>
      <c r="E15" s="43"/>
    </row>
    <row r="16" spans="1:29" s="42" customFormat="1" ht="12.75">
      <c r="A16" s="34"/>
      <c r="B16" s="35" t="s">
        <v>125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/>
    <row r="18" spans="3:19">
      <c r="C18" s="46" t="str">
        <f>B16</f>
        <v>Years</v>
      </c>
      <c r="D18" s="47"/>
      <c r="E18" s="47" t="s">
        <v>117</v>
      </c>
      <c r="F18" s="47"/>
    </row>
    <row r="19" spans="3:19">
      <c r="C19" s="48" t="s">
        <v>123</v>
      </c>
      <c r="D19" s="47"/>
      <c r="E19" s="141" t="s">
        <v>124</v>
      </c>
      <c r="F19" s="47"/>
    </row>
    <row r="20" spans="3:19">
      <c r="C20" s="48" t="s">
        <v>69</v>
      </c>
      <c r="D20" s="45"/>
      <c r="E20" s="141" t="s">
        <v>69</v>
      </c>
      <c r="F20" s="47"/>
    </row>
    <row r="21" spans="3:19">
      <c r="C21" s="48" t="s">
        <v>126</v>
      </c>
      <c r="D21" s="45"/>
      <c r="E21" s="141" t="s">
        <v>126</v>
      </c>
      <c r="F21" s="47"/>
    </row>
    <row r="22" spans="3:19">
      <c r="C22" s="48" t="s">
        <v>127</v>
      </c>
      <c r="D22" s="45"/>
      <c r="E22" s="141" t="s">
        <v>127</v>
      </c>
      <c r="F22" s="47"/>
    </row>
    <row r="23" spans="3:19">
      <c r="C23" s="48" t="s">
        <v>128</v>
      </c>
      <c r="D23" s="45"/>
      <c r="E23" s="141" t="s">
        <v>128</v>
      </c>
    </row>
    <row r="24" spans="3:19">
      <c r="C24" s="48" t="s">
        <v>129</v>
      </c>
      <c r="D24" s="45"/>
      <c r="E24" s="141" t="s">
        <v>129</v>
      </c>
    </row>
    <row r="25" spans="3:19">
      <c r="C25" s="48" t="s">
        <v>130</v>
      </c>
      <c r="D25" s="45"/>
      <c r="E25" s="141" t="s">
        <v>130</v>
      </c>
      <c r="S25" s="49"/>
    </row>
    <row r="26" spans="3:19">
      <c r="C26" s="48" t="s">
        <v>131</v>
      </c>
      <c r="D26" s="45"/>
      <c r="E26" s="141" t="s">
        <v>131</v>
      </c>
      <c r="S26" s="49"/>
    </row>
    <row r="27" spans="3:19">
      <c r="C27" s="48" t="s">
        <v>132</v>
      </c>
      <c r="D27" s="45"/>
      <c r="E27" s="141" t="s">
        <v>132</v>
      </c>
      <c r="S27" s="49"/>
    </row>
    <row r="28" spans="3:19">
      <c r="C28" s="48" t="s">
        <v>133</v>
      </c>
      <c r="D28" s="45"/>
      <c r="E28" s="141" t="s">
        <v>133</v>
      </c>
      <c r="S28" s="49"/>
    </row>
    <row r="29" spans="3:19">
      <c r="C29" s="48" t="s">
        <v>134</v>
      </c>
      <c r="D29" s="45"/>
      <c r="E29" s="141" t="s">
        <v>134</v>
      </c>
      <c r="S29" s="49"/>
    </row>
    <row r="30" spans="3:19">
      <c r="C30" s="48" t="s">
        <v>135</v>
      </c>
      <c r="D30" s="45"/>
      <c r="E30" s="141" t="s">
        <v>135</v>
      </c>
      <c r="S30" s="49"/>
    </row>
    <row r="31" spans="3:19">
      <c r="C31" s="48" t="s">
        <v>136</v>
      </c>
      <c r="D31" s="45"/>
      <c r="E31" s="141" t="s">
        <v>136</v>
      </c>
      <c r="S31" s="49"/>
    </row>
    <row r="32" spans="3:19">
      <c r="C32" s="48" t="s">
        <v>137</v>
      </c>
      <c r="D32" s="45"/>
      <c r="E32" s="141" t="s">
        <v>137</v>
      </c>
      <c r="S32" s="49"/>
    </row>
    <row r="33" spans="1:29">
      <c r="C33" s="48" t="s">
        <v>138</v>
      </c>
      <c r="D33" s="45"/>
      <c r="E33" s="141" t="s">
        <v>138</v>
      </c>
      <c r="S33" s="49"/>
    </row>
    <row r="34" spans="1:29">
      <c r="C34" s="48" t="s">
        <v>139</v>
      </c>
      <c r="D34" s="45"/>
      <c r="E34" s="141" t="s">
        <v>139</v>
      </c>
      <c r="S34" s="49"/>
    </row>
    <row r="35" spans="1:29">
      <c r="C35" s="48" t="s">
        <v>140</v>
      </c>
      <c r="D35" s="45"/>
      <c r="E35" s="141" t="s">
        <v>140</v>
      </c>
      <c r="S35" s="49"/>
    </row>
    <row r="36" spans="1:29">
      <c r="C36" s="48" t="s">
        <v>141</v>
      </c>
      <c r="D36" s="45"/>
      <c r="E36" s="141" t="s">
        <v>141</v>
      </c>
      <c r="S36" s="49"/>
    </row>
    <row r="37" spans="1:29">
      <c r="C37" s="48" t="s">
        <v>142</v>
      </c>
      <c r="D37" s="45"/>
      <c r="E37" s="141" t="s">
        <v>142</v>
      </c>
      <c r="S37" s="49"/>
    </row>
    <row r="38" spans="1:29">
      <c r="C38" s="48" t="s">
        <v>109</v>
      </c>
      <c r="D38" s="45"/>
      <c r="E38" s="141" t="s">
        <v>109</v>
      </c>
    </row>
    <row r="39" spans="1:29">
      <c r="C39" s="48" t="s">
        <v>28</v>
      </c>
      <c r="D39" s="45"/>
      <c r="E39" s="171" t="s">
        <v>28</v>
      </c>
    </row>
    <row r="40" spans="1:29" s="42" customFormat="1" ht="12.75">
      <c r="A40" s="34"/>
      <c r="B40" s="35" t="s">
        <v>16</v>
      </c>
      <c r="C40" s="34"/>
      <c r="D40" s="36"/>
      <c r="E40" s="36"/>
      <c r="F40" s="36"/>
      <c r="G40" s="36"/>
      <c r="H40" s="37"/>
      <c r="I40" s="38"/>
      <c r="J40" s="37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40"/>
      <c r="X40" s="40"/>
      <c r="Y40" s="40"/>
      <c r="Z40" s="40"/>
      <c r="AA40" s="40"/>
      <c r="AB40" s="41"/>
      <c r="AC40" s="41"/>
    </row>
  </sheetData>
  <conditionalFormatting sqref="O11:O15">
    <cfRule type="expression" dxfId="3" priority="8" stopIfTrue="1">
      <formula>#REF!="Actual"</formula>
    </cfRule>
  </conditionalFormatting>
  <conditionalFormatting sqref="O38:O39">
    <cfRule type="expression" dxfId="2" priority="7" stopIfTrue="1">
      <formula>#REF!="Actual"</formula>
    </cfRule>
  </conditionalFormatting>
  <conditionalFormatting sqref="O11:P15">
    <cfRule type="expression" dxfId="1" priority="9" stopIfTrue="1">
      <formula>#REF!="Actual"</formula>
    </cfRule>
  </conditionalFormatting>
  <conditionalFormatting sqref="P38:P39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8c9b06d0-cb4a-4a03-b449-1f5a2548a910}" enabled="0" method="" siteId="{8c9b06d0-cb4a-4a03-b449-1f5a2548a9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2024-09-03T01:08:04Z</dcterms:created>
  <dcterms:modified xsi:type="dcterms:W3CDTF">2024-09-03T01:09:03Z</dcterms:modified>
  <cp:category/>
  <cp:contentStatus/>
</cp:coreProperties>
</file>