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4009FFDE-5869-4401-9D04-A370379DB4B6}" xr6:coauthVersionLast="47" xr6:coauthVersionMax="47" xr10:uidLastSave="{00000000-0000-0000-0000-000000000000}"/>
  <bookViews>
    <workbookView xWindow="-120" yWindow="-120" windowWidth="29040" windowHeight="15840" tabRatio="877" firstSheet="1" activeTab="2" xr2:uid="{00000000-000D-0000-FFFF-FFFF00000000}"/>
  </bookViews>
  <sheets>
    <sheet name="Index" sheetId="5" r:id="rId1"/>
    <sheet name="AER draft decision amendments" sheetId="19" r:id="rId2"/>
    <sheet name="Input | General" sheetId="2" r:id="rId3"/>
    <sheet name="Input | Inflation and Disc Rate" sheetId="13" r:id="rId4"/>
    <sheet name="FY19 Capex" sheetId="16" r:id="rId5"/>
    <sheet name="FY20 Capex" sheetId="14" r:id="rId6"/>
    <sheet name="Input | Reported Capex" sheetId="3" r:id="rId7"/>
    <sheet name="Calc | CESS Revenue Increments" sheetId="4" r:id="rId8"/>
    <sheet name="Output | Models" sheetId="10" r:id="rId9"/>
    <sheet name="Output| CESS true-up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10remlife">'[1]RFM input'!$J$16</definedName>
    <definedName name="A10stdlife">'[1]RFM input'!$K$16</definedName>
    <definedName name="A10taxremlife">'[1]RFM input'!$S$16</definedName>
    <definedName name="A10taxstdlife">'[1]RFM input'!$T$16</definedName>
    <definedName name="A10taxvalue">'[1]TAB roll forward'!$H$17</definedName>
    <definedName name="A10value">'[1]RAB roll forward'!$H$727</definedName>
    <definedName name="A11remlife">'[1]RFM input'!$J$17</definedName>
    <definedName name="A11stdlife">'[1]RFM input'!$K$17</definedName>
    <definedName name="A11taxremlife">'[1]RFM input'!$S$17</definedName>
    <definedName name="A11taxstdlife">'[1]RFM input'!$T$17</definedName>
    <definedName name="A11taxvalue">'[1]TAB roll forward'!$H$18</definedName>
    <definedName name="A11value">'[1]RAB roll forward'!$H$728</definedName>
    <definedName name="A12remlife">'[1]RFM input'!$J$18</definedName>
    <definedName name="A12stdlife">'[1]RFM input'!$K$18</definedName>
    <definedName name="A12taxremlife">'[1]RFM input'!$S$18</definedName>
    <definedName name="A12taxstdlife">'[1]RFM input'!$T$18</definedName>
    <definedName name="A12taxvalue">'[1]TAB roll forward'!$H$19</definedName>
    <definedName name="A12value">'[1]RAB roll forward'!$H$729</definedName>
    <definedName name="A13remlife">'[1]RFM input'!$J$19</definedName>
    <definedName name="A13stdlife">'[1]RFM input'!$K$19</definedName>
    <definedName name="A13taxremlife">'[1]RFM input'!$S$19</definedName>
    <definedName name="A13taxstdlife">'[1]RFM input'!$T$19</definedName>
    <definedName name="A13taxvalue">'[1]TAB roll forward'!$H$20</definedName>
    <definedName name="A13value">'[1]RAB roll forward'!$H$730</definedName>
    <definedName name="A14remlife">'[1]RFM input'!$J$20</definedName>
    <definedName name="A14stdlife">'[1]RFM input'!$K$20</definedName>
    <definedName name="A14taxremlife">'[1]RFM input'!$S$20</definedName>
    <definedName name="A14taxstdlife">'[1]RFM input'!$T$20</definedName>
    <definedName name="A14taxvalue">'[1]TAB roll forward'!$H$21</definedName>
    <definedName name="A14value">'[1]RAB roll forward'!$H$731</definedName>
    <definedName name="A15remlife">'[1]RFM input'!$J$21</definedName>
    <definedName name="A15stdlife">'[1]RFM input'!$K$21</definedName>
    <definedName name="A15taxremlife">'[1]RFM input'!$S$21</definedName>
    <definedName name="A15taxstdlife">'[1]RFM input'!$T$21</definedName>
    <definedName name="A15taxvalue">'[1]TAB roll forward'!$H$22</definedName>
    <definedName name="A15value">'[1]RAB roll forward'!$H$732</definedName>
    <definedName name="A16remlife">'[1]RFM input'!$J$22</definedName>
    <definedName name="A16stdlife">'[1]RFM input'!$K$22</definedName>
    <definedName name="A16taxremlife">'[1]RFM input'!$S$22</definedName>
    <definedName name="A16taxstdlife">'[1]RFM input'!$T$22</definedName>
    <definedName name="A16taxvalue">'[1]TAB roll forward'!$H$23</definedName>
    <definedName name="A16value">'[1]RAB roll forward'!$H$733</definedName>
    <definedName name="A17remlife">'[1]RFM input'!$J$23</definedName>
    <definedName name="A17stdlife">'[1]RFM input'!$K$23</definedName>
    <definedName name="A17taxremlife">'[1]RFM input'!$S$23</definedName>
    <definedName name="A17taxstdlife">'[1]RFM input'!$T$23</definedName>
    <definedName name="A17taxvalue">'[1]TAB roll forward'!$H$24</definedName>
    <definedName name="A17value">'[1]RAB roll forward'!$H$734</definedName>
    <definedName name="A18remlife">'[1]RFM input'!$J$24</definedName>
    <definedName name="A18stdlife">'[1]RFM input'!$K$24</definedName>
    <definedName name="A18taxremlife">'[1]RFM input'!$S$24</definedName>
    <definedName name="A18taxstdlife">'[1]RFM input'!$T$24</definedName>
    <definedName name="A18taxvalue">'[1]TAB roll forward'!$H$25</definedName>
    <definedName name="A18value">'[1]RAB roll forward'!$H$735</definedName>
    <definedName name="A19remlife">'[1]RFM input'!$J$25</definedName>
    <definedName name="A19stdlife">'[1]RFM input'!$K$25</definedName>
    <definedName name="A19taxremlife">'[1]RFM input'!$S$25</definedName>
    <definedName name="A19taxstdlife">'[1]RFM input'!$T$25</definedName>
    <definedName name="A19taxvalue">'[1]TAB roll forward'!$H$26</definedName>
    <definedName name="A19value">'[1]RAB roll forward'!$H$736</definedName>
    <definedName name="A1remlife">'[1]RFM input'!$J$7</definedName>
    <definedName name="A1stdlife">'[1]RFM input'!$K$7</definedName>
    <definedName name="A1taxremlife">'[1]RFM input'!$S$7</definedName>
    <definedName name="A1taxstdlife">'[1]RFM input'!$T$7</definedName>
    <definedName name="A1taxvalue">'[1]TAB roll forward'!$H$8</definedName>
    <definedName name="A1value">'[1]RAB roll forward'!$H$718</definedName>
    <definedName name="A20remlife">'[1]RFM input'!$J$26</definedName>
    <definedName name="A20stdlife">'[1]RFM input'!$K$26</definedName>
    <definedName name="A20taxremlife">'[1]RFM input'!$S$26</definedName>
    <definedName name="A20taxstdlife">'[1]RFM input'!$T$26</definedName>
    <definedName name="A20taxvalue">'[1]TAB roll forward'!$H$27</definedName>
    <definedName name="A20value">'[1]RAB roll forward'!$H$737</definedName>
    <definedName name="A21remlife">'[1]RFM input'!$J$27</definedName>
    <definedName name="A21stdlife">'[1]RFM input'!$K$27</definedName>
    <definedName name="A21taxremlife">'[1]RFM input'!$S$27</definedName>
    <definedName name="A21taxstdlife">'[1]RFM input'!$T$27</definedName>
    <definedName name="A21taxvalue">'[1]TAB roll forward'!$H$28</definedName>
    <definedName name="A21value">'[1]RAB roll forward'!$H$738</definedName>
    <definedName name="A22remlife">'[1]RFM input'!$J$28</definedName>
    <definedName name="A22stdlife">'[1]RFM input'!$K$28</definedName>
    <definedName name="A22taxremlife">'[1]RFM input'!$S$28</definedName>
    <definedName name="A22taxstdlife">'[1]RFM input'!$T$28</definedName>
    <definedName name="A22taxvalue">'[1]TAB roll forward'!$H$29</definedName>
    <definedName name="A22value">'[1]RAB roll forward'!$H$739</definedName>
    <definedName name="A23remlife">'[1]RFM input'!$J$29</definedName>
    <definedName name="A23stdlife">'[1]RFM input'!$K$29</definedName>
    <definedName name="A23taxremlife">'[1]RFM input'!$S$29</definedName>
    <definedName name="A23taxstdlife">'[1]RFM input'!$T$29</definedName>
    <definedName name="A23taxvalue">'[1]TAB roll forward'!$H$30</definedName>
    <definedName name="A23value">'[1]RAB roll forward'!$H$740</definedName>
    <definedName name="A24remlife">'[1]RFM input'!$J$30</definedName>
    <definedName name="A24stdlife">'[1]RFM input'!$K$30</definedName>
    <definedName name="A24taxremlife">'[1]RFM input'!$S$30</definedName>
    <definedName name="A24taxstdlife">'[1]RFM input'!$T$30</definedName>
    <definedName name="A24taxvalue">'[1]TAB roll forward'!$H$31</definedName>
    <definedName name="A24value">'[1]RAB roll forward'!$H$741</definedName>
    <definedName name="A25remlife">'[1]RFM input'!$J$31</definedName>
    <definedName name="A25stdlife">'[1]RFM input'!$K$31</definedName>
    <definedName name="A25taxremlife">'[1]RFM input'!$S$31</definedName>
    <definedName name="A25taxstdlife">'[1]RFM input'!$T$31</definedName>
    <definedName name="A25taxvalue">'[1]TAB roll forward'!$H$32</definedName>
    <definedName name="A25value">'[1]RAB roll forward'!$H$742</definedName>
    <definedName name="A26remlife">'[1]RFM input'!$J$32</definedName>
    <definedName name="A26stdlife">'[1]RFM input'!$K$32</definedName>
    <definedName name="A26taxremlife">'[1]RFM input'!$S$32</definedName>
    <definedName name="A26taxstdlife">'[1]RFM input'!$T$32</definedName>
    <definedName name="A26taxvalue">'[1]TAB roll forward'!$H$33</definedName>
    <definedName name="A26value">'[1]RAB roll forward'!$H$743</definedName>
    <definedName name="A27remlife">'[1]RFM input'!$J$33</definedName>
    <definedName name="A27stdlife">'[1]RFM input'!$K$33</definedName>
    <definedName name="A27taxremlife">'[1]RFM input'!$S$33</definedName>
    <definedName name="A27taxstdlife">'[1]RFM input'!$T$33</definedName>
    <definedName name="A27taxvalue">'[1]TAB roll forward'!$H$34</definedName>
    <definedName name="A27value">'[1]RAB roll forward'!$H$744</definedName>
    <definedName name="A28remlife">'[1]RFM input'!$J$34</definedName>
    <definedName name="A28stdlife">'[1]RFM input'!$K$34</definedName>
    <definedName name="A28taxremlife">'[1]RFM input'!$S$34</definedName>
    <definedName name="A28taxstdlife">'[1]RFM input'!$T$34</definedName>
    <definedName name="A28taxvalue">'[1]TAB roll forward'!$H$35</definedName>
    <definedName name="A28value">'[1]RAB roll forward'!$H$745</definedName>
    <definedName name="A29remlife">'[1]RFM input'!$J$35</definedName>
    <definedName name="A29stdlife">'[1]RFM input'!$K$35</definedName>
    <definedName name="A29taxremlife">'[1]RFM input'!$S$35</definedName>
    <definedName name="A29taxstdlife">'[1]RFM input'!$T$35</definedName>
    <definedName name="A29taxvalue">'[1]TAB roll forward'!$H$36</definedName>
    <definedName name="A29value">'[1]RAB roll forward'!$H$746</definedName>
    <definedName name="A2remlife">'[1]RFM input'!$J$8</definedName>
    <definedName name="A2stdlife">'[1]RFM input'!$K$8</definedName>
    <definedName name="A2taxremlife">'[1]RFM input'!$S$8</definedName>
    <definedName name="A2taxstdlife">'[1]RFM input'!$T$8</definedName>
    <definedName name="A2taxvalue">'[1]TAB roll forward'!$H$9</definedName>
    <definedName name="A2value">'[1]RAB roll forward'!$H$719</definedName>
    <definedName name="A30remlife">'[1]RFM input'!$J$36</definedName>
    <definedName name="A30stdlife">'[1]RFM input'!$K$36</definedName>
    <definedName name="A30taxremlife">'[1]RFM input'!$S$36</definedName>
    <definedName name="A30taxstdlife">'[1]RFM input'!$T$36</definedName>
    <definedName name="A30taxvalue">'[1]TAB roll forward'!$H$37</definedName>
    <definedName name="A30value">'[1]RAB roll forward'!$H$747</definedName>
    <definedName name="A31remlife">'[1]RFM input'!$J$37</definedName>
    <definedName name="A31stdlife">'[1]RFM input'!$K$37</definedName>
    <definedName name="A31taxremlife">'[1]RFM input'!$S$37</definedName>
    <definedName name="A31taxstdlife">'[1]RFM input'!$T$37</definedName>
    <definedName name="A31taxvalue">'[1]TAB roll forward'!$H$38</definedName>
    <definedName name="A31value">'[1]RAB roll forward'!$H$748</definedName>
    <definedName name="A32remlife">'[1]RFM input'!$J$38</definedName>
    <definedName name="A32stdlife">'[1]RFM input'!$K$38</definedName>
    <definedName name="A32taxremlife">'[1]RFM input'!$S$38</definedName>
    <definedName name="A32taxstdlife">'[1]RFM input'!$T$38</definedName>
    <definedName name="A32taxvalue">'[1]TAB roll forward'!$H$39</definedName>
    <definedName name="A32value">'[1]RAB roll forward'!$H$749</definedName>
    <definedName name="A33remlife">'[1]RFM input'!$J$39</definedName>
    <definedName name="A33stdlife">'[1]RFM input'!$K$39</definedName>
    <definedName name="A33taxremlife">'[1]RFM input'!$S$39</definedName>
    <definedName name="A33taxstdlife">'[1]RFM input'!$T$39</definedName>
    <definedName name="A33taxvalue">'[1]TAB roll forward'!$H$40</definedName>
    <definedName name="A33value">'[1]RAB roll forward'!$H$750</definedName>
    <definedName name="A34remlife">'[1]RFM input'!$J$40</definedName>
    <definedName name="A34stdlife">'[1]RFM input'!$K$40</definedName>
    <definedName name="A34taxremlife">'[1]RFM input'!$S$40</definedName>
    <definedName name="A34taxstdlife">'[1]RFM input'!$T$40</definedName>
    <definedName name="A34taxvalue">'[1]TAB roll forward'!$H$41</definedName>
    <definedName name="A34value">'[1]RAB roll forward'!$H$751</definedName>
    <definedName name="A35remlife">'[1]RFM input'!$J$41</definedName>
    <definedName name="A35stdlife">'[1]RFM input'!$K$41</definedName>
    <definedName name="A35taxremlife">'[1]RFM input'!$S$41</definedName>
    <definedName name="A35taxstdlife">'[1]RFM input'!$T$41</definedName>
    <definedName name="A35taxvalue">'[1]TAB roll forward'!$H$42</definedName>
    <definedName name="A35value">'[1]RAB roll forward'!$H$752</definedName>
    <definedName name="A36remlife">'[1]RFM input'!$J$42</definedName>
    <definedName name="A36stdlife">'[1]RFM input'!$K$42</definedName>
    <definedName name="A36taxremlife">'[1]RFM input'!$S$42</definedName>
    <definedName name="A36taxstdlife">'[1]RFM input'!$T$42</definedName>
    <definedName name="A36taxvalue">'[1]TAB roll forward'!$H$43</definedName>
    <definedName name="A36value">'[1]RAB roll forward'!$H$753</definedName>
    <definedName name="A37remlife">'[1]RFM input'!$J$43</definedName>
    <definedName name="A37stdlife">'[1]RFM input'!$K$43</definedName>
    <definedName name="A37taxremlife">'[1]RFM input'!$S$43</definedName>
    <definedName name="A37taxstdlife">'[1]RFM input'!$T$43</definedName>
    <definedName name="A37taxvalue">'[1]TAB roll forward'!$H$44</definedName>
    <definedName name="A37value">'[1]RAB roll forward'!$H$754</definedName>
    <definedName name="A38remlife">'[1]RFM input'!$J$44</definedName>
    <definedName name="A38stdlife">'[1]RFM input'!$K$44</definedName>
    <definedName name="A38taxremlife">'[1]RFM input'!$S$44</definedName>
    <definedName name="A38taxstdlife">'[1]RFM input'!$T$44</definedName>
    <definedName name="A38taxvalue">'[1]TAB roll forward'!$H$45</definedName>
    <definedName name="A38value">'[1]RAB roll forward'!$H$755</definedName>
    <definedName name="A39remlife">'[1]RFM input'!$J$45</definedName>
    <definedName name="A39stdlife">'[1]RFM input'!$K$45</definedName>
    <definedName name="A39taxremlife">'[1]RFM input'!$S$45</definedName>
    <definedName name="A39taxstdlife">'[1]RFM input'!$T$45</definedName>
    <definedName name="A39taxvalue">'[1]TAB roll forward'!$H$46</definedName>
    <definedName name="A39value">'[1]RAB roll forward'!$H$756</definedName>
    <definedName name="A3remlife">'[1]RFM input'!$J$9</definedName>
    <definedName name="A3stdlife">'[1]RFM input'!$K$9</definedName>
    <definedName name="A3taxremlife">'[1]RFM input'!$S$9</definedName>
    <definedName name="A3taxstdlife">'[1]RFM input'!$T$9</definedName>
    <definedName name="A3taxvalue">'[1]TAB roll forward'!$H$10</definedName>
    <definedName name="A3value">'[1]RAB roll forward'!$H$720</definedName>
    <definedName name="A40remlife">'[1]RFM input'!$J$46</definedName>
    <definedName name="A40stdlife">'[1]RFM input'!$K$46</definedName>
    <definedName name="A40taxremlife">'[1]RFM input'!$S$46</definedName>
    <definedName name="A40taxstdlife">'[1]RFM input'!$T$46</definedName>
    <definedName name="A40taxvalue">'[1]TAB roll forward'!$H$47</definedName>
    <definedName name="A40value">'[1]RAB roll forward'!$H$757</definedName>
    <definedName name="A41remlife">'[1]RFM input'!$J$47</definedName>
    <definedName name="A41stdlife">'[1]RFM input'!$K$47</definedName>
    <definedName name="A41taxremlife">'[1]RFM input'!$S$47</definedName>
    <definedName name="A41taxstdlife">'[1]RFM input'!$T$47</definedName>
    <definedName name="A41taxvalue">'[1]TAB roll forward'!$H$48</definedName>
    <definedName name="A41value">'[1]RAB roll forward'!$H$758</definedName>
    <definedName name="A42remlife">'[1]RFM input'!$J$48</definedName>
    <definedName name="A42stdlife">'[1]RFM input'!$K$48</definedName>
    <definedName name="A42taxremlife">'[1]RFM input'!$S$48</definedName>
    <definedName name="A42taxstdlife">'[1]RFM input'!$T$48</definedName>
    <definedName name="A42taxvalue">'[1]TAB roll forward'!$H$49</definedName>
    <definedName name="A42value">'[1]RAB roll forward'!$H$759</definedName>
    <definedName name="A43remlife">'[1]RFM input'!$J$49</definedName>
    <definedName name="A43stdlife">'[1]RFM input'!$K$49</definedName>
    <definedName name="A43taxremlife">'[1]RFM input'!$S$49</definedName>
    <definedName name="A43taxstdlife">'[1]RFM input'!$T$49</definedName>
    <definedName name="A43taxvalue">'[1]TAB roll forward'!$H$50</definedName>
    <definedName name="A43value">'[1]RAB roll forward'!$H$760</definedName>
    <definedName name="A44remlife">'[1]RFM input'!$J$50</definedName>
    <definedName name="A44stdlife">'[1]RFM input'!$K$50</definedName>
    <definedName name="A44taxremlife">'[1]RFM input'!$S$50</definedName>
    <definedName name="A44taxstdlife">'[1]RFM input'!$T$50</definedName>
    <definedName name="A44taxvalue">'[1]TAB roll forward'!$H$51</definedName>
    <definedName name="A44value">'[1]RAB roll forward'!$H$761</definedName>
    <definedName name="A45remlife">'[1]RFM input'!$J$51</definedName>
    <definedName name="A45stdlife">'[1]RFM input'!$K$51</definedName>
    <definedName name="A45taxremlife">'[1]RFM input'!$S$51</definedName>
    <definedName name="A45taxstdlife">'[1]RFM input'!$T$51</definedName>
    <definedName name="A45taxvalue">'[1]TAB roll forward'!$H$52</definedName>
    <definedName name="A45value">'[1]RAB roll forward'!$H$762</definedName>
    <definedName name="A46remlife">'[1]RFM input'!$J$52</definedName>
    <definedName name="A46stdlife">'[1]RFM input'!$K$52</definedName>
    <definedName name="A46taxremlife">'[1]RFM input'!$S$52</definedName>
    <definedName name="A46taxstdlife">'[1]RFM input'!$T$52</definedName>
    <definedName name="A46taxvalue">'[1]TAB roll forward'!$H$53</definedName>
    <definedName name="A46value">'[1]RAB roll forward'!$H$763</definedName>
    <definedName name="A47remlife">'[1]RFM input'!$J$53</definedName>
    <definedName name="A47stdlife">'[1]RFM input'!$K$53</definedName>
    <definedName name="A47taxremlife">'[1]RFM input'!$S$53</definedName>
    <definedName name="A47taxstdlife">'[1]RFM input'!$T$53</definedName>
    <definedName name="A47taxvalue">'[1]TAB roll forward'!$H$54</definedName>
    <definedName name="A47value">'[1]RAB roll forward'!$H$764</definedName>
    <definedName name="A48remlife">'[1]RFM input'!$J$54</definedName>
    <definedName name="A48stdlife">'[1]RFM input'!$K$54</definedName>
    <definedName name="A48taxremlife">'[1]RFM input'!$S$54</definedName>
    <definedName name="A48taxstdlife">'[1]RFM input'!$T$54</definedName>
    <definedName name="A48taxvalue">'[1]TAB roll forward'!$H$55</definedName>
    <definedName name="A48value">'[1]RAB roll forward'!$H$765</definedName>
    <definedName name="A49remlife">'[1]RFM input'!$J$55</definedName>
    <definedName name="A49stdlife">'[1]RFM input'!$K$55</definedName>
    <definedName name="A49taxremlife">'[1]RFM input'!$S$55</definedName>
    <definedName name="A49taxstdlife">'[1]RFM input'!$T$55</definedName>
    <definedName name="A49taxvalue">'[1]TAB roll forward'!$H$56</definedName>
    <definedName name="A49value">'[1]RAB roll forward'!$H$766</definedName>
    <definedName name="A4remlife">'[1]RFM input'!$J$10</definedName>
    <definedName name="A4stdlife">'[1]RFM input'!$K$10</definedName>
    <definedName name="A4taxremlife">'[1]RFM input'!$S$10</definedName>
    <definedName name="A4taxstdlife">'[1]RFM input'!$T$10</definedName>
    <definedName name="A4taxvalue">'[1]TAB roll forward'!$H$11</definedName>
    <definedName name="A4value">'[1]RAB roll forward'!$H$721</definedName>
    <definedName name="A50remlife">'[1]RFM input'!$J$56</definedName>
    <definedName name="A50stdlife">'[1]RFM input'!$K$56</definedName>
    <definedName name="A50taxremlife">'[1]RFM input'!$S$56</definedName>
    <definedName name="A50taxstdlife">'[1]RFM input'!$T$56</definedName>
    <definedName name="A50taxvalue">'[1]TAB roll forward'!$H$57</definedName>
    <definedName name="A50value">'[1]RAB roll forward'!$H$767</definedName>
    <definedName name="A5remlife">'[1]RFM input'!$J$11</definedName>
    <definedName name="A5stdlife">'[1]RFM input'!$K$11</definedName>
    <definedName name="A5taxremlife">'[1]RFM input'!$S$11</definedName>
    <definedName name="A5taxstdlife">'[1]RFM input'!$T$11</definedName>
    <definedName name="A5taxvalue">'[1]TAB roll forward'!$H$12</definedName>
    <definedName name="A5value">'[1]RAB roll forward'!$H$722</definedName>
    <definedName name="A6remlife">'[1]RFM input'!$J$12</definedName>
    <definedName name="A6stdlife">'[1]RFM input'!$K$12</definedName>
    <definedName name="A6taxremlife">'[1]RFM input'!$S$12</definedName>
    <definedName name="A6taxstdlife">'[1]RFM input'!$T$12</definedName>
    <definedName name="A6taxvalue">'[1]TAB roll forward'!$H$13</definedName>
    <definedName name="A6value">'[1]RAB roll forward'!$H$723</definedName>
    <definedName name="A7remlife">'[1]RFM input'!$J$13</definedName>
    <definedName name="A7stdlife">'[1]RFM input'!$K$13</definedName>
    <definedName name="A7taxremlife">'[1]RFM input'!$S$13</definedName>
    <definedName name="A7taxstdlife">'[1]RFM input'!$T$13</definedName>
    <definedName name="A7taxvalue">'[1]TAB roll forward'!$H$14</definedName>
    <definedName name="A7value">'[1]RAB roll forward'!$H$724</definedName>
    <definedName name="A8remlife">'[1]RFM input'!$J$14</definedName>
    <definedName name="A8stdlife">'[1]RFM input'!$K$14</definedName>
    <definedName name="A8taxremlife">'[1]RFM input'!$S$14</definedName>
    <definedName name="A8taxstdlife">'[1]RFM input'!$T$14</definedName>
    <definedName name="A8taxvalue">'[1]TAB roll forward'!$H$15</definedName>
    <definedName name="A8value">'[1]RAB roll forward'!$H$725</definedName>
    <definedName name="A9remlife">'[1]RFM input'!$J$15</definedName>
    <definedName name="A9stdlife">'[1]RFM input'!$K$15</definedName>
    <definedName name="A9taxremlife">'[1]RFM input'!$S$15</definedName>
    <definedName name="A9taxstdlife">'[1]RFM input'!$T$15</definedName>
    <definedName name="A9taxvalue">'[1]TAB roll forward'!$H$16</definedName>
    <definedName name="A9value">'[1]RAB roll forward'!$H$726</definedName>
    <definedName name="anscount" hidden="1">1</definedName>
    <definedName name="Asset1">'[1]RFM input'!$F$7</definedName>
    <definedName name="Asset10">'[1]RFM input'!$F$16</definedName>
    <definedName name="Asset11">'[1]RFM input'!$F$17</definedName>
    <definedName name="Asset12">'[1]RFM input'!$F$18</definedName>
    <definedName name="Asset13">'[1]RFM input'!$F$19</definedName>
    <definedName name="Asset14">'[1]RFM input'!$F$20</definedName>
    <definedName name="Asset15">'[1]RFM input'!$F$21</definedName>
    <definedName name="Asset16">'[1]RFM input'!$F$22</definedName>
    <definedName name="Asset17">'[1]RFM input'!$F$23</definedName>
    <definedName name="Asset18">'[1]RFM input'!$F$24</definedName>
    <definedName name="Asset19">'[1]RFM input'!$F$25</definedName>
    <definedName name="Asset2">'[1]RFM input'!$F$8</definedName>
    <definedName name="Asset20">'[1]RFM input'!$F$26</definedName>
    <definedName name="Asset21">'[1]RFM input'!$F$27</definedName>
    <definedName name="Asset22">'[1]RFM input'!$F$28</definedName>
    <definedName name="Asset23">'[1]RFM input'!$F$29</definedName>
    <definedName name="Asset24" localSheetId="1">'[1]RFM input'!$F$30</definedName>
    <definedName name="Asset25" localSheetId="1">'[1]RFM input'!$F$31</definedName>
    <definedName name="Asset26" localSheetId="1">'[1]RFM input'!$F$32</definedName>
    <definedName name="Asset27">'[1]RFM input'!$F$33</definedName>
    <definedName name="Asset28">'[1]RFM input'!$F$34</definedName>
    <definedName name="Asset29">'[1]RFM input'!$F$35</definedName>
    <definedName name="Asset3">'[1]RFM input'!$F$9</definedName>
    <definedName name="Asset30">'[1]RFM input'!$F$36</definedName>
    <definedName name="Asset31">'[1]RFM input'!$F$37</definedName>
    <definedName name="Asset32">'[1]RFM input'!$F$38</definedName>
    <definedName name="Asset33">'[1]RFM input'!$F$39</definedName>
    <definedName name="Asset34">'[1]RFM input'!$F$40</definedName>
    <definedName name="Asset35">'[1]RFM input'!$F$41</definedName>
    <definedName name="Asset36">'[1]RFM input'!$F$42</definedName>
    <definedName name="Asset37">'[1]RFM input'!$F$43</definedName>
    <definedName name="Asset38">'[1]RFM input'!$F$44</definedName>
    <definedName name="Asset39">'[1]RFM input'!$F$45</definedName>
    <definedName name="Asset4">'[1]RFM input'!$F$10</definedName>
    <definedName name="Asset40">'[1]RFM input'!$F$46</definedName>
    <definedName name="Asset41">'[1]RFM input'!$F$47</definedName>
    <definedName name="Asset42">'[1]RFM input'!$F$48</definedName>
    <definedName name="Asset43">'[1]RFM input'!$F$49</definedName>
    <definedName name="Asset44">'[1]RFM input'!$F$50</definedName>
    <definedName name="Asset45">'[1]RFM input'!$F$51</definedName>
    <definedName name="Asset46">'[1]RFM input'!$F$52</definedName>
    <definedName name="Asset47">'[1]RFM input'!$F$53</definedName>
    <definedName name="Asset48">'[1]RFM input'!$F$54</definedName>
    <definedName name="Asset49">'[1]RFM input'!$F$55</definedName>
    <definedName name="Asset5">'[1]RFM input'!$F$11</definedName>
    <definedName name="Asset50">'[1]RFM input'!$F$56</definedName>
    <definedName name="Asset6">'[1]RFM input'!$F$12</definedName>
    <definedName name="Asset7">'[1]RFM input'!$F$13</definedName>
    <definedName name="Asset8">'[1]RFM input'!$F$14</definedName>
    <definedName name="Asset9">'[1]RFM input'!$F$15</definedName>
    <definedName name="Cash_Timing">[2]LookupTab!$H$43:$H$44</definedName>
    <definedName name="CRCP_final_year">'[1]AER ETL'!$C$47</definedName>
    <definedName name="CRCP_span">CONCATENATE(CRCP_y1, " to ",CRCP_y5)</definedName>
    <definedName name="CRCP_y1">'[1]AER lookups'!$G$54</definedName>
    <definedName name="CRCP_y10">'[1]AER lookups'!$G$63</definedName>
    <definedName name="CRCP_y11">'[1]AER lookups'!$G$64</definedName>
    <definedName name="CRCP_y12">'[1]AER lookups'!$G$65</definedName>
    <definedName name="CRCP_y13">'[1]AER lookups'!$G$66</definedName>
    <definedName name="CRCP_y14">'[1]AER lookups'!$G$67</definedName>
    <definedName name="CRCP_y15">'[1]AER lookups'!$G$68</definedName>
    <definedName name="CRCP_y2">'[1]AER lookups'!$G$55</definedName>
    <definedName name="CRCP_y3">'[1]AER lookups'!$G$56</definedName>
    <definedName name="CRCP_y4">'[1]AER lookups'!$G$57</definedName>
    <definedName name="CRCP_y5">'[1]AER lookups'!$G$58</definedName>
    <definedName name="CRCP_y6">'[1]AER lookups'!$G$59</definedName>
    <definedName name="CRCP_y7">'[1]AER lookups'!$G$60</definedName>
    <definedName name="CRCP_y8">'[1]AER lookups'!$G$61</definedName>
    <definedName name="CRCP_y9">'[1]AER lookups'!$G$62</definedName>
    <definedName name="dms_060301_checkvalue">'[1]AER ETL'!$C$90</definedName>
    <definedName name="dms_060301_LastRow">'[1]AER ETL'!$C$92</definedName>
    <definedName name="dms_060701_ARR_MaxRows">'[1]AER ETL'!$C$100</definedName>
    <definedName name="dms_060701_Reset_MaxRows">'[1]AER ETL'!$C$99</definedName>
    <definedName name="dms_060701_StartDateTxt">'[1]AER ETL'!$C$106</definedName>
    <definedName name="dms_0608_LastRow">'[1]AER ETL'!$C$112</definedName>
    <definedName name="dms_0608_OffsetRows">'[1]AER ETL'!$C$111</definedName>
    <definedName name="dms_663_List">'[1]AER lookups'!$N$16:$N$33</definedName>
    <definedName name="dms_AAD_AC_VALUES">'[1]RFM input'!#REF!</definedName>
    <definedName name="dms_ABN_List">'[1]AER lookups'!$D$16:$D$33</definedName>
    <definedName name="dms_ACE_AC_VALUES">'[1]RFM input'!#REF!</definedName>
    <definedName name="dms_Addr1_List">'[1]AER lookups'!$P$16:$P$33</definedName>
    <definedName name="dms_Addr2_List">'[1]AER lookups'!$Q$16:$Q$33</definedName>
    <definedName name="dms_Amendment_Text">'[1]Business &amp; other details'!$AL$64</definedName>
    <definedName name="dms_Cal_Year_B4_CRY">'[1]AER ETL'!$C$29</definedName>
    <definedName name="dms_CBD_flag">'[1]AER lookups'!$Z$16:$Z$33</definedName>
    <definedName name="dms_CF_8.1_Neg">#REF!</definedName>
    <definedName name="dms_CF_TradingName">#REF!</definedName>
    <definedName name="dms_Confid_status_List">'[1]AER NRs'!$D$6:$D$8</definedName>
    <definedName name="dms_CRCP_start_row">'[1]AER ETL'!$C$40</definedName>
    <definedName name="dms_CRCPlength_List">'[1]AER lookups'!$K$16:$K$33</definedName>
    <definedName name="dms_CRCPlength_Num">'[1]AER ETL'!$C$69</definedName>
    <definedName name="dms_CRY_RYE">'[1]AER ETL'!$C$53</definedName>
    <definedName name="dms_CRY_start_row">'[1]AER ETL'!$C$38</definedName>
    <definedName name="dms_CRY_start_year">'[1]AER ETL'!$C$37</definedName>
    <definedName name="dms_DataQuality_List">'[1]AER NRs'!$C$6:$C$9</definedName>
    <definedName name="dms_DeterminationRef_List">'[1]AER lookups'!$O$16:$O$33</definedName>
    <definedName name="dms_DollarReal_year">'[1]AER ETL'!$C$51</definedName>
    <definedName name="dms_FeederName_1">'[1]AER lookups'!$AE$16:$AE$33</definedName>
    <definedName name="dms_FeederName_2">'[1]AER lookups'!$AF$16:$AF$33</definedName>
    <definedName name="dms_FeederName_3">'[1]AER lookups'!$AG$16:$AG$33</definedName>
    <definedName name="dms_FeederName_4">'[1]AER lookups'!$AH$16:$AH$33</definedName>
    <definedName name="dms_FeederName_5">'[1]AER lookups'!$AI$16:$AI$33</definedName>
    <definedName name="dms_FeederType_5_flag">'[1]AER lookups'!$AD$16:$AD$33</definedName>
    <definedName name="dms_FifthFeeder_flag_NSP">'[1]AER ETL'!$C$125</definedName>
    <definedName name="dms_FormControl_List">'[1]AER lookups'!$H$16:$H$33</definedName>
    <definedName name="dms_FRCP_start_row">'[1]AER ETL'!$C$39</definedName>
    <definedName name="dms_FRCPlength_List">'[1]AER lookups'!$L$16:$L$33</definedName>
    <definedName name="dms_FRCPlength_Num">'[1]AER ETL'!$C$70</definedName>
    <definedName name="dms_Header_Span">'[1]AER ETL'!$C$60</definedName>
    <definedName name="dms_JurisdictionList">'[1]AER lookups'!$E$16:$E$33</definedName>
    <definedName name="dms_LeapYear_Result">'[1]AER ETL'!$C$98</definedName>
    <definedName name="dms_LongRural_flag">'[1]AER lookups'!$AC$16:$AC$33</definedName>
    <definedName name="dms_Model">'[1]AER ETL'!$C$11</definedName>
    <definedName name="dms_Model_List">'[1]AER lookups'!$B$40:$B$49</definedName>
    <definedName name="dms_Model_Span">'[1]AER ETL'!$C$56</definedName>
    <definedName name="dms_Model_Span_List">'[1]AER lookups'!$E$40:$E$49</definedName>
    <definedName name="dms_MultiYear_Flag">'[1]AER ETL'!$C$63</definedName>
    <definedName name="dms_MultiYear_ResponseFlag">'[1]AER ETL'!$C$62</definedName>
    <definedName name="dms_PAddr1_List">'[1]AER lookups'!$U$16:$U$33</definedName>
    <definedName name="dms_PAddr2_List">'[1]AER lookups'!$V$16:$V$33</definedName>
    <definedName name="dms_PRCP_start_row">'[1]AER ETL'!$C$41</definedName>
    <definedName name="dms_PRCPlength_List">'[1]AER lookups'!$M$16:$M$33</definedName>
    <definedName name="dms_PRCPlength_Num">'[1]AER ETL'!$C$68</definedName>
    <definedName name="dms_Previous_DollarReal_year">'[1]AER ETL'!$C$52</definedName>
    <definedName name="dms_PState_List">'[1]AER lookups'!$X$16:$X$33</definedName>
    <definedName name="dms_PSuburb_List">'[1]AER lookups'!$W$16:$W$33</definedName>
    <definedName name="dms_Public_Lighting_List">'[1]AER lookups'!$AJ$16:$AJ$33</definedName>
    <definedName name="dms_Reset_final_year">'[1]AER ETL'!$C$49</definedName>
    <definedName name="dms_Reset_RYE">'[1]AER ETL'!$C$54</definedName>
    <definedName name="dms_RPT">'[1]AER ETL'!$C$23</definedName>
    <definedName name="dms_RPT_List">'[1]AER lookups'!$I$16:$I$33</definedName>
    <definedName name="dms_RPTMonth">'[1]AER ETL'!$C$30</definedName>
    <definedName name="dms_RPTMonth_List">'[1]AER lookups'!$J$16:$J$33</definedName>
    <definedName name="dms_RYE_result">'[1]AER ETL'!$C$57</definedName>
    <definedName name="dms_RYE_start_row">'[1]AER ETL'!$C$42</definedName>
    <definedName name="dms_Sector_List">'[1]AER lookups'!$F$16:$F$33</definedName>
    <definedName name="dms_Segment">'[1]AER ETL'!$C$21</definedName>
    <definedName name="dms_Segment_List">'[1]AER lookups'!$G$16:$G$33</definedName>
    <definedName name="dms_Selected_Source">'[1]Business &amp; other details'!$AL$58</definedName>
    <definedName name="dms_ShortRural_flag">'[1]AER lookups'!$AB$16:$AB$33</definedName>
    <definedName name="dms_SingleYear_Model">'[1]AER ETL'!$C$72:$C$74</definedName>
    <definedName name="dms_SingleYearModel">'[1]AER ETL'!$C$75</definedName>
    <definedName name="dms_SourceList">'[1]AER NRs'!$C$14:$C$19</definedName>
    <definedName name="dms_Specified_FinalYear">'[1]AER ETL'!$C$64</definedName>
    <definedName name="dms_Specified_RYE">'[1]AER ETL'!$C$55</definedName>
    <definedName name="dms_SpecifiedYear_Span">'[1]AER ETL'!$C$59</definedName>
    <definedName name="dms_start_year">'[1]AER ETL'!$C$36</definedName>
    <definedName name="dms_State_List">'[1]AER lookups'!$S$16:$S$33</definedName>
    <definedName name="dms_Suburb_List">'[1]AER lookups'!$R$16:$R$33</definedName>
    <definedName name="dms_TradingName">'[1]Business &amp; other details'!$AL$16</definedName>
    <definedName name="dms_TradingName_List">'[1]AER lookups'!$B$16:$B$33</definedName>
    <definedName name="dms_TradingNameFull_List">'[1]AER lookups'!$C$16:$C$33</definedName>
    <definedName name="dms_Typed_Submission_Date">'[1]Business &amp; other details'!$AL$68</definedName>
    <definedName name="dms_Urban_flag">'[1]AER lookups'!$AA$16:$AA$33</definedName>
    <definedName name="dms_Worksheet_List">'[1]AER lookups'!$D$40:$D$49</definedName>
    <definedName name="dms_y1">'[1]AER lookups'!$E$73</definedName>
    <definedName name="dollars" localSheetId="1">#REF!</definedName>
    <definedName name="dollars" localSheetId="4">#REF!</definedName>
    <definedName name="dollars" localSheetId="5">#REF!</definedName>
    <definedName name="dollars">#REF!</definedName>
    <definedName name="factor" localSheetId="1">'[3]Lookup | Tables'!#REF!</definedName>
    <definedName name="factor" localSheetId="4">#REF!</definedName>
    <definedName name="factor" localSheetId="5">#REF!</definedName>
    <definedName name="factor">#REF!</definedName>
    <definedName name="FRCP_final_year">'[1]AER ETL'!$C$46</definedName>
    <definedName name="FRCP_y1">'[1]Business &amp; other details'!$AL$42</definedName>
    <definedName name="FRCP_y10">'[1]AER lookups'!$I$63</definedName>
    <definedName name="FRCP_y11">'[1]AER lookups'!$I$64</definedName>
    <definedName name="FRCP_y12">'[1]AER lookups'!$I$65</definedName>
    <definedName name="FRCP_y13">'[1]AER lookups'!$I$66</definedName>
    <definedName name="FRCP_y14">'[1]AER lookups'!$I$67</definedName>
    <definedName name="FRCP_y15">'[1]AER lookups'!$I$68</definedName>
    <definedName name="FRCP_y2">'[1]AER lookups'!$I$55</definedName>
    <definedName name="FRCP_y3">'[1]AER lookups'!$I$56</definedName>
    <definedName name="FRCP_y4">'[1]AER lookups'!$I$57</definedName>
    <definedName name="FRCP_y5">'[1]AER lookups'!$I$58</definedName>
    <definedName name="FRCP_y6">'[1]AER lookups'!$I$59</definedName>
    <definedName name="FRCP_y7">'[1]AER lookups'!$I$60</definedName>
    <definedName name="FRCP_y8">'[1]AER lookups'!$I$61</definedName>
    <definedName name="FRCP_y9">'[1]AER lookups'!$I$62</definedName>
    <definedName name="Gap">ROUND((#REF!-#REF!)/30,0)/12</definedName>
    <definedName name="Mid_Period">[2]LookupTab!$H$43</definedName>
    <definedName name="millions" localSheetId="1">#REF!</definedName>
    <definedName name="millions" localSheetId="4">#REF!</definedName>
    <definedName name="millions" localSheetId="5">#REF!</definedName>
    <definedName name="millions">#REF!</definedName>
    <definedName name="Nominal">[2]LookupTab!$H$11</definedName>
    <definedName name="Nominal_to_Real" localSheetId="1">#REF!</definedName>
    <definedName name="Nominal_to_Real">'[4]Input|Rate of change'!$C$23:$C$26</definedName>
    <definedName name="number" localSheetId="1">'[3]Lookup | Tables'!#REF!</definedName>
    <definedName name="number">#REF!</definedName>
    <definedName name="percent" localSheetId="1">'[3]Lookup | Tables'!#REF!</definedName>
    <definedName name="percent" localSheetId="8">'[4]Lookup|Tables'!$G$14</definedName>
    <definedName name="percent">#REF!</definedName>
    <definedName name="PRCP_final_year">'[1]AER ETL'!$C$48</definedName>
    <definedName name="PRCP_y1">'[1]AER lookups'!$E$54</definedName>
    <definedName name="PRCP_y10">'[1]AER lookups'!$E$63</definedName>
    <definedName name="PRCP_y2">'[1]AER lookups'!$E$55</definedName>
    <definedName name="PRCP_y3">'[1]AER lookups'!$E$56</definedName>
    <definedName name="PRCP_y4">'[1]AER lookups'!$E$57</definedName>
    <definedName name="PRCP_y5">'[1]AER lookups'!$E$58</definedName>
    <definedName name="PRCP_y6">'[1]AER lookups'!$E$59</definedName>
    <definedName name="PRCP_y7">'[1]AER lookups'!$E$60</definedName>
    <definedName name="PRCP_y8">'[1]AER lookups'!$E$61</definedName>
    <definedName name="PRCP_y9">'[1]AER lookups'!$E$62</definedName>
    <definedName name="previous_vanilla">'[1]RFM input'!$G$289</definedName>
    <definedName name="Quarter">OFFSET(#REF!,1,,COUNTA(#REF!)-1,)</definedName>
    <definedName name="RAB">'[1]RFM input'!#REF!</definedName>
    <definedName name="thousands" localSheetId="1">#REF!</definedName>
    <definedName name="thousands">#REF!</definedName>
    <definedName name="Timing_Adj">[2]LookupTab!$I$43:$I$44</definedName>
    <definedName name="unit" localSheetId="1">'[3]Lookup | Tables'!#REF!</definedName>
    <definedName name="unit">#REF!</definedName>
    <definedName name="vanilla1">'[1]RFM input'!$H$289</definedName>
    <definedName name="vanilla10">'[1]RFM input'!$Q$289</definedName>
    <definedName name="vanilla2">'[1]RFM input'!$I$289</definedName>
    <definedName name="vanilla3">'[1]RFM input'!$J$289</definedName>
    <definedName name="vanilla4">'[1]RFM input'!$K$289</definedName>
    <definedName name="vanilla5">'[1]RFM input'!$L$289</definedName>
    <definedName name="vanilla6">'[1]RFM input'!$M$289</definedName>
    <definedName name="vanilla7">'[1]RFM input'!$N$289</definedName>
    <definedName name="vanilla8">'[1]RFM input'!$O$289</definedName>
    <definedName name="vanilla9">'[1]RFM input'!$P$289</definedName>
    <definedName name="Year">OFFSET(#REF!,1,,COUNTA(#REF!)-1,)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4" l="1"/>
  <c r="K8" i="15" l="1"/>
  <c r="D7" i="15" l="1"/>
  <c r="I10" i="14"/>
  <c r="Q5" i="15" l="1"/>
  <c r="P5" i="15"/>
  <c r="O5" i="15"/>
  <c r="N5" i="15"/>
  <c r="M5" i="15"/>
  <c r="L5" i="15"/>
  <c r="K5" i="15"/>
  <c r="J5" i="15"/>
  <c r="I5" i="15"/>
  <c r="H5" i="15"/>
  <c r="D18" i="4" l="1"/>
  <c r="D21" i="4" s="1"/>
  <c r="D19" i="4"/>
  <c r="D20" i="4" s="1"/>
  <c r="D12" i="4"/>
  <c r="D10" i="4"/>
  <c r="D11" i="4"/>
  <c r="D9" i="4"/>
  <c r="D8" i="4"/>
  <c r="K19" i="3" l="1"/>
  <c r="K20" i="3"/>
  <c r="K21" i="3"/>
  <c r="K18" i="3"/>
  <c r="H14" i="16" l="1"/>
  <c r="I14" i="16"/>
  <c r="K12" i="16"/>
  <c r="K11" i="16"/>
  <c r="K10" i="16"/>
  <c r="K9" i="16"/>
  <c r="I6" i="16"/>
  <c r="K14" i="16" l="1"/>
  <c r="L20" i="3"/>
  <c r="L19" i="3"/>
  <c r="L18" i="3"/>
  <c r="I6" i="14" l="1"/>
  <c r="K11" i="14" l="1"/>
  <c r="K10" i="14"/>
  <c r="L21" i="3"/>
  <c r="H22" i="15"/>
  <c r="K12" i="14"/>
  <c r="K9" i="14"/>
  <c r="H14" i="14"/>
  <c r="H13" i="2"/>
  <c r="D18" i="2"/>
  <c r="D41" i="4"/>
  <c r="E41" i="4" s="1"/>
  <c r="D7" i="4"/>
  <c r="H6" i="3"/>
  <c r="H16" i="3" s="1"/>
  <c r="H23" i="3" s="1"/>
  <c r="L22" i="13"/>
  <c r="D25" i="4" s="1"/>
  <c r="D27" i="4" s="1"/>
  <c r="G22" i="13"/>
  <c r="H22" i="13"/>
  <c r="E9" i="4" s="1"/>
  <c r="I22" i="13"/>
  <c r="F9" i="4" s="1"/>
  <c r="J22" i="13"/>
  <c r="G9" i="4" s="1"/>
  <c r="K22" i="13"/>
  <c r="H9" i="4" s="1"/>
  <c r="G19" i="4" s="1"/>
  <c r="H8" i="4"/>
  <c r="H13" i="4" s="1"/>
  <c r="M14" i="13"/>
  <c r="M22" i="13" s="1"/>
  <c r="E25" i="4" s="1"/>
  <c r="M9" i="13"/>
  <c r="N9" i="13" s="1"/>
  <c r="O9" i="13" s="1"/>
  <c r="P9" i="13" s="1"/>
  <c r="G8" i="4"/>
  <c r="G13" i="4" s="1"/>
  <c r="F8" i="4"/>
  <c r="F13" i="4" s="1"/>
  <c r="E8" i="4"/>
  <c r="E13" i="4" s="1"/>
  <c r="E18" i="4" s="1"/>
  <c r="B1" i="2"/>
  <c r="D40" i="4"/>
  <c r="J6" i="10" s="1"/>
  <c r="F8" i="10" s="1"/>
  <c r="D24" i="4"/>
  <c r="H12" i="3" l="1"/>
  <c r="K7" i="13"/>
  <c r="K19" i="13" s="1"/>
  <c r="G13" i="2"/>
  <c r="H7" i="4"/>
  <c r="E18" i="2"/>
  <c r="L7" i="13"/>
  <c r="L19" i="13" s="1"/>
  <c r="J40" i="4"/>
  <c r="L6" i="3"/>
  <c r="H27" i="3"/>
  <c r="B1" i="5"/>
  <c r="F19" i="4"/>
  <c r="E19" i="4" s="1"/>
  <c r="E21" i="4" s="1"/>
  <c r="C45" i="4"/>
  <c r="E27" i="4"/>
  <c r="F41" i="4"/>
  <c r="K41" i="4"/>
  <c r="J41" i="4"/>
  <c r="N14" i="13"/>
  <c r="B1" i="13"/>
  <c r="B1" i="3"/>
  <c r="B1" i="4"/>
  <c r="B1" i="10"/>
  <c r="I14" i="14"/>
  <c r="K14" i="14"/>
  <c r="E24" i="4" l="1"/>
  <c r="M7" i="13"/>
  <c r="M19" i="13" s="1"/>
  <c r="I27" i="3"/>
  <c r="E40" i="4"/>
  <c r="F18" i="2"/>
  <c r="L16" i="3"/>
  <c r="L23" i="3" s="1"/>
  <c r="H11" i="4" s="1"/>
  <c r="L12" i="3"/>
  <c r="F13" i="2"/>
  <c r="K6" i="3"/>
  <c r="G7" i="4"/>
  <c r="J7" i="13"/>
  <c r="L41" i="4"/>
  <c r="G41" i="4"/>
  <c r="O14" i="13"/>
  <c r="N22" i="13"/>
  <c r="F25" i="4" s="1"/>
  <c r="F27" i="4" s="1"/>
  <c r="N7" i="13" l="1"/>
  <c r="N19" i="13" s="1"/>
  <c r="J27" i="3"/>
  <c r="G18" i="2"/>
  <c r="F40" i="4"/>
  <c r="F24" i="4"/>
  <c r="J19" i="13"/>
  <c r="K40" i="4"/>
  <c r="K6" i="10"/>
  <c r="K12" i="3"/>
  <c r="K16" i="3"/>
  <c r="K23" i="3" s="1"/>
  <c r="G11" i="4" s="1"/>
  <c r="E13" i="2"/>
  <c r="F7" i="4"/>
  <c r="J6" i="3"/>
  <c r="I7" i="13"/>
  <c r="I19" i="13" s="1"/>
  <c r="M41" i="4"/>
  <c r="H41" i="4"/>
  <c r="N41" i="4" s="1"/>
  <c r="O22" i="13"/>
  <c r="G25" i="4" s="1"/>
  <c r="G27" i="4" s="1"/>
  <c r="P14" i="13"/>
  <c r="P22" i="13" s="1"/>
  <c r="H25" i="4" s="1"/>
  <c r="J16" i="3" l="1"/>
  <c r="J23" i="3" s="1"/>
  <c r="F11" i="4" s="1"/>
  <c r="J12" i="3"/>
  <c r="E7" i="4"/>
  <c r="D13" i="2"/>
  <c r="I6" i="3"/>
  <c r="H7" i="13"/>
  <c r="H19" i="13" s="1"/>
  <c r="L40" i="4"/>
  <c r="L6" i="10"/>
  <c r="G40" i="4"/>
  <c r="K27" i="3"/>
  <c r="O7" i="13"/>
  <c r="O19" i="13" s="1"/>
  <c r="H18" i="2"/>
  <c r="G24" i="4"/>
  <c r="H27" i="4"/>
  <c r="G7" i="13" l="1"/>
  <c r="I16" i="3"/>
  <c r="I23" i="3" s="1"/>
  <c r="E11" i="4" s="1"/>
  <c r="I12" i="3"/>
  <c r="M6" i="10"/>
  <c r="M40" i="4"/>
  <c r="H40" i="4"/>
  <c r="P7" i="13"/>
  <c r="H24" i="4"/>
  <c r="L27" i="3"/>
  <c r="P19" i="13" l="1"/>
  <c r="F7" i="13"/>
  <c r="G19" i="13"/>
  <c r="G15" i="13"/>
  <c r="H15" i="13" s="1"/>
  <c r="I15" i="13" s="1"/>
  <c r="G10" i="13"/>
  <c r="H10" i="13" s="1"/>
  <c r="I10" i="13" s="1"/>
  <c r="J10" i="13" s="1"/>
  <c r="K10" i="13" s="1"/>
  <c r="N40" i="4"/>
  <c r="N6" i="10"/>
  <c r="L10" i="13" l="1"/>
  <c r="J15" i="13"/>
  <c r="F10" i="4"/>
  <c r="F12" i="4" s="1"/>
  <c r="C10" i="13"/>
  <c r="F10" i="3"/>
  <c r="F30" i="3"/>
  <c r="F8" i="3"/>
  <c r="F9" i="3"/>
  <c r="C15" i="13"/>
  <c r="F12" i="3"/>
  <c r="E10" i="4"/>
  <c r="E12" i="4" s="1"/>
  <c r="I10" i="15"/>
  <c r="J10" i="15"/>
  <c r="F20" i="4" l="1"/>
  <c r="G15" i="4"/>
  <c r="H15" i="4"/>
  <c r="G14" i="4"/>
  <c r="G18" i="4" s="1"/>
  <c r="G21" i="4" s="1"/>
  <c r="H14" i="4"/>
  <c r="F14" i="4"/>
  <c r="F18" i="4" s="1"/>
  <c r="F21" i="4" s="1"/>
  <c r="E20" i="4"/>
  <c r="K15" i="13"/>
  <c r="G10" i="4"/>
  <c r="G12" i="4" s="1"/>
  <c r="M10" i="13"/>
  <c r="H13" i="15"/>
  <c r="H9" i="15"/>
  <c r="H10" i="15"/>
  <c r="N10" i="13" l="1"/>
  <c r="D26" i="4"/>
  <c r="D28" i="4" s="1"/>
  <c r="H10" i="4"/>
  <c r="H12" i="4" s="1"/>
  <c r="H20" i="4" s="1"/>
  <c r="L15" i="13"/>
  <c r="M15" i="13" s="1"/>
  <c r="N15" i="13" s="1"/>
  <c r="O15" i="13" s="1"/>
  <c r="P15" i="13" s="1"/>
  <c r="H16" i="4"/>
  <c r="H18" i="4" s="1"/>
  <c r="H21" i="4" s="1"/>
  <c r="D35" i="4" s="1"/>
  <c r="G20" i="4"/>
  <c r="I13" i="15"/>
  <c r="I9" i="15"/>
  <c r="E26" i="4" l="1"/>
  <c r="E28" i="4" s="1"/>
  <c r="F26" i="4"/>
  <c r="F28" i="4" s="1"/>
  <c r="G26" i="4"/>
  <c r="G28" i="4" s="1"/>
  <c r="O10" i="13"/>
  <c r="J13" i="15"/>
  <c r="J9" i="15"/>
  <c r="P10" i="13" l="1"/>
  <c r="H26" i="4"/>
  <c r="H28" i="4" s="1"/>
  <c r="D31" i="4" s="1"/>
  <c r="K13" i="15"/>
  <c r="K9" i="15"/>
  <c r="D33" i="4" l="1"/>
  <c r="D34" i="4"/>
  <c r="D36" i="4" s="1"/>
  <c r="L13" i="15"/>
  <c r="J45" i="4"/>
  <c r="L9" i="15"/>
  <c r="L10" i="15"/>
  <c r="K24" i="15" s="1"/>
  <c r="K10" i="15"/>
  <c r="D42" i="4" l="1"/>
  <c r="J43" i="4"/>
  <c r="K43" i="4" s="1"/>
  <c r="L43" i="4" s="1"/>
  <c r="M43" i="4" s="1"/>
  <c r="N43" i="4" s="1"/>
  <c r="J24" i="15"/>
  <c r="E42" i="4" l="1"/>
  <c r="J8" i="10"/>
  <c r="H12" i="15"/>
  <c r="H15" i="15" s="1"/>
  <c r="H16" i="15" s="1"/>
  <c r="I24" i="15"/>
  <c r="J17" i="15" l="1"/>
  <c r="I17" i="15"/>
  <c r="I22" i="15" s="1"/>
  <c r="I26" i="15" s="1"/>
  <c r="K17" i="15"/>
  <c r="L17" i="15"/>
  <c r="F42" i="4"/>
  <c r="I12" i="15"/>
  <c r="I15" i="15" s="1"/>
  <c r="I16" i="15" s="1"/>
  <c r="K8" i="10"/>
  <c r="H24" i="15"/>
  <c r="J18" i="15" l="1"/>
  <c r="J22" i="15" s="1"/>
  <c r="J26" i="15" s="1"/>
  <c r="K18" i="15"/>
  <c r="L18" i="15"/>
  <c r="I25" i="15"/>
  <c r="G42" i="4"/>
  <c r="L8" i="10"/>
  <c r="J12" i="15"/>
  <c r="J15" i="15" s="1"/>
  <c r="J16" i="15" s="1"/>
  <c r="H26" i="15"/>
  <c r="H25" i="15"/>
  <c r="H42" i="4" l="1"/>
  <c r="D45" i="4" s="1"/>
  <c r="J47" i="4" s="1"/>
  <c r="K12" i="15"/>
  <c r="K15" i="15" s="1"/>
  <c r="K16" i="15" s="1"/>
  <c r="M8" i="10"/>
  <c r="K19" i="15"/>
  <c r="K22" i="15" s="1"/>
  <c r="K26" i="15" s="1"/>
  <c r="L19" i="15"/>
  <c r="J25" i="15"/>
  <c r="L20" i="15" l="1"/>
  <c r="L22" i="15" s="1"/>
  <c r="L26" i="15" s="1"/>
  <c r="K25" i="15"/>
  <c r="L12" i="15"/>
  <c r="L15" i="15" s="1"/>
  <c r="L16" i="15" s="1"/>
  <c r="L25" i="15" s="1"/>
  <c r="N8" i="10"/>
  <c r="O8" i="10" s="1"/>
  <c r="L27" i="15" l="1"/>
  <c r="N7" i="15" l="1"/>
  <c r="P7" i="15"/>
  <c r="Q7" i="15"/>
  <c r="M7" i="15"/>
  <c r="H31" i="15" s="1"/>
  <c r="O7" i="15"/>
  <c r="I31" i="15" l="1"/>
  <c r="J31" i="15" s="1"/>
  <c r="K31" i="15" s="1"/>
  <c r="L31" i="15" s="1"/>
  <c r="K33" i="15" s="1"/>
  <c r="L33" i="15"/>
  <c r="I33" i="15"/>
  <c r="H33" i="15"/>
  <c r="J33" i="15"/>
  <c r="M3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5" authorId="0" shapeId="0" xr:uid="{546E734F-FF4D-4127-9D49-4C9242A8A99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9" authorId="0" shapeId="0" xr:uid="{69FE719D-1341-4D65-9EB4-0E432349CAC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5" authorId="0" shapeId="0" xr:uid="{BDBB1289-E788-4FE0-A73C-47CFA97BC17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9" authorId="0" shapeId="0" xr:uid="{9240850D-4B95-4B07-9737-5948C84D326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<sst xmlns="http://schemas.openxmlformats.org/spreadsheetml/2006/main" count="381" uniqueCount="178">
  <si>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</si>
  <si>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</si>
  <si>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</si>
  <si>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</si>
  <si>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</si>
  <si>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</si>
  <si>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</si>
  <si>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</si>
  <si>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</si>
  <si>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</si>
  <si>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</si>
  <si>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</si>
  <si>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</si>
  <si>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</si>
  <si>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</si>
  <si>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</si>
  <si>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</si>
  <si>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</si>
  <si>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</si>
  <si>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</si>
  <si>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</si>
  <si>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</si>
  <si>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</si>
  <si>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</si>
  <si>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</si>
  <si>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</si>
  <si>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</si>
  <si>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</si>
  <si>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</si>
  <si>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</si>
  <si>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</si>
  <si>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</si>
  <si>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</si>
  <si>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</si>
  <si>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</si>
  <si>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</si>
  <si>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</si>
  <si>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</si>
  <si>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</si>
  <si>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</si>
  <si>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</si>
  <si>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</si>
  <si>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</si>
  <si>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</si>
  <si>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</si>
  <si>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</si>
  <si>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</si>
  <si>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</si>
  <si>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</si>
  <si>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</si>
  <si>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</si>
  <si>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</si>
  <si>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</si>
  <si>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</si>
  <si>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</si>
  <si>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</si>
  <si>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</si>
  <si>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</si>
  <si>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</si>
  <si>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</si>
  <si>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</si>
  <si>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</si>
  <si>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</si>
  <si>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</si>
  <si>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</si>
  <si>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</si>
  <si>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</si>
  <si>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</si>
  <si>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</si>
  <si>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</si>
  <si>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</si>
  <si>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</si>
  <si>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</si>
  <si>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</si>
  <si>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</si>
  <si>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</si>
  <si>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</si>
  <si>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</si>
  <si>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</si>
  <si>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</si>
  <si>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</si>
  <si>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</si>
  <si>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</si>
  <si>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</si>
  <si>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</si>
  <si>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</si>
  <si>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</si>
  <si>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</si>
  <si>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</si>
  <si>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</si>
  <si>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</si>
  <si>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</si>
  <si>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</si>
  <si>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</si>
  <si>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</si>
  <si>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</si>
  <si>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</si>
  <si>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</si>
  <si>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</si>
  <si>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</si>
  <si>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</si>
  <si>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2019-20</t>
  </si>
  <si>
    <t>2018–19</t>
  </si>
  <si>
    <t>Final Year Difference</t>
  </si>
  <si>
    <t>Data sources:</t>
  </si>
  <si>
    <t>Select which capex data to test in</t>
  </si>
  <si>
    <t>Input|Reported Capex tab, Cell L17</t>
  </si>
  <si>
    <t>2024-25</t>
  </si>
  <si>
    <t>2025–26</t>
  </si>
  <si>
    <t>2026–27</t>
  </si>
  <si>
    <t>2027–28</t>
  </si>
  <si>
    <t>2028–29</t>
  </si>
  <si>
    <t>Real vanilla WACC</t>
  </si>
  <si>
    <t>Forecast real vanilla WACC</t>
  </si>
  <si>
    <t xml:space="preserve">Actual CPI </t>
  </si>
  <si>
    <t xml:space="preserve">Cumulative Actual CPI </t>
  </si>
  <si>
    <t>Nominal vanilla WACC (fixed real time varying)</t>
  </si>
  <si>
    <t>Difference in CESS increment amounts</t>
  </si>
  <si>
    <t>NPV Difference in CESS increment amounts</t>
  </si>
  <si>
    <t>NPV of CESS payment adjustments</t>
  </si>
  <si>
    <t>Difference</t>
  </si>
  <si>
    <t>AER FD</t>
  </si>
  <si>
    <t>Calc | Total FY19 CESS Payment Adjustments</t>
  </si>
  <si>
    <t>CESS - Previous Period True-up</t>
  </si>
  <si>
    <t>Calc | NPV of CESS adjustments</t>
  </si>
  <si>
    <t>Column H is from the AER Final Decision CESS model, which was based on forecast FY19 Capex</t>
  </si>
  <si>
    <t>Ñ</t>
  </si>
  <si>
    <t>DNSP</t>
  </si>
  <si>
    <t>Modelling update</t>
  </si>
  <si>
    <t>Ergon Energy</t>
  </si>
  <si>
    <t>2020-25</t>
  </si>
  <si>
    <t>2020-21</t>
  </si>
  <si>
    <t>Column H is from the AER Final Decision CESS model, which was based on forecast FY20 Capex</t>
  </si>
  <si>
    <t>2019–20</t>
  </si>
  <si>
    <t>AER FD PTRM 2020-25, 2024-25 RoD Update</t>
  </si>
  <si>
    <t>Actual/estimated inflation from 2020–25 RFM</t>
  </si>
  <si>
    <t>AER Final Decision (FY19 and FY20 Forecast Capex)</t>
  </si>
  <si>
    <t>Adjusted for FY19 and FY20 Actual Capex</t>
  </si>
  <si>
    <t>CESS Payment Per Year ($2024–25 million)</t>
  </si>
  <si>
    <t>CESS Payment Per Year ($2019–20 million)</t>
  </si>
  <si>
    <t>AER draft decision amendments</t>
  </si>
  <si>
    <t>#</t>
  </si>
  <si>
    <t>Sheet</t>
  </si>
  <si>
    <t>Reference</t>
  </si>
  <si>
    <t>Note</t>
  </si>
  <si>
    <t>the AER's draft decision amendments are highlighted in green</t>
  </si>
  <si>
    <t>Amended 19-20 label to 'actual' to reflect this update</t>
  </si>
  <si>
    <t>FY20 Capex</t>
  </si>
  <si>
    <t>Amended to be consistent with annual reporting RIN</t>
  </si>
  <si>
    <t>Updated 25-30 real vanilla WACC</t>
  </si>
  <si>
    <t>Updated actual and estimated CPI</t>
  </si>
  <si>
    <t>H15</t>
  </si>
  <si>
    <t>2018-20 True-up</t>
  </si>
  <si>
    <t>D7</t>
  </si>
  <si>
    <t>Amended project stage to true-up</t>
  </si>
  <si>
    <t>FY19 Capex</t>
  </si>
  <si>
    <t>Column I is Actual FY19 capex, rolled into RFM model for the 2020-25 reset</t>
  </si>
  <si>
    <t>Column I is Actual FY20 capex, rolled into RFM model for the 2020-25 reset</t>
  </si>
  <si>
    <t>I10</t>
  </si>
  <si>
    <t>C42</t>
  </si>
  <si>
    <t>Updated label</t>
  </si>
  <si>
    <t>Added an additional sheet to reflect 2018-19 ex post review</t>
  </si>
  <si>
    <t>C1:C3</t>
  </si>
  <si>
    <t>Updated labels and instructions</t>
  </si>
  <si>
    <t>I12</t>
  </si>
  <si>
    <t>Inclusion of 19-20 ex post review</t>
  </si>
  <si>
    <t>K17:L21</t>
  </si>
  <si>
    <t>Extension of model formula to reflect 2018-19 true up</t>
  </si>
  <si>
    <t>J39:N47</t>
  </si>
  <si>
    <t>Extension of model setup to reflect 2018-19 true up and minor formatting adjustments</t>
  </si>
  <si>
    <t>Replaced existing sheet with alternate formatting</t>
  </si>
  <si>
    <t>D6:D8, D12, D13</t>
  </si>
  <si>
    <t>General labelling update</t>
  </si>
  <si>
    <t>Amended to be consistent with the latest PTRM</t>
  </si>
  <si>
    <t>Output| CESS true-up</t>
  </si>
  <si>
    <t>I6, K6</t>
  </si>
  <si>
    <t>M7:Q7</t>
  </si>
  <si>
    <t>K8,L8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</si>
</sst>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64" formatCode="&quot;$&quot;#,##0.00_);[Red]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&quot;$&quot;#,##0.00"/>
    <numFmt numFmtId="170" formatCode="_-* #,##0_-;\-* #,##0_-;_-* &quot;-&quot;??_-;_-@_-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  <numFmt numFmtId="195" formatCode="_-* #,##0.000_-;\-* #,##0.000_-;_-* &quot;-&quot;??_-;_-@_-"/>
  </numFmts>
  <fonts count="112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40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8">
      <alignment horizontal="right" vertical="center"/>
      <protection locked="0"/>
    </xf>
    <xf numFmtId="165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3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8" fontId="17" fillId="37" borderId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188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7">
      <alignment horizontal="right" vertical="center"/>
      <protection locked="0"/>
    </xf>
    <xf numFmtId="168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3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6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6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5" applyFont="0" applyBorder="0" applyAlignment="0"/>
    <xf numFmtId="177" fontId="51" fillId="28" borderId="0" applyFont="0" applyBorder="0" applyAlignment="0"/>
    <xf numFmtId="168" fontId="11" fillId="0" borderId="0" applyFont="0" applyFill="0" applyBorder="0" applyAlignment="0" applyProtection="0"/>
    <xf numFmtId="166" fontId="23" fillId="28" borderId="0" applyNumberFormat="0" applyFont="0" applyBorder="0" applyAlignment="0">
      <alignment horizontal="right"/>
    </xf>
    <xf numFmtId="166" fontId="23" fillId="28" borderId="0" applyNumberFormat="0" applyFont="0" applyBorder="0" applyAlignment="0">
      <alignment horizontal="right"/>
    </xf>
    <xf numFmtId="168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38" borderId="0" applyFont="0" applyBorder="0" applyAlignment="0">
      <alignment horizontal="right"/>
      <protection locked="0"/>
    </xf>
    <xf numFmtId="166" fontId="23" fillId="38" borderId="0" applyFont="0" applyBorder="0" applyAlignment="0">
      <alignment horizontal="right"/>
      <protection locked="0"/>
    </xf>
    <xf numFmtId="166" fontId="23" fillId="39" borderId="0" applyFont="0" applyBorder="0">
      <alignment horizontal="right"/>
      <protection locked="0"/>
    </xf>
    <xf numFmtId="166" fontId="23" fillId="39" borderId="0" applyFont="0" applyBorder="0">
      <alignment horizontal="right"/>
      <protection locked="0"/>
    </xf>
    <xf numFmtId="168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23" fillId="48" borderId="0" applyFont="0" applyBorder="0" applyAlignment="0">
      <alignment horizontal="right"/>
      <protection locked="0"/>
    </xf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3" fillId="0" borderId="0"/>
  </cellStyleXfs>
  <cellXfs count="265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9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7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70" fontId="17" fillId="0" borderId="0" xfId="3" applyNumberFormat="1" applyFont="1" applyProtection="1"/>
    <xf numFmtId="170" fontId="19" fillId="0" borderId="0" xfId="3" applyNumberFormat="1" applyFont="1" applyAlignment="1" applyProtection="1">
      <alignment horizontal="center"/>
    </xf>
    <xf numFmtId="170" fontId="17" fillId="0" borderId="0" xfId="3" applyNumberFormat="1" applyFont="1" applyAlignment="1" applyProtection="1">
      <alignment horizontal="center"/>
    </xf>
    <xf numFmtId="170" fontId="22" fillId="0" borderId="0" xfId="3" applyNumberFormat="1" applyFont="1" applyProtection="1"/>
    <xf numFmtId="170" fontId="21" fillId="0" borderId="0" xfId="3" applyNumberFormat="1" applyFont="1" applyAlignment="1" applyProtection="1">
      <alignment horizontal="center"/>
    </xf>
    <xf numFmtId="170" fontId="22" fillId="0" borderId="20" xfId="3" applyNumberFormat="1" applyFont="1" applyBorder="1" applyAlignment="1" applyProtection="1">
      <alignment horizontal="center"/>
    </xf>
    <xf numFmtId="170" fontId="17" fillId="0" borderId="0" xfId="3" applyNumberFormat="1" applyFont="1" applyAlignment="1" applyProtection="1">
      <alignment horizontal="left" indent="1"/>
    </xf>
    <xf numFmtId="170" fontId="13" fillId="0" borderId="0" xfId="263" applyNumberFormat="1" applyFont="1" applyAlignment="1" applyProtection="1">
      <alignment horizontal="center"/>
    </xf>
    <xf numFmtId="170" fontId="17" fillId="0" borderId="0" xfId="3" applyNumberFormat="1" applyFont="1" applyBorder="1" applyProtection="1"/>
    <xf numFmtId="189" fontId="20" fillId="0" borderId="24" xfId="55" applyNumberFormat="1" applyFont="1" applyFill="1" applyBorder="1" applyAlignment="1" applyProtection="1">
      <alignment horizontal="center" vertical="center"/>
    </xf>
    <xf numFmtId="190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70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70" fontId="19" fillId="3" borderId="2" xfId="0" applyNumberFormat="1" applyFont="1" applyFill="1" applyBorder="1" applyAlignment="1" applyProtection="1">
      <alignment horizontal="center" vertical="center"/>
    </xf>
    <xf numFmtId="170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2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9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9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2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4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70" fontId="22" fillId="0" borderId="0" xfId="3" applyNumberFormat="1" applyFont="1" applyBorder="1" applyAlignment="1" applyProtection="1">
      <alignment horizontal="center"/>
    </xf>
    <xf numFmtId="189" fontId="20" fillId="0" borderId="0" xfId="55" applyNumberFormat="1" applyFont="1" applyFill="1" applyBorder="1" applyAlignment="1" applyProtection="1">
      <alignment horizontal="center" vertical="center"/>
    </xf>
    <xf numFmtId="192" fontId="24" fillId="3" borderId="26" xfId="0" applyNumberFormat="1" applyFont="1" applyFill="1" applyBorder="1" applyAlignment="1">
      <alignment horizontal="center" vertical="center"/>
    </xf>
    <xf numFmtId="168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9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8" fontId="24" fillId="0" borderId="2" xfId="304" applyFont="1" applyFill="1" applyBorder="1" applyAlignment="1">
      <alignment horizontal="right" vertical="center"/>
    </xf>
    <xf numFmtId="168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89" fillId="3" borderId="0" xfId="0" applyFont="1" applyFill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170" fontId="22" fillId="3" borderId="2" xfId="0" applyNumberFormat="1" applyFont="1" applyFill="1" applyBorder="1" applyAlignment="1">
      <alignment horizontal="left" vertical="center"/>
    </xf>
    <xf numFmtId="170" fontId="19" fillId="3" borderId="2" xfId="0" applyNumberFormat="1" applyFont="1" applyFill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0" fillId="0" borderId="43" xfId="0" applyBorder="1"/>
    <xf numFmtId="10" fontId="0" fillId="0" borderId="43" xfId="268" applyNumberFormat="1" applyFont="1" applyFill="1" applyBorder="1"/>
    <xf numFmtId="195" fontId="0" fillId="0" borderId="43" xfId="304" applyNumberFormat="1" applyFont="1" applyBorder="1"/>
    <xf numFmtId="10" fontId="0" fillId="0" borderId="43" xfId="268" applyNumberFormat="1" applyFont="1" applyBorder="1"/>
    <xf numFmtId="0" fontId="100" fillId="3" borderId="0" xfId="265" applyFont="1" applyFill="1" applyAlignment="1">
      <alignment horizontal="right" vertical="center"/>
    </xf>
    <xf numFmtId="0" fontId="101" fillId="53" borderId="0" xfId="265" applyFont="1" applyFill="1" applyAlignment="1">
      <alignment horizontal="center" vertical="center"/>
    </xf>
    <xf numFmtId="0" fontId="101" fillId="55" borderId="0" xfId="265" applyFont="1" applyFill="1" applyAlignment="1">
      <alignment horizontal="center" vertical="center"/>
    </xf>
    <xf numFmtId="170" fontId="22" fillId="3" borderId="0" xfId="0" applyNumberFormat="1" applyFont="1" applyFill="1" applyAlignment="1">
      <alignment horizontal="left" vertical="center"/>
    </xf>
    <xf numFmtId="168" fontId="109" fillId="3" borderId="2" xfId="304" applyFont="1" applyFill="1" applyBorder="1" applyAlignment="1" applyProtection="1">
      <alignment horizontal="left" vertical="center"/>
    </xf>
    <xf numFmtId="0" fontId="107" fillId="3" borderId="0" xfId="0" applyFont="1" applyFill="1"/>
    <xf numFmtId="0" fontId="0" fillId="3" borderId="0" xfId="0" applyFill="1" applyAlignment="1">
      <alignment horizontal="right"/>
    </xf>
    <xf numFmtId="170" fontId="22" fillId="3" borderId="0" xfId="3" applyNumberFormat="1" applyFont="1" applyFill="1"/>
    <xf numFmtId="170" fontId="17" fillId="3" borderId="0" xfId="3" applyNumberFormat="1" applyFont="1" applyFill="1" applyAlignment="1">
      <alignment horizontal="left" indent="1"/>
    </xf>
    <xf numFmtId="0" fontId="0" fillId="3" borderId="43" xfId="0" applyFill="1" applyBorder="1"/>
    <xf numFmtId="10" fontId="0" fillId="3" borderId="0" xfId="268" applyNumberFormat="1" applyFont="1" applyFill="1"/>
    <xf numFmtId="192" fontId="0" fillId="3" borderId="0" xfId="0" applyNumberFormat="1" applyFill="1"/>
    <xf numFmtId="168" fontId="0" fillId="3" borderId="43" xfId="304" applyFont="1" applyFill="1" applyBorder="1"/>
    <xf numFmtId="170" fontId="19" fillId="3" borderId="0" xfId="3" applyNumberFormat="1" applyFont="1" applyFill="1" applyAlignment="1">
      <alignment horizontal="center"/>
    </xf>
    <xf numFmtId="168" fontId="108" fillId="3" borderId="43" xfId="304" applyFont="1" applyFill="1" applyBorder="1"/>
    <xf numFmtId="168" fontId="0" fillId="3" borderId="44" xfId="304" applyFont="1" applyFill="1" applyBorder="1"/>
    <xf numFmtId="0" fontId="19" fillId="3" borderId="25" xfId="0" applyFont="1" applyFill="1" applyBorder="1" applyAlignment="1" applyProtection="1">
      <alignment horizontal="center" vertical="center"/>
      <protection locked="0"/>
    </xf>
    <xf numFmtId="0" fontId="19" fillId="3" borderId="25" xfId="0" applyFont="1" applyFill="1" applyBorder="1" applyAlignment="1">
      <alignment horizontal="center" vertical="center"/>
    </xf>
    <xf numFmtId="164" fontId="0" fillId="3" borderId="0" xfId="0" applyNumberFormat="1" applyFill="1"/>
    <xf numFmtId="168" fontId="0" fillId="3" borderId="0" xfId="0" applyNumberFormat="1" applyFill="1"/>
    <xf numFmtId="170" fontId="22" fillId="3" borderId="0" xfId="3" applyNumberFormat="1" applyFont="1" applyFill="1" applyAlignment="1">
      <alignment horizontal="left" indent="1"/>
    </xf>
    <xf numFmtId="168" fontId="107" fillId="3" borderId="2" xfId="304" applyFont="1" applyFill="1" applyBorder="1"/>
    <xf numFmtId="0" fontId="15" fillId="4" borderId="2" xfId="3" applyFill="1" applyBorder="1"/>
    <xf numFmtId="0" fontId="12" fillId="4" borderId="2" xfId="3" applyFont="1" applyFill="1" applyBorder="1"/>
    <xf numFmtId="167" fontId="18" fillId="4" borderId="2" xfId="3" applyNumberFormat="1" applyFont="1" applyFill="1" applyBorder="1" applyAlignment="1">
      <alignment horizontal="center" wrapText="1"/>
    </xf>
    <xf numFmtId="0" fontId="14" fillId="4" borderId="2" xfId="3" applyFont="1" applyFill="1" applyBorder="1"/>
    <xf numFmtId="0" fontId="18" fillId="4" borderId="2" xfId="3" applyFont="1" applyFill="1" applyBorder="1" applyAlignment="1">
      <alignment vertical="center"/>
    </xf>
    <xf numFmtId="0" fontId="15" fillId="4" borderId="2" xfId="3" applyFill="1" applyBorder="1" applyAlignment="1">
      <alignment wrapText="1"/>
    </xf>
    <xf numFmtId="168" fontId="0" fillId="3" borderId="0" xfId="304" applyFont="1" applyFill="1" applyBorder="1"/>
    <xf numFmtId="10" fontId="15" fillId="3" borderId="0" xfId="0" applyNumberFormat="1" applyFont="1" applyFill="1" applyAlignment="1">
      <alignment horizontal="center" vertical="center"/>
    </xf>
    <xf numFmtId="10" fontId="0" fillId="53" borderId="43" xfId="268" applyNumberFormat="1" applyFont="1" applyFill="1" applyBorder="1"/>
    <xf numFmtId="0" fontId="110" fillId="3" borderId="0" xfId="0" applyFont="1" applyFill="1" applyBorder="1" applyAlignment="1">
      <alignment vertical="center"/>
    </xf>
    <xf numFmtId="2" fontId="15" fillId="3" borderId="26" xfId="268" applyNumberFormat="1" applyFont="1" applyFill="1" applyBorder="1" applyAlignment="1">
      <alignment horizontal="center" vertical="center"/>
    </xf>
    <xf numFmtId="0" fontId="111" fillId="56" borderId="0" xfId="0" applyFont="1" applyFill="1" applyAlignment="1">
      <alignment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0" fontId="24" fillId="57" borderId="24" xfId="1" applyFont="1" applyFill="1" applyBorder="1" applyAlignment="1">
      <alignment horizontal="center" vertical="center"/>
    </xf>
    <xf numFmtId="2" fontId="24" fillId="57" borderId="24" xfId="1" applyNumberFormat="1" applyFont="1" applyFill="1" applyBorder="1" applyAlignment="1">
      <alignment horizontal="center" vertical="center"/>
    </xf>
    <xf numFmtId="0" fontId="0" fillId="57" borderId="0" xfId="0" applyFill="1"/>
    <xf numFmtId="170" fontId="17" fillId="57" borderId="0" xfId="3" applyNumberFormat="1" applyFont="1" applyFill="1" applyAlignment="1">
      <alignment horizontal="left" indent="1"/>
    </xf>
    <xf numFmtId="10" fontId="0" fillId="57" borderId="43" xfId="268" applyNumberFormat="1" applyFont="1" applyFill="1" applyBorder="1"/>
    <xf numFmtId="0" fontId="14" fillId="57" borderId="0" xfId="0" applyFont="1" applyFill="1" applyAlignment="1">
      <alignment horizontal="center" vertical="center"/>
    </xf>
    <xf numFmtId="0" fontId="24" fillId="57" borderId="6" xfId="0" applyFont="1" applyFill="1" applyBorder="1" applyAlignment="1">
      <alignment horizontal="left" vertical="center"/>
    </xf>
    <xf numFmtId="169" fontId="24" fillId="57" borderId="34" xfId="0" applyNumberFormat="1" applyFont="1" applyFill="1" applyBorder="1" applyAlignment="1">
      <alignment horizontal="right" vertical="center"/>
    </xf>
    <xf numFmtId="169" fontId="24" fillId="57" borderId="2" xfId="0" applyNumberFormat="1" applyFont="1" applyFill="1" applyBorder="1" applyAlignment="1">
      <alignment horizontal="right" vertical="center"/>
    </xf>
    <xf numFmtId="169" fontId="24" fillId="57" borderId="37" xfId="0" applyNumberFormat="1" applyFont="1" applyFill="1" applyBorder="1" applyAlignment="1">
      <alignment horizontal="right" vertical="center"/>
    </xf>
    <xf numFmtId="0" fontId="101" fillId="57" borderId="0" xfId="265" applyFont="1" applyFill="1" applyAlignment="1">
      <alignment horizontal="center" vertical="center" wrapText="1"/>
    </xf>
    <xf numFmtId="0" fontId="23" fillId="0" borderId="0" xfId="339" applyAlignment="1">
      <alignment vertical="top"/>
    </xf>
    <xf numFmtId="0" fontId="23" fillId="0" borderId="0" xfId="147"/>
    <xf numFmtId="0" fontId="23" fillId="0" borderId="0" xfId="339" applyAlignment="1">
      <alignment vertical="top" wrapText="1"/>
    </xf>
    <xf numFmtId="0" fontId="23" fillId="57" borderId="0" xfId="147" applyFill="1"/>
    <xf numFmtId="0" fontId="23" fillId="0" borderId="20" xfId="339" applyBorder="1" applyAlignment="1">
      <alignment vertical="top"/>
    </xf>
    <xf numFmtId="2" fontId="15" fillId="53" borderId="26" xfId="268" applyNumberFormat="1" applyFont="1" applyFill="1" applyBorder="1" applyAlignment="1">
      <alignment horizontal="center" vertical="center"/>
    </xf>
    <xf numFmtId="0" fontId="0" fillId="57" borderId="0" xfId="0" applyFill="1" applyAlignment="1">
      <alignment vertical="center"/>
    </xf>
    <xf numFmtId="0" fontId="15" fillId="57" borderId="0" xfId="0" applyFont="1" applyFill="1" applyBorder="1" applyAlignment="1">
      <alignment horizontal="left" vertical="center"/>
    </xf>
    <xf numFmtId="0" fontId="10" fillId="57" borderId="0" xfId="0" applyFont="1" applyFill="1" applyBorder="1" applyAlignment="1">
      <alignment horizontal="center" vertical="center"/>
    </xf>
    <xf numFmtId="168" fontId="24" fillId="57" borderId="34" xfId="304" applyFont="1" applyFill="1" applyBorder="1" applyAlignment="1">
      <alignment horizontal="right" vertical="center"/>
    </xf>
    <xf numFmtId="168" fontId="24" fillId="57" borderId="2" xfId="304" applyFont="1" applyFill="1" applyBorder="1" applyAlignment="1">
      <alignment horizontal="right" vertical="center"/>
    </xf>
    <xf numFmtId="168" fontId="24" fillId="57" borderId="37" xfId="304" applyFont="1" applyFill="1" applyBorder="1" applyAlignment="1">
      <alignment horizontal="right" vertical="center"/>
    </xf>
    <xf numFmtId="169" fontId="24" fillId="57" borderId="6" xfId="0" applyNumberFormat="1" applyFont="1" applyFill="1" applyBorder="1" applyAlignment="1">
      <alignment horizontal="right" vertical="center"/>
    </xf>
    <xf numFmtId="169" fontId="15" fillId="57" borderId="6" xfId="0" applyNumberFormat="1" applyFont="1" applyFill="1" applyBorder="1" applyAlignment="1">
      <alignment horizontal="right" vertical="center" wrapText="1"/>
    </xf>
    <xf numFmtId="0" fontId="15" fillId="57" borderId="0" xfId="0" applyFont="1" applyFill="1" applyAlignment="1">
      <alignment horizontal="left" vertical="center" wrapText="1"/>
    </xf>
    <xf numFmtId="0" fontId="88" fillId="3" borderId="23" xfId="3" applyNumberFormat="1" applyFont="1" applyFill="1" applyBorder="1" applyAlignment="1" applyProtection="1">
      <alignment horizontal="center"/>
    </xf>
  </cellXfs>
  <cellStyles count="340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45" xfId="339" xr:uid="{619B8C35-E0AD-4084-8BDC-7F0477D3835B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26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FFCC99"/>
      <color rgb="FF8DB4E2"/>
      <color rgb="FFCCCCFF"/>
      <color rgb="FFFFCCFF"/>
      <color rgb="FFDAEEF3"/>
      <color rgb="FFFF00FF"/>
      <color rgb="FF0000FF"/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AER%20modelling%20team\Reset%20models\2025-30%20SAPN\03%20Draft%20Decision\AER%20-%20Draft%20Decision%20-%20SAPN%20-%202025-30%20-%20RFM%20-%20Preliminary.xlsm" TargetMode="External"/><Relationship Id="rId1" Type="http://schemas.openxmlformats.org/officeDocument/2006/relationships/externalLinkPath" Target="file:///T:\AER\AER%20modelling%20team\Reset%20models\2025-30%20SAPN\03%20Draft%20Decision\AER%20-%20Draft%20Decision%20-%20SAPN%20-%202025-30%20-%20RFM%20-%20Preliminar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cgovau-my.sharepoint.com/personal/daniel_wotherspoon_aer_gov_au/Documents/dwoth%20temporary/AER%20-%20Transgrid%202023-28%20-%20Draft%20Decision%20-%20Capex%20Model%20-%20September%202022%20-%20PUBLIC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AER%20modelling%20team\Reset%20models\2025-30%20SAPN\03%20Draft%20Decision\AER%20-%20Draft%20Decision%20-%20SAPN%20-%202025-30%20-%20SCS%20CESS%20Model.xlsx" TargetMode="External"/><Relationship Id="rId1" Type="http://schemas.openxmlformats.org/officeDocument/2006/relationships/externalLinkPath" Target="file:///T:\AER\AER%20modelling%20team\Reset%20models\2025-30%20SAPN\03%20Draft%20Decision\AER%20-%20Draft%20Decision%20-%20SAPN%20-%202025-30%20-%20SCS%20CESS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cgovau-my.sharepoint.com/Users/rombo_000/Documents/AAaAER/eaAER%20Transgrid%202018-23/Capex/aexAER/20170814/AER%20-%20AusNet%20Services%202017-22%20-%20Opex%20model%20-%20April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AER%20modelling%20team\Reset%20models\2025-30%20Ergon\03%20Draft%20Decision\AER%20-%20Draft%20Decision%20-%20Ergon%20Energy%20-%202025-30%20-%20RFM%20-%20Preliminary%20-%20V2.xlsm" TargetMode="External"/><Relationship Id="rId1" Type="http://schemas.openxmlformats.org/officeDocument/2006/relationships/externalLinkPath" Target="file:///T:\AER\AER%20modelling%20team\Reset%20models\2025-30%20Ergon\03%20Draft%20Decision\AER%20-%20Draft%20Decision%20-%20Ergon%20Energy%20-%202025-30%20-%20RFM%20-%20Preliminary%20-%20V2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cccgovau-my.sharepoint.com/personal/chi_thai_accc_gov_au/Documents/Desktop/EQ%20and%20SAPN/Ergon%20proposal/Ergon%20CESS%20Scenario%203%20-%20ex-post%20model%20-%20true%20up.xlsx" TargetMode="External"/><Relationship Id="rId1" Type="http://schemas.openxmlformats.org/officeDocument/2006/relationships/externalLinkPath" Target="https://acccgovau-my.sharepoint.com/personal/chi_thai_accc_gov_au/Documents/Desktop/EQ%20and%20SAPN/Ergon%20proposal/Ergon%20CESS%20Scenario%203%20-%20ex-post%20model%20-%20true%20up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AER%20modelling%20team\Reset%20models\2025-30%20Ergon\03%20Draft%20Decision\AER%20-%20Draft%20Decision%20-%20Ergon%20Energy%20-%202025-30%20-%20PTRM%20-%20Preliminary%20-%20V2.xlsm" TargetMode="External"/><Relationship Id="rId1" Type="http://schemas.openxmlformats.org/officeDocument/2006/relationships/externalLinkPath" Target="file:///T:\AER\AER%20modelling%20team\Reset%20models\2025-30%20Ergon\03%20Draft%20Decision\AER%20-%20Draft%20Decision%20-%20Ergon%20Energy%20-%202025-30%20-%20PTRM%20-%20Preliminary%20-%20V2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AER\CPI%20data%20&amp;%20templates\CPI\AER%20Networks%20DMS%20-%20Enhancements%20-%20Spreadsheet%20-%20CPI%20-%20inflator%20and%20deflator.xlsx" TargetMode="External"/><Relationship Id="rId1" Type="http://schemas.openxmlformats.org/officeDocument/2006/relationships/externalLinkPath" Target="file:///T:\AER\CPI%20data%20&amp;%20templates\CPI\AER%20Networks%20DMS%20-%20Enhancements%20-%20Spreadsheet%20-%20CPI%20-%20inflator%20and%20def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MS input"/>
      <sheetName val="Issues tracker"/>
      <sheetName val="RFM input"/>
      <sheetName val="Adjustment for previous period"/>
      <sheetName val="RAB roll forward"/>
      <sheetName val="Total RAB roll forward"/>
      <sheetName val="TAB roll forward"/>
      <sheetName val="RAB remaining lives"/>
      <sheetName val="TAB remaining lives"/>
      <sheetName val="PTRM input summary"/>
      <sheetName val="Inputs working"/>
    </sheetNames>
    <sheetDataSet>
      <sheetData sheetId="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</row>
        <row r="15">
          <cell r="C15" t="str">
            <v>After appeal</v>
          </cell>
        </row>
        <row r="16">
          <cell r="C16" t="str">
            <v>Draft decision</v>
          </cell>
        </row>
        <row r="17">
          <cell r="C17" t="str">
            <v>Final decision</v>
          </cell>
        </row>
        <row r="18">
          <cell r="C18" t="str">
            <v>Regulatory proposal</v>
          </cell>
        </row>
        <row r="19">
          <cell r="C19" t="str">
            <v>Revised regulatory proposal</v>
          </cell>
        </row>
      </sheetData>
      <sheetData sheetId="1">
        <row r="16">
          <cell r="B16" t="str">
            <v>Ausgrid</v>
          </cell>
          <cell r="C16" t="str">
            <v>Ausgrid</v>
          </cell>
          <cell r="D16">
            <v>67505337385</v>
          </cell>
          <cell r="E16" t="str">
            <v>NSW</v>
          </cell>
          <cell r="F16" t="str">
            <v>Electricity</v>
          </cell>
          <cell r="G16" t="str">
            <v>Distribution</v>
          </cell>
          <cell r="H16" t="str">
            <v>Revenue cap</v>
          </cell>
          <cell r="I16" t="str">
            <v>Financial</v>
          </cell>
          <cell r="J16" t="str">
            <v>June</v>
          </cell>
          <cell r="K16">
            <v>5</v>
          </cell>
          <cell r="L16">
            <v>5</v>
          </cell>
          <cell r="M16">
            <v>5</v>
          </cell>
          <cell r="N16">
            <v>5</v>
          </cell>
          <cell r="O16" t="str">
            <v>2014-19 Distribution Determination</v>
          </cell>
          <cell r="P16" t="str">
            <v>570 George St</v>
          </cell>
          <cell r="R16" t="str">
            <v>SYDNEY</v>
          </cell>
          <cell r="S16" t="str">
            <v>NSW</v>
          </cell>
          <cell r="U16" t="str">
            <v>GPO Box 4009</v>
          </cell>
          <cell r="W16" t="str">
            <v>SYDNEY</v>
          </cell>
          <cell r="X16" t="str">
            <v>NSW</v>
          </cell>
          <cell r="Z16" t="str">
            <v>YES</v>
          </cell>
          <cell r="AA16" t="str">
            <v>YES</v>
          </cell>
          <cell r="AB16" t="str">
            <v>YES</v>
          </cell>
          <cell r="AC16" t="str">
            <v>YES</v>
          </cell>
          <cell r="AD16" t="str">
            <v>NO</v>
          </cell>
          <cell r="AE16" t="str">
            <v>CBD</v>
          </cell>
          <cell r="AF16" t="str">
            <v>Urban</v>
          </cell>
          <cell r="AG16" t="str">
            <v>Short rural</v>
          </cell>
          <cell r="AH16" t="str">
            <v>Long rural</v>
          </cell>
          <cell r="AJ16" t="str">
            <v>YES</v>
          </cell>
        </row>
        <row r="17">
          <cell r="B17" t="str">
            <v>Ausgrid (Tx Assets)</v>
          </cell>
          <cell r="C17" t="str">
            <v>Ausgrid (Tx Assets)</v>
          </cell>
          <cell r="D17">
            <v>67505337385</v>
          </cell>
          <cell r="E17" t="str">
            <v>NSW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distribution determination</v>
          </cell>
          <cell r="P17" t="str">
            <v>570 George St</v>
          </cell>
          <cell r="R17" t="str">
            <v>SYDNEY</v>
          </cell>
          <cell r="S17" t="str">
            <v>NSW</v>
          </cell>
          <cell r="U17" t="str">
            <v>GPO Box 4009</v>
          </cell>
          <cell r="W17" t="str">
            <v>SYDNEY</v>
          </cell>
          <cell r="X17" t="str">
            <v>NSW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YES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J17" t="str">
            <v>NO</v>
          </cell>
        </row>
        <row r="18">
          <cell r="B18" t="str">
            <v>AusNet (D)</v>
          </cell>
          <cell r="C18" t="str">
            <v>AusNet Electricity Services Pty Ltd</v>
          </cell>
          <cell r="D18">
            <v>91064651118</v>
          </cell>
          <cell r="E18" t="str">
            <v>Vic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Calendar</v>
          </cell>
          <cell r="J18" t="str">
            <v>December</v>
          </cell>
          <cell r="K18">
            <v>5</v>
          </cell>
          <cell r="L18">
            <v>5</v>
          </cell>
          <cell r="M18">
            <v>5</v>
          </cell>
          <cell r="N18">
            <v>2</v>
          </cell>
          <cell r="O18" t="str">
            <v>2016-20 Distribution Determination</v>
          </cell>
          <cell r="P18" t="str">
            <v>Level 32</v>
          </cell>
          <cell r="Q18" t="str">
            <v>2 Southbank Boulevard</v>
          </cell>
          <cell r="R18" t="str">
            <v>SOUTHBANK</v>
          </cell>
          <cell r="S18" t="str">
            <v>Vic</v>
          </cell>
          <cell r="U18" t="str">
            <v>Locked Bag 14051</v>
          </cell>
          <cell r="W18" t="str">
            <v>MELBOURNE CITY MAIL CENTRE</v>
          </cell>
          <cell r="X18" t="str">
            <v>Vic</v>
          </cell>
          <cell r="Z18" t="str">
            <v>NO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J18" t="str">
            <v>YES</v>
          </cell>
        </row>
        <row r="19">
          <cell r="B19" t="str">
            <v>Australian Distribution Co.</v>
          </cell>
          <cell r="C19" t="str">
            <v>Australian Distribution Co.</v>
          </cell>
          <cell r="D19">
            <v>11222333444</v>
          </cell>
          <cell r="E19" t="str">
            <v>NSW</v>
          </cell>
          <cell r="F19" t="str">
            <v>Electricity</v>
          </cell>
          <cell r="G19" t="str">
            <v>Distribution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2</v>
          </cell>
          <cell r="O19" t="str">
            <v>distribution determination</v>
          </cell>
          <cell r="P19" t="str">
            <v>123 Straight Street</v>
          </cell>
          <cell r="R19" t="str">
            <v>SYDNEY</v>
          </cell>
          <cell r="S19" t="str">
            <v>NSW</v>
          </cell>
          <cell r="U19" t="str">
            <v>PO Box 123</v>
          </cell>
          <cell r="W19" t="str">
            <v>SYDNEY</v>
          </cell>
          <cell r="X19" t="str">
            <v>NSW</v>
          </cell>
          <cell r="Z19" t="str">
            <v>YES</v>
          </cell>
          <cell r="AA19" t="str">
            <v>YES</v>
          </cell>
          <cell r="AB19" t="str">
            <v>YES</v>
          </cell>
          <cell r="AC19" t="str">
            <v>YES</v>
          </cell>
          <cell r="AD19" t="str">
            <v>NO</v>
          </cell>
          <cell r="AE19" t="str">
            <v>CBD</v>
          </cell>
          <cell r="AF19" t="str">
            <v>Urban</v>
          </cell>
          <cell r="AG19" t="str">
            <v>Short rural</v>
          </cell>
          <cell r="AH19" t="str">
            <v>Long rural</v>
          </cell>
          <cell r="AJ19" t="str">
            <v>YES</v>
          </cell>
        </row>
        <row r="20">
          <cell r="B20" t="str">
            <v>Australian Distribution Co. (Vic)</v>
          </cell>
          <cell r="C20" t="str">
            <v>Australian Distribution Co. (Victoria)</v>
          </cell>
          <cell r="D20">
            <v>11222333444</v>
          </cell>
          <cell r="E20" t="str">
            <v>Vic</v>
          </cell>
          <cell r="F20" t="str">
            <v>Electricity</v>
          </cell>
          <cell r="G20" t="str">
            <v>Distribution</v>
          </cell>
          <cell r="H20" t="str">
            <v>Revenue cap</v>
          </cell>
          <cell r="I20" t="str">
            <v>Calendar</v>
          </cell>
          <cell r="J20" t="str">
            <v>December</v>
          </cell>
          <cell r="K20">
            <v>5</v>
          </cell>
          <cell r="L20">
            <v>5</v>
          </cell>
          <cell r="M20">
            <v>5</v>
          </cell>
          <cell r="N20">
            <v>2</v>
          </cell>
          <cell r="O20" t="str">
            <v>distribution determination</v>
          </cell>
          <cell r="P20" t="str">
            <v>123 Straight Street</v>
          </cell>
          <cell r="R20" t="str">
            <v>MELBOURNE</v>
          </cell>
          <cell r="S20" t="str">
            <v>Vic</v>
          </cell>
          <cell r="U20" t="str">
            <v>PO Box 123</v>
          </cell>
          <cell r="W20" t="str">
            <v>MELBOURNE</v>
          </cell>
          <cell r="X20" t="str">
            <v>Vic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CBD</v>
          </cell>
          <cell r="AF20" t="str">
            <v>Urban</v>
          </cell>
          <cell r="AG20" t="str">
            <v>Short rural</v>
          </cell>
          <cell r="AH20" t="str">
            <v>Long rural</v>
          </cell>
          <cell r="AJ20" t="str">
            <v>YES</v>
          </cell>
        </row>
        <row r="21">
          <cell r="B21" t="str">
            <v>CitiPower</v>
          </cell>
          <cell r="C21" t="str">
            <v>CitiPower</v>
          </cell>
          <cell r="D21">
            <v>76064651056</v>
          </cell>
          <cell r="E21" t="str">
            <v>Vic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Calendar</v>
          </cell>
          <cell r="J21" t="str">
            <v>December</v>
          </cell>
          <cell r="K21">
            <v>5</v>
          </cell>
          <cell r="L21">
            <v>5</v>
          </cell>
          <cell r="M21">
            <v>5</v>
          </cell>
          <cell r="N21">
            <v>2</v>
          </cell>
          <cell r="O21" t="str">
            <v>2016-20 Distribution Determination</v>
          </cell>
          <cell r="P21" t="str">
            <v>40 Market Street</v>
          </cell>
          <cell r="R21" t="str">
            <v>MELBOURNE</v>
          </cell>
          <cell r="S21" t="str">
            <v>Vic</v>
          </cell>
          <cell r="U21" t="str">
            <v>Locked Bag 14090</v>
          </cell>
          <cell r="W21" t="str">
            <v>MELBOURNE</v>
          </cell>
          <cell r="X21" t="str">
            <v>Vic</v>
          </cell>
          <cell r="Z21" t="str">
            <v>YES</v>
          </cell>
          <cell r="AA21" t="str">
            <v>YES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CBD</v>
          </cell>
          <cell r="AF21" t="str">
            <v>Urban</v>
          </cell>
          <cell r="AG21" t="str">
            <v>Short rural</v>
          </cell>
          <cell r="AH21" t="str">
            <v>Long rural</v>
          </cell>
          <cell r="AJ21" t="str">
            <v>YES</v>
          </cell>
        </row>
        <row r="22">
          <cell r="B22" t="str">
            <v>Endeavour Energy</v>
          </cell>
          <cell r="C22" t="str">
            <v>Endeavour Energy</v>
          </cell>
          <cell r="D22">
            <v>11247365823</v>
          </cell>
          <cell r="E22" t="str">
            <v>NSW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2014-19 Distribution Determination</v>
          </cell>
          <cell r="P22" t="str">
            <v>51 Huntingwood Drive</v>
          </cell>
          <cell r="R22" t="str">
            <v>HUNTINGWOOD</v>
          </cell>
          <cell r="S22" t="str">
            <v>NSW</v>
          </cell>
          <cell r="U22" t="str">
            <v>PO Box 811</v>
          </cell>
          <cell r="W22" t="str">
            <v>SEVEN HILLS</v>
          </cell>
          <cell r="X22" t="str">
            <v>NSW</v>
          </cell>
          <cell r="Z22" t="str">
            <v>YES</v>
          </cell>
          <cell r="AA22" t="str">
            <v>YES</v>
          </cell>
          <cell r="AB22" t="str">
            <v>YES</v>
          </cell>
          <cell r="AC22" t="str">
            <v>YES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J22" t="str">
            <v>YES</v>
          </cell>
        </row>
        <row r="23">
          <cell r="B23" t="str">
            <v>Energex</v>
          </cell>
          <cell r="C23" t="str">
            <v>Energex</v>
          </cell>
          <cell r="D23">
            <v>40078849055</v>
          </cell>
          <cell r="E23" t="str">
            <v>Qld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2015-20 Distribution Determination</v>
          </cell>
          <cell r="P23" t="str">
            <v>26 Reddacliff Street</v>
          </cell>
          <cell r="R23" t="str">
            <v>NEWSTEAD</v>
          </cell>
          <cell r="S23" t="str">
            <v>Qld</v>
          </cell>
          <cell r="U23" t="str">
            <v>26 Reddacliff Street</v>
          </cell>
          <cell r="W23" t="str">
            <v>NEWSTEAD</v>
          </cell>
          <cell r="X23" t="str">
            <v>QLD</v>
          </cell>
          <cell r="Z23" t="str">
            <v>YES</v>
          </cell>
          <cell r="AA23" t="str">
            <v>YES</v>
          </cell>
          <cell r="AB23" t="str">
            <v>YES</v>
          </cell>
          <cell r="AC23" t="str">
            <v>NO</v>
          </cell>
          <cell r="AD23" t="str">
            <v>NO</v>
          </cell>
          <cell r="AE23" t="str">
            <v>CBD</v>
          </cell>
          <cell r="AF23" t="str">
            <v>Urban</v>
          </cell>
          <cell r="AG23" t="str">
            <v>Short rural</v>
          </cell>
          <cell r="AH23" t="str">
            <v>Long rural</v>
          </cell>
          <cell r="AJ23" t="str">
            <v>YES</v>
          </cell>
        </row>
        <row r="24">
          <cell r="B24" t="str">
            <v>Ergon Energy</v>
          </cell>
          <cell r="C24" t="str">
            <v>Ergon Energy</v>
          </cell>
          <cell r="D24">
            <v>50087646062</v>
          </cell>
          <cell r="E24" t="str">
            <v>Qld</v>
          </cell>
          <cell r="F24" t="str">
            <v>Electricity</v>
          </cell>
          <cell r="G24" t="str">
            <v>Distribution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 t="str">
            <v>2015-20 Distribution Determination</v>
          </cell>
          <cell r="P24" t="str">
            <v>22 Walker Street</v>
          </cell>
          <cell r="R24" t="str">
            <v>TOWNSVILLE</v>
          </cell>
          <cell r="S24" t="str">
            <v>Qld</v>
          </cell>
          <cell r="U24" t="str">
            <v>Po Box 264</v>
          </cell>
          <cell r="W24" t="str">
            <v>FORTITUDE VALLEY</v>
          </cell>
          <cell r="X24" t="str">
            <v>QLD</v>
          </cell>
          <cell r="Z24" t="str">
            <v>NO</v>
          </cell>
          <cell r="AA24" t="str">
            <v>YES</v>
          </cell>
          <cell r="AB24" t="str">
            <v>YES</v>
          </cell>
          <cell r="AC24" t="str">
            <v>YES</v>
          </cell>
          <cell r="AD24" t="str">
            <v>NO</v>
          </cell>
          <cell r="AE24" t="str">
            <v>CBD</v>
          </cell>
          <cell r="AF24" t="str">
            <v>Urban</v>
          </cell>
          <cell r="AG24" t="str">
            <v>Short rural</v>
          </cell>
          <cell r="AH24" t="str">
            <v>Long rural</v>
          </cell>
          <cell r="AJ24" t="str">
            <v>YES</v>
          </cell>
        </row>
        <row r="25">
          <cell r="B25" t="str">
            <v>Essential Energy</v>
          </cell>
          <cell r="C25" t="str">
            <v>Essential Energy</v>
          </cell>
          <cell r="D25">
            <v>37428185226</v>
          </cell>
          <cell r="E25" t="str">
            <v>NSW</v>
          </cell>
          <cell r="F25" t="str">
            <v>Electricity</v>
          </cell>
          <cell r="G25" t="str">
            <v>Distribution</v>
          </cell>
          <cell r="H25" t="str">
            <v>Revenue cap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 t="str">
            <v>2014-19 Distribution Determination</v>
          </cell>
          <cell r="P25" t="str">
            <v>8 Buller Street</v>
          </cell>
          <cell r="R25" t="str">
            <v>PORT MACQUARIE</v>
          </cell>
          <cell r="S25" t="str">
            <v>NSW</v>
          </cell>
          <cell r="U25" t="str">
            <v>PO Box 5730</v>
          </cell>
          <cell r="W25" t="str">
            <v>PORT MACQUARIE</v>
          </cell>
          <cell r="X25" t="str">
            <v>NSW</v>
          </cell>
          <cell r="Z25" t="str">
            <v>NO</v>
          </cell>
          <cell r="AA25" t="str">
            <v>YES</v>
          </cell>
          <cell r="AB25" t="str">
            <v>YES</v>
          </cell>
          <cell r="AC25" t="str">
            <v>YES</v>
          </cell>
          <cell r="AD25" t="str">
            <v>NO</v>
          </cell>
          <cell r="AE25" t="str">
            <v>CBD</v>
          </cell>
          <cell r="AF25" t="str">
            <v>Urban</v>
          </cell>
          <cell r="AG25" t="str">
            <v>Short rural</v>
          </cell>
          <cell r="AH25" t="str">
            <v>Long rural</v>
          </cell>
          <cell r="AJ25" t="str">
            <v>YES</v>
          </cell>
        </row>
        <row r="26">
          <cell r="B26" t="str">
            <v>Evoenergy Distribution</v>
          </cell>
          <cell r="C26" t="str">
            <v>Evoenergy Distribution</v>
          </cell>
          <cell r="D26">
            <v>76670568688</v>
          </cell>
          <cell r="E26" t="str">
            <v>ACT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 t="str">
            <v>2014-19 Distribution Determination</v>
          </cell>
          <cell r="P26" t="str">
            <v>40 Bunda Street</v>
          </cell>
          <cell r="R26" t="str">
            <v>CANBERRA</v>
          </cell>
          <cell r="S26" t="str">
            <v>ACT</v>
          </cell>
          <cell r="U26" t="str">
            <v>GPO BOX 366</v>
          </cell>
          <cell r="W26" t="str">
            <v>CANBERRA</v>
          </cell>
          <cell r="X26" t="str">
            <v>ACT</v>
          </cell>
          <cell r="Z26" t="str">
            <v>NO</v>
          </cell>
          <cell r="AA26" t="str">
            <v>YES</v>
          </cell>
          <cell r="AB26" t="str">
            <v>YES</v>
          </cell>
          <cell r="AC26" t="str">
            <v>NO</v>
          </cell>
          <cell r="AD26" t="str">
            <v>NO</v>
          </cell>
          <cell r="AE26" t="str">
            <v>CBD</v>
          </cell>
          <cell r="AF26" t="str">
            <v>Urban</v>
          </cell>
          <cell r="AG26" t="str">
            <v>Short rural</v>
          </cell>
          <cell r="AH26" t="str">
            <v>Long rural</v>
          </cell>
          <cell r="AJ26" t="str">
            <v>NO</v>
          </cell>
        </row>
        <row r="27">
          <cell r="B27" t="str">
            <v>Evoenergy Distribution (Tx Assets)</v>
          </cell>
          <cell r="C27" t="str">
            <v>Evoenergy Distribution (Tx Assets)</v>
          </cell>
          <cell r="D27">
            <v>76670568688</v>
          </cell>
          <cell r="E27" t="str">
            <v>ACT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 t="str">
            <v>distribution determination</v>
          </cell>
          <cell r="P27" t="str">
            <v>40 Bunda Street</v>
          </cell>
          <cell r="R27" t="str">
            <v>CANBERRA</v>
          </cell>
          <cell r="S27" t="str">
            <v>ACT</v>
          </cell>
          <cell r="U27" t="str">
            <v>GPO BOX 366</v>
          </cell>
          <cell r="W27" t="str">
            <v>CANBERRA</v>
          </cell>
          <cell r="X27" t="str">
            <v>ACT</v>
          </cell>
          <cell r="Z27" t="str">
            <v>NO</v>
          </cell>
          <cell r="AA27" t="str">
            <v>YES</v>
          </cell>
          <cell r="AB27" t="str">
            <v>YES</v>
          </cell>
          <cell r="AC27" t="str">
            <v>NO</v>
          </cell>
          <cell r="AD27" t="str">
            <v>NO</v>
          </cell>
          <cell r="AE27" t="str">
            <v>CBD</v>
          </cell>
          <cell r="AF27" t="str">
            <v>Urban</v>
          </cell>
          <cell r="AG27" t="str">
            <v>Short rural</v>
          </cell>
          <cell r="AH27" t="str">
            <v>Long rural</v>
          </cell>
          <cell r="AJ27" t="str">
            <v>NO</v>
          </cell>
        </row>
        <row r="28">
          <cell r="B28" t="str">
            <v>Jemena Electricity</v>
          </cell>
          <cell r="C28" t="str">
            <v>Jemena Electricity</v>
          </cell>
          <cell r="D28">
            <v>82064651083</v>
          </cell>
          <cell r="E28" t="str">
            <v>Vic</v>
          </cell>
          <cell r="F28" t="str">
            <v>Electricity</v>
          </cell>
          <cell r="G28" t="str">
            <v>Distribution</v>
          </cell>
          <cell r="H28" t="str">
            <v>Revenue cap</v>
          </cell>
          <cell r="I28" t="str">
            <v>Calendar</v>
          </cell>
          <cell r="J28" t="str">
            <v>December</v>
          </cell>
          <cell r="K28">
            <v>5</v>
          </cell>
          <cell r="L28">
            <v>5</v>
          </cell>
          <cell r="M28">
            <v>5</v>
          </cell>
          <cell r="N28">
            <v>2</v>
          </cell>
          <cell r="O28" t="str">
            <v>2016-20 Distribution Determination</v>
          </cell>
          <cell r="P28" t="str">
            <v>Level 16</v>
          </cell>
          <cell r="Q28" t="str">
            <v>567 Collins Street</v>
          </cell>
          <cell r="R28" t="str">
            <v>MELBOURNE</v>
          </cell>
          <cell r="S28" t="str">
            <v>Vic</v>
          </cell>
          <cell r="U28" t="str">
            <v>PO Box 16182</v>
          </cell>
          <cell r="W28" t="str">
            <v>MELBOURNE</v>
          </cell>
          <cell r="X28" t="str">
            <v>Vic</v>
          </cell>
          <cell r="Z28" t="str">
            <v>NO</v>
          </cell>
          <cell r="AA28" t="str">
            <v>YES</v>
          </cell>
          <cell r="AB28" t="str">
            <v>YES</v>
          </cell>
          <cell r="AC28" t="str">
            <v>NO</v>
          </cell>
          <cell r="AD28" t="str">
            <v>NO</v>
          </cell>
          <cell r="AE28" t="str">
            <v>CBD</v>
          </cell>
          <cell r="AF28" t="str">
            <v>Urban</v>
          </cell>
          <cell r="AG28" t="str">
            <v>Short rural</v>
          </cell>
          <cell r="AH28" t="str">
            <v>Long rural</v>
          </cell>
          <cell r="AJ28" t="str">
            <v>YES</v>
          </cell>
        </row>
        <row r="29">
          <cell r="B29" t="str">
            <v>Power and Water</v>
          </cell>
          <cell r="C29" t="str">
            <v>Power and Water Corporation</v>
          </cell>
          <cell r="D29">
            <v>15947352360</v>
          </cell>
          <cell r="E29" t="str">
            <v>NT</v>
          </cell>
          <cell r="F29" t="str">
            <v>Electricity</v>
          </cell>
          <cell r="G29" t="str">
            <v>Distribution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x</v>
          </cell>
          <cell r="O29" t="str">
            <v>distribution determination</v>
          </cell>
          <cell r="P29" t="str">
            <v>GPO Box 1921</v>
          </cell>
          <cell r="R29" t="str">
            <v>DARWIN</v>
          </cell>
          <cell r="S29" t="str">
            <v>NT</v>
          </cell>
          <cell r="U29" t="str">
            <v>GPO Box 1921</v>
          </cell>
          <cell r="W29" t="str">
            <v>DARWIN</v>
          </cell>
          <cell r="X29" t="str">
            <v>NT</v>
          </cell>
          <cell r="Z29" t="str">
            <v>YES</v>
          </cell>
          <cell r="AA29" t="str">
            <v>YES</v>
          </cell>
          <cell r="AB29" t="str">
            <v>YES</v>
          </cell>
          <cell r="AC29" t="str">
            <v>YES</v>
          </cell>
          <cell r="AD29" t="str">
            <v>NO</v>
          </cell>
          <cell r="AE29" t="str">
            <v>CBD</v>
          </cell>
          <cell r="AF29" t="str">
            <v>Urban</v>
          </cell>
          <cell r="AG29" t="str">
            <v>Short rural</v>
          </cell>
          <cell r="AH29" t="str">
            <v>Long rural</v>
          </cell>
          <cell r="AJ29" t="str">
            <v>NO</v>
          </cell>
        </row>
        <row r="30">
          <cell r="B30" t="str">
            <v>Powercor Australia</v>
          </cell>
          <cell r="C30" t="str">
            <v>Powercor Australia</v>
          </cell>
          <cell r="D30">
            <v>89064651109</v>
          </cell>
          <cell r="E30" t="str">
            <v>Vic</v>
          </cell>
          <cell r="F30" t="str">
            <v>Electricity</v>
          </cell>
          <cell r="G30" t="str">
            <v>Distribution</v>
          </cell>
          <cell r="H30" t="str">
            <v>Revenue cap</v>
          </cell>
          <cell r="I30" t="str">
            <v>Calendar</v>
          </cell>
          <cell r="J30" t="str">
            <v>December</v>
          </cell>
          <cell r="K30">
            <v>5</v>
          </cell>
          <cell r="L30">
            <v>5</v>
          </cell>
          <cell r="M30">
            <v>5</v>
          </cell>
          <cell r="N30">
            <v>2</v>
          </cell>
          <cell r="O30" t="str">
            <v>2016-20 Distribution Determination</v>
          </cell>
          <cell r="P30" t="str">
            <v>40 Market Street</v>
          </cell>
          <cell r="R30" t="str">
            <v>MELBOURNE</v>
          </cell>
          <cell r="S30" t="str">
            <v>Vic</v>
          </cell>
          <cell r="U30" t="str">
            <v>Locked bag 14090</v>
          </cell>
          <cell r="W30" t="str">
            <v>MELBOURNE</v>
          </cell>
          <cell r="X30" t="str">
            <v>Vic</v>
          </cell>
          <cell r="Z30" t="str">
            <v>NO</v>
          </cell>
          <cell r="AA30" t="str">
            <v>YES</v>
          </cell>
          <cell r="AB30" t="str">
            <v>YES</v>
          </cell>
          <cell r="AC30" t="str">
            <v>YES</v>
          </cell>
          <cell r="AD30" t="str">
            <v>NO</v>
          </cell>
          <cell r="AE30" t="str">
            <v>CBD</v>
          </cell>
          <cell r="AF30" t="str">
            <v>Urban</v>
          </cell>
          <cell r="AG30" t="str">
            <v>Short rural</v>
          </cell>
          <cell r="AH30" t="str">
            <v>Long rural</v>
          </cell>
          <cell r="AJ30" t="str">
            <v>YES</v>
          </cell>
        </row>
        <row r="31">
          <cell r="B31" t="str">
            <v>SA Power Networks</v>
          </cell>
          <cell r="C31" t="str">
            <v>SA Power Networks</v>
          </cell>
          <cell r="D31">
            <v>13332330749</v>
          </cell>
          <cell r="E31" t="str">
            <v>SA</v>
          </cell>
          <cell r="F31" t="str">
            <v>Electricity</v>
          </cell>
          <cell r="G31" t="str">
            <v>Distribution</v>
          </cell>
          <cell r="H31" t="str">
            <v>Revenue cap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 t="str">
            <v>2015-20 Distribution Determination</v>
          </cell>
          <cell r="P31" t="str">
            <v>1 Anzac Highway</v>
          </cell>
          <cell r="R31" t="str">
            <v>KESWICK</v>
          </cell>
          <cell r="S31" t="str">
            <v>SA</v>
          </cell>
          <cell r="U31" t="str">
            <v>GPO Box 77</v>
          </cell>
          <cell r="W31" t="str">
            <v>ADELAIDE</v>
          </cell>
          <cell r="X31" t="str">
            <v>SA</v>
          </cell>
          <cell r="Z31" t="str">
            <v>YES</v>
          </cell>
          <cell r="AA31" t="str">
            <v>YES</v>
          </cell>
          <cell r="AB31" t="str">
            <v>YES</v>
          </cell>
          <cell r="AC31" t="str">
            <v>YES</v>
          </cell>
          <cell r="AD31" t="str">
            <v>NO</v>
          </cell>
          <cell r="AE31" t="str">
            <v>CBD</v>
          </cell>
          <cell r="AF31" t="str">
            <v>Urban</v>
          </cell>
          <cell r="AG31" t="str">
            <v>Short rural</v>
          </cell>
          <cell r="AH31" t="str">
            <v>Long rural</v>
          </cell>
          <cell r="AJ31" t="str">
            <v>YES</v>
          </cell>
        </row>
        <row r="32">
          <cell r="B32" t="str">
            <v>TasNetworks (D)</v>
          </cell>
          <cell r="C32" t="str">
            <v>TasNetworks (D)</v>
          </cell>
          <cell r="D32">
            <v>24167357299</v>
          </cell>
          <cell r="E32" t="str">
            <v>Tas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 t="str">
            <v>distribution determination</v>
          </cell>
          <cell r="P32" t="str">
            <v>1-7 Maria Street</v>
          </cell>
          <cell r="R32" t="str">
            <v>LENAH VALLEY</v>
          </cell>
          <cell r="S32" t="str">
            <v>Tas</v>
          </cell>
          <cell r="U32" t="str">
            <v>PO Box 606</v>
          </cell>
          <cell r="W32" t="str">
            <v>MOONAH</v>
          </cell>
          <cell r="X32" t="str">
            <v>Tas</v>
          </cell>
          <cell r="Z32" t="str">
            <v>YES</v>
          </cell>
          <cell r="AA32" t="str">
            <v>YES</v>
          </cell>
          <cell r="AB32" t="str">
            <v>YES</v>
          </cell>
          <cell r="AC32" t="str">
            <v>YES</v>
          </cell>
          <cell r="AD32" t="str">
            <v>YES</v>
          </cell>
          <cell r="AE32" t="str">
            <v>Critical Infrastructure</v>
          </cell>
          <cell r="AF32" t="str">
            <v>High density commercial</v>
          </cell>
          <cell r="AG32" t="str">
            <v>Urban</v>
          </cell>
          <cell r="AH32" t="str">
            <v>High density rural</v>
          </cell>
          <cell r="AI32" t="str">
            <v>Low density rural</v>
          </cell>
          <cell r="AJ32" t="str">
            <v>YES</v>
          </cell>
        </row>
        <row r="33">
          <cell r="B33" t="str">
            <v>United Energy</v>
          </cell>
          <cell r="C33" t="str">
            <v>United Energy</v>
          </cell>
          <cell r="D33">
            <v>70064651029</v>
          </cell>
          <cell r="E33" t="str">
            <v>Vic</v>
          </cell>
          <cell r="F33" t="str">
            <v>Electricity</v>
          </cell>
          <cell r="G33" t="str">
            <v>Distribution</v>
          </cell>
          <cell r="H33" t="str">
            <v>Revenue cap</v>
          </cell>
          <cell r="I33" t="str">
            <v>Calendar</v>
          </cell>
          <cell r="J33" t="str">
            <v>December</v>
          </cell>
          <cell r="K33">
            <v>5</v>
          </cell>
          <cell r="L33">
            <v>5</v>
          </cell>
          <cell r="M33">
            <v>5</v>
          </cell>
          <cell r="N33">
            <v>2</v>
          </cell>
          <cell r="O33" t="str">
            <v>2016-20 Distribution Determination</v>
          </cell>
          <cell r="P33" t="str">
            <v>43-45 Centreway</v>
          </cell>
          <cell r="R33" t="str">
            <v>MOUNT WAVERLEY</v>
          </cell>
          <cell r="S33" t="str">
            <v>Vic</v>
          </cell>
          <cell r="U33" t="str">
            <v>PO Box 449</v>
          </cell>
          <cell r="W33" t="str">
            <v>MOUNT WAVERLEY</v>
          </cell>
          <cell r="X33" t="str">
            <v>Vic</v>
          </cell>
          <cell r="Z33" t="str">
            <v>NO</v>
          </cell>
          <cell r="AA33" t="str">
            <v>YES</v>
          </cell>
          <cell r="AB33" t="str">
            <v>YES</v>
          </cell>
          <cell r="AC33" t="str">
            <v>NO</v>
          </cell>
          <cell r="AD33" t="str">
            <v>NO</v>
          </cell>
          <cell r="AE33" t="str">
            <v>CBD</v>
          </cell>
          <cell r="AF33" t="str">
            <v>Urban</v>
          </cell>
          <cell r="AG33" t="str">
            <v>Short rural</v>
          </cell>
          <cell r="AH33" t="str">
            <v>Long rural</v>
          </cell>
          <cell r="AJ33" t="str">
            <v>YES</v>
          </cell>
        </row>
        <row r="40">
          <cell r="B40" t="str">
            <v>ARR</v>
          </cell>
          <cell r="D40" t="str">
            <v>ANNUAL REPORTING</v>
          </cell>
          <cell r="E40">
            <v>1</v>
          </cell>
        </row>
        <row r="41">
          <cell r="B41" t="str">
            <v>CA</v>
          </cell>
          <cell r="D41" t="str">
            <v>CATEGORY ANALYSIS</v>
          </cell>
          <cell r="E41">
            <v>1</v>
          </cell>
        </row>
        <row r="42">
          <cell r="B42" t="str">
            <v>CESS</v>
          </cell>
          <cell r="D42" t="str">
            <v>CAPITLAL EXPENDITURE SHARING SCHEMING</v>
          </cell>
          <cell r="E42">
            <v>5</v>
          </cell>
        </row>
        <row r="43">
          <cell r="B43" t="str">
            <v>CPI</v>
          </cell>
          <cell r="D43" t="str">
            <v>CPI</v>
          </cell>
          <cell r="E43">
            <v>5</v>
          </cell>
        </row>
        <row r="44">
          <cell r="B44" t="str">
            <v>EB</v>
          </cell>
          <cell r="D44" t="str">
            <v>ECONOMIC BENCHMARKING</v>
          </cell>
          <cell r="E44">
            <v>1</v>
          </cell>
        </row>
        <row r="45">
          <cell r="B45" t="str">
            <v>Pricing</v>
          </cell>
          <cell r="D45" t="str">
            <v>PRICING PROPOSAL</v>
          </cell>
          <cell r="E45">
            <v>5</v>
          </cell>
        </row>
        <row r="46">
          <cell r="B46" t="str">
            <v>PTRM</v>
          </cell>
          <cell r="D46" t="str">
            <v>POST TAX REVENUE MODEL</v>
          </cell>
          <cell r="E46">
            <v>5</v>
          </cell>
        </row>
        <row r="47">
          <cell r="B47" t="str">
            <v>Reset</v>
          </cell>
          <cell r="D47" t="str">
            <v>REGULATORY REPORTING STATEMENT</v>
          </cell>
          <cell r="E47">
            <v>5</v>
          </cell>
        </row>
        <row r="48">
          <cell r="B48" t="str">
            <v>RFM</v>
          </cell>
          <cell r="D48" t="str">
            <v>ROLL FORWARD MODEL</v>
          </cell>
          <cell r="E48">
            <v>5</v>
          </cell>
        </row>
        <row r="49">
          <cell r="B49" t="str">
            <v>WACC</v>
          </cell>
          <cell r="D49" t="str">
            <v>WEIGHTED AVERAGE COST OF CAPITAL</v>
          </cell>
          <cell r="E49">
            <v>1</v>
          </cell>
        </row>
        <row r="54">
          <cell r="E54" t="e">
            <v>#N/A</v>
          </cell>
          <cell r="G54" t="e">
            <v>#N/A</v>
          </cell>
        </row>
        <row r="55">
          <cell r="E55" t="e">
            <v>#N/A</v>
          </cell>
          <cell r="G55" t="e">
            <v>#N/A</v>
          </cell>
          <cell r="I55" t="e">
            <v>#N/A</v>
          </cell>
        </row>
        <row r="56">
          <cell r="E56" t="e">
            <v>#N/A</v>
          </cell>
          <cell r="G56" t="e">
            <v>#N/A</v>
          </cell>
          <cell r="I56" t="e">
            <v>#N/A</v>
          </cell>
        </row>
        <row r="57">
          <cell r="E57" t="e">
            <v>#N/A</v>
          </cell>
          <cell r="G57" t="e">
            <v>#N/A</v>
          </cell>
          <cell r="I57" t="e">
            <v>#N/A</v>
          </cell>
        </row>
        <row r="58">
          <cell r="E58" t="e">
            <v>#N/A</v>
          </cell>
          <cell r="G58" t="e">
            <v>#N/A</v>
          </cell>
          <cell r="I58" t="e">
            <v>#N/A</v>
          </cell>
        </row>
        <row r="59">
          <cell r="E59" t="e">
            <v>#N/A</v>
          </cell>
          <cell r="G59" t="e">
            <v>#N/A</v>
          </cell>
          <cell r="I59" t="e">
            <v>#N/A</v>
          </cell>
        </row>
        <row r="60">
          <cell r="E60" t="e">
            <v>#N/A</v>
          </cell>
          <cell r="G60" t="e">
            <v>#N/A</v>
          </cell>
          <cell r="I60" t="e">
            <v>#N/A</v>
          </cell>
        </row>
        <row r="61">
          <cell r="E61" t="e">
            <v>#N/A</v>
          </cell>
          <cell r="G61" t="e">
            <v>#N/A</v>
          </cell>
          <cell r="I61" t="e">
            <v>#N/A</v>
          </cell>
        </row>
        <row r="62">
          <cell r="E62" t="e">
            <v>#N/A</v>
          </cell>
          <cell r="G62" t="e">
            <v>#N/A</v>
          </cell>
          <cell r="I62" t="e">
            <v>#N/A</v>
          </cell>
        </row>
        <row r="63">
          <cell r="E63" t="e">
            <v>#N/A</v>
          </cell>
          <cell r="G63" t="e">
            <v>#N/A</v>
          </cell>
          <cell r="I63" t="e">
            <v>#N/A</v>
          </cell>
        </row>
        <row r="64">
          <cell r="G64" t="e">
            <v>#N/A</v>
          </cell>
          <cell r="I64" t="e">
            <v>#N/A</v>
          </cell>
        </row>
        <row r="65">
          <cell r="G65" t="e">
            <v>#N/A</v>
          </cell>
          <cell r="I65" t="e">
            <v>#N/A</v>
          </cell>
        </row>
        <row r="66">
          <cell r="G66" t="e">
            <v>#N/A</v>
          </cell>
          <cell r="I66" t="e">
            <v>#N/A</v>
          </cell>
        </row>
        <row r="67">
          <cell r="G67" t="e">
            <v>#N/A</v>
          </cell>
          <cell r="I67" t="e">
            <v>#N/A</v>
          </cell>
        </row>
        <row r="68">
          <cell r="G68" t="e">
            <v>#N/A</v>
          </cell>
          <cell r="I68" t="e">
            <v>#N/A</v>
          </cell>
        </row>
        <row r="73">
          <cell r="E73" t="str">
            <v>2006-07</v>
          </cell>
        </row>
      </sheetData>
      <sheetData sheetId="2">
        <row r="11">
          <cell r="C11" t="str">
            <v>RFM</v>
          </cell>
        </row>
        <row r="21">
          <cell r="C21" t="str">
            <v>Distribution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6">
          <cell r="C36">
            <v>2021</v>
          </cell>
        </row>
        <row r="37">
          <cell r="C37" t="e">
            <v>#N/A</v>
          </cell>
        </row>
        <row r="38">
          <cell r="C38">
            <v>0</v>
          </cell>
        </row>
        <row r="39">
          <cell r="C39" t="e">
            <v>#N/A</v>
          </cell>
        </row>
        <row r="40">
          <cell r="C40" t="e">
            <v>#N/A</v>
          </cell>
        </row>
        <row r="41">
          <cell r="C41" t="e">
            <v>#N/A</v>
          </cell>
        </row>
        <row r="42">
          <cell r="C42" t="e">
            <v>#N/A</v>
          </cell>
        </row>
        <row r="46">
          <cell r="C46" t="e">
            <v>#N/A</v>
          </cell>
        </row>
        <row r="47">
          <cell r="C47" t="e">
            <v>#N/A</v>
          </cell>
        </row>
        <row r="48">
          <cell r="C48" t="e">
            <v>#N/A</v>
          </cell>
        </row>
        <row r="49">
          <cell r="C49" t="e">
            <v>#N/A</v>
          </cell>
        </row>
        <row r="51">
          <cell r="C51" t="e">
            <v>#N/A</v>
          </cell>
        </row>
        <row r="52">
          <cell r="C52" t="e">
            <v>#N/A</v>
          </cell>
        </row>
        <row r="53">
          <cell r="C53">
            <v>0</v>
          </cell>
        </row>
        <row r="54">
          <cell r="C54" t="e">
            <v>#N/A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e">
            <v>#N/A</v>
          </cell>
        </row>
        <row r="59">
          <cell r="C59">
            <v>0</v>
          </cell>
        </row>
        <row r="60">
          <cell r="C60" t="e">
            <v>#N/A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e">
            <v>#N/A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3">
        <row r="16">
          <cell r="AL16" t="str">
            <v>SA Power Networks</v>
          </cell>
        </row>
        <row r="42">
          <cell r="AL42">
            <v>2021</v>
          </cell>
        </row>
        <row r="58">
          <cell r="AL58" t="str">
            <v>Regulatory proposal</v>
          </cell>
        </row>
        <row r="64">
          <cell r="AL64" t="str">
            <v>.</v>
          </cell>
        </row>
        <row r="68">
          <cell r="AL68" t="str">
            <v>dd/mm/yy</v>
          </cell>
        </row>
      </sheetData>
      <sheetData sheetId="4" refreshError="1"/>
      <sheetData sheetId="5" refreshError="1"/>
      <sheetData sheetId="6" refreshError="1"/>
      <sheetData sheetId="7">
        <row r="7">
          <cell r="F7" t="str">
            <v>Sub-transmission lines</v>
          </cell>
          <cell r="J7" t="str">
            <v>n/a</v>
          </cell>
          <cell r="K7">
            <v>55</v>
          </cell>
          <cell r="S7" t="str">
            <v>n/a</v>
          </cell>
          <cell r="T7">
            <v>47.5</v>
          </cell>
        </row>
        <row r="8">
          <cell r="F8" t="str">
            <v>Distribution lines</v>
          </cell>
          <cell r="J8" t="str">
            <v>n/a</v>
          </cell>
          <cell r="K8">
            <v>55</v>
          </cell>
          <cell r="S8" t="str">
            <v>n/a</v>
          </cell>
          <cell r="T8">
            <v>47.5</v>
          </cell>
        </row>
        <row r="9">
          <cell r="F9" t="str">
            <v>Substations</v>
          </cell>
          <cell r="J9" t="str">
            <v>n/a</v>
          </cell>
          <cell r="K9">
            <v>45</v>
          </cell>
          <cell r="S9" t="str">
            <v>n/a</v>
          </cell>
          <cell r="T9">
            <v>40</v>
          </cell>
        </row>
        <row r="10">
          <cell r="F10" t="str">
            <v>Distribution Transformers</v>
          </cell>
          <cell r="J10" t="str">
            <v>n/a</v>
          </cell>
          <cell r="K10">
            <v>45</v>
          </cell>
          <cell r="S10" t="str">
            <v>n/a</v>
          </cell>
          <cell r="T10">
            <v>40</v>
          </cell>
        </row>
        <row r="11">
          <cell r="F11" t="str">
            <v>LVS</v>
          </cell>
          <cell r="J11" t="str">
            <v>n/a</v>
          </cell>
          <cell r="K11">
            <v>55</v>
          </cell>
          <cell r="S11" t="str">
            <v>n/a</v>
          </cell>
          <cell r="T11">
            <v>47.5</v>
          </cell>
        </row>
        <row r="12">
          <cell r="F12" t="str">
            <v>Communications</v>
          </cell>
          <cell r="J12" t="str">
            <v>n/a</v>
          </cell>
          <cell r="K12">
            <v>15</v>
          </cell>
          <cell r="S12" t="str">
            <v>n/a</v>
          </cell>
          <cell r="T12">
            <v>10</v>
          </cell>
        </row>
        <row r="13">
          <cell r="F13" t="str">
            <v>Contributions</v>
          </cell>
          <cell r="J13" t="str">
            <v>n/a</v>
          </cell>
          <cell r="K13" t="str">
            <v>n/a</v>
          </cell>
          <cell r="S13" t="str">
            <v>n/a</v>
          </cell>
          <cell r="T13" t="str">
            <v>n/a</v>
          </cell>
        </row>
        <row r="14">
          <cell r="F14" t="str">
            <v>Land</v>
          </cell>
          <cell r="J14" t="str">
            <v>n/a</v>
          </cell>
          <cell r="K14" t="str">
            <v>n/a</v>
          </cell>
          <cell r="S14" t="str">
            <v>n/a</v>
          </cell>
          <cell r="T14" t="str">
            <v>n/a</v>
          </cell>
        </row>
        <row r="15">
          <cell r="F15" t="str">
            <v>Substation Land</v>
          </cell>
          <cell r="J15" t="str">
            <v>n/a</v>
          </cell>
          <cell r="K15" t="str">
            <v>n/a</v>
          </cell>
          <cell r="S15" t="str">
            <v>n/a</v>
          </cell>
          <cell r="T15" t="str">
            <v>n/a</v>
          </cell>
        </row>
        <row r="16">
          <cell r="F16" t="str">
            <v>Easements</v>
          </cell>
          <cell r="J16" t="str">
            <v>n/a</v>
          </cell>
          <cell r="K16" t="str">
            <v>n/a</v>
          </cell>
          <cell r="S16" t="str">
            <v>n/a</v>
          </cell>
          <cell r="T16" t="str">
            <v>n/a</v>
          </cell>
        </row>
        <row r="17">
          <cell r="F17" t="str">
            <v>Buildings - Pre 2020</v>
          </cell>
          <cell r="J17" t="str">
            <v>n/a</v>
          </cell>
          <cell r="K17">
            <v>40</v>
          </cell>
          <cell r="S17" t="str">
            <v>n/a</v>
          </cell>
          <cell r="T17">
            <v>40</v>
          </cell>
        </row>
        <row r="18">
          <cell r="F18" t="str">
            <v>Heavy Vehicles - 15 year</v>
          </cell>
          <cell r="J18" t="str">
            <v>n/a</v>
          </cell>
          <cell r="K18">
            <v>15</v>
          </cell>
          <cell r="S18" t="str">
            <v>n/a</v>
          </cell>
          <cell r="T18">
            <v>15</v>
          </cell>
        </row>
        <row r="19">
          <cell r="F19" t="str">
            <v>Heavy Vehicles - 10 year</v>
          </cell>
          <cell r="J19" t="str">
            <v>n/a</v>
          </cell>
          <cell r="K19">
            <v>10</v>
          </cell>
          <cell r="S19" t="str">
            <v>n/a</v>
          </cell>
          <cell r="T19">
            <v>15</v>
          </cell>
        </row>
        <row r="20">
          <cell r="F20" t="str">
            <v>Light Vehicles</v>
          </cell>
          <cell r="J20" t="str">
            <v>n/a</v>
          </cell>
          <cell r="K20">
            <v>5</v>
          </cell>
          <cell r="S20" t="str">
            <v>n/a</v>
          </cell>
          <cell r="T20">
            <v>6.7</v>
          </cell>
        </row>
        <row r="21">
          <cell r="F21" t="str">
            <v>IT Assets</v>
          </cell>
          <cell r="J21" t="str">
            <v>n/a</v>
          </cell>
          <cell r="K21">
            <v>5</v>
          </cell>
          <cell r="S21" t="str">
            <v>n/a</v>
          </cell>
          <cell r="T21">
            <v>4</v>
          </cell>
        </row>
        <row r="22">
          <cell r="F22" t="str">
            <v>Plant &amp; Tools/Office Furniture</v>
          </cell>
          <cell r="J22" t="str">
            <v>n/a</v>
          </cell>
          <cell r="K22">
            <v>10</v>
          </cell>
          <cell r="S22" t="str">
            <v>n/a</v>
          </cell>
          <cell r="T22">
            <v>10</v>
          </cell>
        </row>
        <row r="23">
          <cell r="F23" t="str">
            <v xml:space="preserve">Sub-transmission and distribution lines - short life </v>
          </cell>
          <cell r="J23" t="str">
            <v>n/a</v>
          </cell>
          <cell r="K23">
            <v>25</v>
          </cell>
          <cell r="S23" t="str">
            <v>n/a</v>
          </cell>
          <cell r="T23">
            <v>25</v>
          </cell>
        </row>
        <row r="24">
          <cell r="F24" t="str">
            <v xml:space="preserve">Substations and transformers - short life </v>
          </cell>
          <cell r="J24" t="str">
            <v>n/a</v>
          </cell>
          <cell r="K24">
            <v>20</v>
          </cell>
          <cell r="S24" t="str">
            <v>n/a</v>
          </cell>
          <cell r="T24">
            <v>20</v>
          </cell>
        </row>
        <row r="25">
          <cell r="F25" t="str">
            <v xml:space="preserve">Electronic network assets </v>
          </cell>
          <cell r="J25" t="str">
            <v>n/a</v>
          </cell>
          <cell r="K25">
            <v>15</v>
          </cell>
          <cell r="S25" t="str">
            <v>n/a</v>
          </cell>
          <cell r="T25">
            <v>15</v>
          </cell>
        </row>
        <row r="53">
          <cell r="F53" t="str">
            <v>Spare straight-line tax asset class</v>
          </cell>
        </row>
        <row r="54">
          <cell r="F54" t="str">
            <v>Buildings - capital works</v>
          </cell>
          <cell r="J54" t="str">
            <v>n/a</v>
          </cell>
          <cell r="K54">
            <v>40</v>
          </cell>
          <cell r="S54" t="str">
            <v>n/a</v>
          </cell>
          <cell r="T54">
            <v>40</v>
          </cell>
        </row>
        <row r="55">
          <cell r="F55" t="str">
            <v>In-house software</v>
          </cell>
          <cell r="J55" t="str">
            <v>n/a</v>
          </cell>
          <cell r="K55">
            <v>5</v>
          </cell>
          <cell r="S55" t="str">
            <v>n/a</v>
          </cell>
          <cell r="T55">
            <v>4</v>
          </cell>
        </row>
        <row r="56">
          <cell r="F56" t="str">
            <v>Equity raising costs</v>
          </cell>
          <cell r="J56" t="str">
            <v>n/a</v>
          </cell>
          <cell r="K56" t="str">
            <v>n/a</v>
          </cell>
          <cell r="S56" t="str">
            <v>n/a</v>
          </cell>
          <cell r="T56" t="str">
            <v>n/a</v>
          </cell>
        </row>
        <row r="289">
          <cell r="G289">
            <v>5.4030979733082019E-2</v>
          </cell>
          <cell r="H289">
            <v>3.2979945755177154E-2</v>
          </cell>
          <cell r="I289">
            <v>5.8171882419040255E-2</v>
          </cell>
          <cell r="J289">
            <v>0.10163412970798102</v>
          </cell>
          <cell r="K289">
            <v>6.3640555771956153E-2</v>
          </cell>
          <cell r="L289">
            <v>5.3223417894460612E-2</v>
          </cell>
          <cell r="M289">
            <v>-2.2234295228945489E-2</v>
          </cell>
          <cell r="N289">
            <v>-2.2234295228945489E-2</v>
          </cell>
          <cell r="O289">
            <v>-2.2234295228945489E-2</v>
          </cell>
          <cell r="P289">
            <v>-2.2234295228945489E-2</v>
          </cell>
          <cell r="Q289">
            <v>-2.2234295228945489E-2</v>
          </cell>
        </row>
      </sheetData>
      <sheetData sheetId="8" refreshError="1"/>
      <sheetData sheetId="9">
        <row r="718">
          <cell r="H718">
            <v>226.62115994084897</v>
          </cell>
        </row>
        <row r="719">
          <cell r="H719">
            <v>1802.2125062654463</v>
          </cell>
        </row>
        <row r="720">
          <cell r="H720">
            <v>1323.4741937586239</v>
          </cell>
        </row>
        <row r="721">
          <cell r="H721">
            <v>368.51950333823447</v>
          </cell>
        </row>
        <row r="722">
          <cell r="H722">
            <v>1008.1281538280646</v>
          </cell>
        </row>
        <row r="723">
          <cell r="H723">
            <v>74.569821876246749</v>
          </cell>
        </row>
        <row r="724">
          <cell r="H724">
            <v>-1119.3016541191344</v>
          </cell>
        </row>
        <row r="725">
          <cell r="H725">
            <v>236.5662302712326</v>
          </cell>
        </row>
        <row r="726">
          <cell r="H726">
            <v>14.421094609984982</v>
          </cell>
        </row>
        <row r="727">
          <cell r="H727">
            <v>7.6563488807668811</v>
          </cell>
        </row>
        <row r="728">
          <cell r="H728">
            <v>28.028954587241962</v>
          </cell>
        </row>
        <row r="729">
          <cell r="H729">
            <v>63.911568385655329</v>
          </cell>
        </row>
        <row r="730">
          <cell r="H730">
            <v>19.891848271890005</v>
          </cell>
        </row>
        <row r="731">
          <cell r="H731">
            <v>14.990876485072084</v>
          </cell>
        </row>
        <row r="732">
          <cell r="H732">
            <v>200.12175025312121</v>
          </cell>
        </row>
        <row r="733">
          <cell r="H733">
            <v>74.649719956023077</v>
          </cell>
        </row>
        <row r="734">
          <cell r="H734">
            <v>0</v>
          </cell>
        </row>
        <row r="735">
          <cell r="H735">
            <v>0</v>
          </cell>
        </row>
        <row r="736">
          <cell r="H736">
            <v>0</v>
          </cell>
        </row>
        <row r="737">
          <cell r="H737">
            <v>0</v>
          </cell>
        </row>
        <row r="738">
          <cell r="H738">
            <v>0</v>
          </cell>
        </row>
        <row r="739">
          <cell r="H739">
            <v>0</v>
          </cell>
        </row>
        <row r="740">
          <cell r="H740">
            <v>0</v>
          </cell>
        </row>
        <row r="741">
          <cell r="H741">
            <v>0</v>
          </cell>
        </row>
        <row r="742">
          <cell r="H742">
            <v>0</v>
          </cell>
        </row>
        <row r="743">
          <cell r="H743">
            <v>0</v>
          </cell>
        </row>
        <row r="744">
          <cell r="H744">
            <v>0</v>
          </cell>
        </row>
        <row r="745">
          <cell r="H745">
            <v>0</v>
          </cell>
        </row>
        <row r="746">
          <cell r="H746">
            <v>0</v>
          </cell>
        </row>
        <row r="747">
          <cell r="H747">
            <v>0</v>
          </cell>
        </row>
        <row r="748">
          <cell r="H748">
            <v>0</v>
          </cell>
        </row>
        <row r="749">
          <cell r="H749">
            <v>0</v>
          </cell>
        </row>
        <row r="750">
          <cell r="H750">
            <v>0</v>
          </cell>
        </row>
        <row r="751">
          <cell r="H751">
            <v>0</v>
          </cell>
        </row>
        <row r="752">
          <cell r="H752">
            <v>0</v>
          </cell>
        </row>
        <row r="753">
          <cell r="H753">
            <v>0</v>
          </cell>
        </row>
        <row r="754">
          <cell r="H754">
            <v>0</v>
          </cell>
        </row>
        <row r="755">
          <cell r="H755">
            <v>0</v>
          </cell>
        </row>
        <row r="756">
          <cell r="H756">
            <v>0</v>
          </cell>
        </row>
        <row r="757">
          <cell r="H757">
            <v>0</v>
          </cell>
        </row>
        <row r="758">
          <cell r="H758">
            <v>0</v>
          </cell>
        </row>
        <row r="759">
          <cell r="H759">
            <v>0</v>
          </cell>
        </row>
        <row r="760">
          <cell r="H760">
            <v>0</v>
          </cell>
        </row>
        <row r="761">
          <cell r="H761">
            <v>0</v>
          </cell>
        </row>
        <row r="762">
          <cell r="H762">
            <v>0</v>
          </cell>
        </row>
        <row r="763">
          <cell r="H763">
            <v>0</v>
          </cell>
        </row>
        <row r="764">
          <cell r="H764">
            <v>0</v>
          </cell>
        </row>
        <row r="765">
          <cell r="H765">
            <v>0</v>
          </cell>
        </row>
        <row r="766">
          <cell r="H766">
            <v>0</v>
          </cell>
        </row>
        <row r="767">
          <cell r="H767">
            <v>16.520945161629651</v>
          </cell>
        </row>
      </sheetData>
      <sheetData sheetId="10" refreshError="1"/>
      <sheetData sheetId="11">
        <row r="8">
          <cell r="H8">
            <v>158.66326960081375</v>
          </cell>
        </row>
        <row r="9">
          <cell r="H9">
            <v>1046.7491563823774</v>
          </cell>
        </row>
        <row r="10">
          <cell r="H10">
            <v>1052.8652795791052</v>
          </cell>
        </row>
        <row r="11">
          <cell r="H11">
            <v>164.5399679222987</v>
          </cell>
        </row>
        <row r="12">
          <cell r="H12">
            <v>1003.5365113089613</v>
          </cell>
        </row>
        <row r="13">
          <cell r="H13">
            <v>57.931238551916294</v>
          </cell>
        </row>
        <row r="14">
          <cell r="H14">
            <v>-466.34188130260327</v>
          </cell>
        </row>
        <row r="15">
          <cell r="H15">
            <v>2.0715172985634411</v>
          </cell>
        </row>
        <row r="16">
          <cell r="H16">
            <v>7.8422123459752013</v>
          </cell>
        </row>
        <row r="17">
          <cell r="H17">
            <v>6.7738110526018165</v>
          </cell>
        </row>
        <row r="18">
          <cell r="H18">
            <v>20.164313440025296</v>
          </cell>
        </row>
        <row r="19">
          <cell r="H19">
            <v>53.744380406472914</v>
          </cell>
        </row>
        <row r="20">
          <cell r="H20">
            <v>28.728338926588886</v>
          </cell>
        </row>
        <row r="21">
          <cell r="H21">
            <v>22.932227909965636</v>
          </cell>
        </row>
        <row r="22">
          <cell r="H22">
            <v>167.58668018886527</v>
          </cell>
        </row>
        <row r="23">
          <cell r="H23">
            <v>61.312549474483234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2.7222213022062203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Inflation"/>
      <sheetName val="General"/>
      <sheetName val="Forecast_Capex_Input"/>
      <sheetName val="Overheads"/>
      <sheetName val="Contin_Proj_Input"/>
      <sheetName val="Current_Period_Capex_Input"/>
      <sheetName val="Capex_Forecast"/>
      <sheetName val="Capex_Outputs"/>
      <sheetName val="RIN_Outputs"/>
      <sheetName val="Project_Outputs"/>
      <sheetName val="PTRM_Outputs"/>
      <sheetName val="LookupTab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H11" t="str">
            <v>Nominal</v>
          </cell>
        </row>
        <row r="43">
          <cell r="H43" t="str">
            <v>Mid Period</v>
          </cell>
          <cell r="I43">
            <v>0.5</v>
          </cell>
        </row>
        <row r="44">
          <cell r="H44" t="str">
            <v>End Period</v>
          </cell>
          <cell r="I44">
            <v>1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AER draft decision amendments"/>
      <sheetName val="Input | General"/>
      <sheetName val="Input | Inflation and Disc Rate"/>
      <sheetName val="Input | Reported Capex"/>
      <sheetName val="Calc | CESS Revenue Increments"/>
      <sheetName val="Output | Models"/>
      <sheetName val="Lookup |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MS input"/>
      <sheetName val="Issues tracker"/>
      <sheetName val="RFM input"/>
      <sheetName val="Adjustment for previous period"/>
      <sheetName val="RAB roll forward"/>
      <sheetName val="Total RAB roll forward"/>
      <sheetName val="TAB roll forward"/>
      <sheetName val="RAB remaining lives"/>
      <sheetName val="TAB remaining lives"/>
      <sheetName val="PTRM input summary"/>
      <sheetName val="Inputs wor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K7">
            <v>55</v>
          </cell>
        </row>
        <row r="219">
          <cell r="G219">
            <v>104.35216199999999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7">
          <cell r="J7">
            <v>1553.1773728545293</v>
          </cell>
        </row>
      </sheetData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Input | General"/>
      <sheetName val="Input | Inflation and Disc Rate"/>
      <sheetName val="Input | Final year Capex"/>
      <sheetName val="Input | Reported Capex"/>
      <sheetName val="Sheet1"/>
      <sheetName val="Calc | CESS Revenue Increments"/>
      <sheetName val="Output | Models"/>
      <sheetName val="Output | CESS true-up"/>
    </sheetNames>
    <sheetDataSet>
      <sheetData sheetId="0"/>
      <sheetData sheetId="1">
        <row r="20">
          <cell r="D20" t="str">
            <v>2020-21</v>
          </cell>
          <cell r="E20" t="str">
            <v>2021–22</v>
          </cell>
          <cell r="F20" t="str">
            <v>2022–23</v>
          </cell>
          <cell r="G20" t="str">
            <v>2023–24</v>
          </cell>
          <cell r="H20" t="str">
            <v>2024–25</v>
          </cell>
        </row>
        <row r="23">
          <cell r="D23" t="str">
            <v>2025–26</v>
          </cell>
          <cell r="E23" t="str">
            <v>2026–27</v>
          </cell>
          <cell r="F23" t="str">
            <v>2027–28</v>
          </cell>
          <cell r="G23" t="str">
            <v>2028–29</v>
          </cell>
          <cell r="H23" t="str">
            <v>2029–30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ebt Raising Costs"/>
      <sheetName val="DMS input"/>
      <sheetName val="Issues tracker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G19">
            <v>3.1014646184694294E-2</v>
          </cell>
          <cell r="H19">
            <v>3.1222393488294919E-2</v>
          </cell>
          <cell r="I19">
            <v>3.1673981432531445E-2</v>
          </cell>
          <cell r="J19">
            <v>3.2474583349917423E-2</v>
          </cell>
          <cell r="K19">
            <v>3.329784033429966E-2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l nominal converter"/>
      <sheetName val="DMSQuarterlyPercentageCPI"/>
      <sheetName val="BusinessesCPISeries"/>
      <sheetName val="DMS Annual Qtr CPI"/>
    </sheetNames>
    <sheetDataSet>
      <sheetData sheetId="0">
        <row r="173">
          <cell r="E173">
            <v>4.0519877675840865E-2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4"/>
  <sheetViews>
    <sheetView workbookViewId="0">
      <selection activeCell="B1" sqref="B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7109375" style="1" customWidth="1"/>
    <col min="6" max="6" width="2.7109375" style="2" customWidth="1"/>
    <col min="7" max="28" width="12.7109375" style="2" hidden="1" customWidth="1"/>
    <col min="29" max="16384" width="9.28515625" style="2" hidden="1"/>
  </cols>
  <sheetData>
    <row r="1" spans="2:13" s="5" customFormat="1" ht="18" customHeight="1">
      <c r="B1" s="3" t="str">
        <f>'Input | General'!$B$1</f>
        <v>Ergon Energy 2020-25 2018-20 True-up - Capital expenditure sharing scheme model</v>
      </c>
      <c r="D1" s="4"/>
      <c r="E1" s="4"/>
    </row>
    <row r="2" spans="2:13" ht="18" customHeight="1">
      <c r="B2" s="33" t="s">
        <v>29</v>
      </c>
    </row>
    <row r="3" spans="2:13" ht="3" customHeight="1">
      <c r="C3" s="2"/>
    </row>
    <row r="4" spans="2:13" s="8" customFormat="1" ht="12.75" customHeight="1">
      <c r="C4" s="29" t="s">
        <v>30</v>
      </c>
      <c r="D4" s="7"/>
      <c r="E4" s="7"/>
    </row>
    <row r="5" spans="2:13" ht="11.25" customHeight="1"/>
    <row r="6" spans="2:13" ht="11.25" customHeight="1">
      <c r="C6" s="31" t="s">
        <v>31</v>
      </c>
      <c r="D6" s="31" t="s">
        <v>32</v>
      </c>
      <c r="E6" s="31"/>
    </row>
    <row r="7" spans="2:13" ht="11.25" customHeight="1">
      <c r="C7" s="108" t="s">
        <v>34</v>
      </c>
      <c r="D7" s="32" t="s">
        <v>45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8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8" t="s">
        <v>54</v>
      </c>
      <c r="D9" s="32" t="s">
        <v>37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8" t="s">
        <v>57</v>
      </c>
      <c r="D10" s="32" t="s">
        <v>38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8" t="s">
        <v>80</v>
      </c>
      <c r="D11" s="32" t="s">
        <v>53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8" t="s">
        <v>81</v>
      </c>
      <c r="D12" s="32" t="s">
        <v>58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33</v>
      </c>
      <c r="D14" s="7"/>
      <c r="E14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Index!A1" display="Output | Models" xr:uid="{00000000-0004-0000-0000-000004000000}"/>
    <hyperlink ref="C12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19F5-6D14-42FD-8682-B7FF157EBE6A}">
  <sheetPr>
    <tabColor rgb="FF8DB4E2"/>
  </sheetPr>
  <dimension ref="A1:S37"/>
  <sheetViews>
    <sheetView workbookViewId="0">
      <selection activeCell="M7" sqref="M7"/>
    </sheetView>
  </sheetViews>
  <sheetFormatPr defaultColWidth="0" defaultRowHeight="15" zeroHeight="1"/>
  <cols>
    <col min="1" max="1" width="2.7109375" customWidth="1"/>
    <col min="2" max="2" width="1.5703125" customWidth="1"/>
    <col min="3" max="3" width="40.7109375" customWidth="1"/>
    <col min="4" max="4" width="40.28515625" customWidth="1"/>
    <col min="5" max="5" width="9.5703125" customWidth="1"/>
    <col min="6" max="7" width="9.140625" customWidth="1"/>
    <col min="8" max="8" width="11.28515625" customWidth="1"/>
    <col min="9" max="11" width="9.140625" customWidth="1"/>
    <col min="12" max="12" width="10.42578125" customWidth="1"/>
    <col min="13" max="19" width="9.140625" customWidth="1"/>
    <col min="20" max="16384" width="9.140625" hidden="1"/>
  </cols>
  <sheetData>
    <row r="1" spans="1:19" ht="15.75">
      <c r="A1" s="79"/>
      <c r="B1" s="12" t="s">
        <v>123</v>
      </c>
      <c r="C1" s="79"/>
      <c r="D1" s="12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202" t="s">
        <v>46</v>
      </c>
      <c r="Q1" s="203" t="s">
        <v>47</v>
      </c>
      <c r="R1" s="204" t="s">
        <v>35</v>
      </c>
      <c r="S1" s="235" t="s">
        <v>128</v>
      </c>
    </row>
    <row r="2" spans="1:19" ht="15.75">
      <c r="A2" s="79"/>
      <c r="B2" s="79"/>
      <c r="C2" s="79"/>
      <c r="D2" s="79"/>
      <c r="E2" s="12"/>
      <c r="F2" s="12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>
      <c r="A3" s="29"/>
      <c r="B3" s="29" t="s">
        <v>124</v>
      </c>
      <c r="C3" s="8"/>
      <c r="D3" s="29"/>
      <c r="E3" s="8"/>
      <c r="F3" s="8"/>
      <c r="G3" s="8"/>
      <c r="H3" s="8"/>
      <c r="I3" s="8"/>
      <c r="J3" s="8"/>
      <c r="K3" s="8"/>
      <c r="L3" s="8"/>
      <c r="M3" s="8"/>
      <c r="N3" s="23"/>
      <c r="O3" s="23"/>
      <c r="P3" s="23"/>
      <c r="Q3" s="23"/>
      <c r="R3" s="23"/>
      <c r="S3" s="23"/>
    </row>
    <row r="4" spans="1:19">
      <c r="A4" s="79"/>
      <c r="B4" s="79"/>
      <c r="C4" s="207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19">
      <c r="A5" s="79"/>
      <c r="B5" s="79"/>
      <c r="C5" s="79"/>
      <c r="D5" s="188" t="s">
        <v>6</v>
      </c>
      <c r="E5" s="188" t="s">
        <v>51</v>
      </c>
      <c r="F5" s="188" t="s">
        <v>4</v>
      </c>
      <c r="G5" s="208"/>
      <c r="H5" s="209" t="str">
        <f>'[6]Input | General'!D20</f>
        <v>2020-21</v>
      </c>
      <c r="I5" s="209" t="str">
        <f>'[6]Input | General'!E20</f>
        <v>2021–22</v>
      </c>
      <c r="J5" s="209" t="str">
        <f>'[6]Input | General'!F20</f>
        <v>2022–23</v>
      </c>
      <c r="K5" s="209" t="str">
        <f>'[6]Input | General'!G20</f>
        <v>2023–24</v>
      </c>
      <c r="L5" s="209" t="str">
        <f>'[6]Input | General'!H20</f>
        <v>2024–25</v>
      </c>
      <c r="M5" s="209" t="str">
        <f>'[6]Input | General'!D23</f>
        <v>2025–26</v>
      </c>
      <c r="N5" s="209" t="str">
        <f>'[6]Input | General'!E23</f>
        <v>2026–27</v>
      </c>
      <c r="O5" s="209" t="str">
        <f>'[6]Input | General'!F23</f>
        <v>2027–28</v>
      </c>
      <c r="P5" s="209" t="str">
        <f>'[6]Input | General'!G23</f>
        <v>2028–29</v>
      </c>
      <c r="Q5" s="209" t="str">
        <f>'[6]Input | General'!H23</f>
        <v>2029–30</v>
      </c>
      <c r="R5" s="79"/>
      <c r="S5" s="79"/>
    </row>
    <row r="6" spans="1:19">
      <c r="A6" s="79"/>
      <c r="B6" s="79"/>
      <c r="C6" s="210" t="s">
        <v>112</v>
      </c>
      <c r="D6" s="241" t="s">
        <v>134</v>
      </c>
      <c r="E6" s="78" t="s">
        <v>50</v>
      </c>
      <c r="F6" s="79"/>
      <c r="G6" s="79"/>
      <c r="H6" s="232">
        <v>2.3998445239976629E-2</v>
      </c>
      <c r="I6" s="242">
        <v>2.2429515237719189E-2</v>
      </c>
      <c r="J6" s="232">
        <v>2.1803719524386755E-2</v>
      </c>
      <c r="K6" s="242">
        <v>2.2573324923264249E-2</v>
      </c>
      <c r="L6" s="232">
        <v>2.3056871865892781E-2</v>
      </c>
      <c r="M6" s="198"/>
      <c r="N6" s="198"/>
      <c r="O6" s="198"/>
      <c r="P6" s="198"/>
      <c r="Q6" s="198"/>
      <c r="R6" s="79"/>
      <c r="S6" s="79"/>
    </row>
    <row r="7" spans="1:19">
      <c r="A7" s="79"/>
      <c r="B7" s="79"/>
      <c r="C7" s="210" t="s">
        <v>113</v>
      </c>
      <c r="D7" s="241" t="str">
        <f>'Input | General'!D6&amp;" 2025–30 PTRM"</f>
        <v>Ergon Energy 2025–30 PTRM</v>
      </c>
      <c r="E7" s="78" t="s">
        <v>50</v>
      </c>
      <c r="F7" s="79"/>
      <c r="G7" s="79"/>
      <c r="H7" s="198"/>
      <c r="I7" s="198"/>
      <c r="J7" s="198"/>
      <c r="K7" s="198"/>
      <c r="L7" s="198"/>
      <c r="M7" s="242">
        <f>[7]WACC!G19</f>
        <v>3.1014646184694294E-2</v>
      </c>
      <c r="N7" s="242">
        <f>[7]WACC!H19</f>
        <v>3.1222393488294919E-2</v>
      </c>
      <c r="O7" s="242">
        <f>[7]WACC!I19</f>
        <v>3.1673981432531445E-2</v>
      </c>
      <c r="P7" s="242">
        <f>[7]WACC!J19</f>
        <v>3.2474583349917423E-2</v>
      </c>
      <c r="Q7" s="242">
        <f>[7]WACC!K19</f>
        <v>3.329784033429966E-2</v>
      </c>
      <c r="R7" s="79"/>
      <c r="S7" s="79"/>
    </row>
    <row r="8" spans="1:19">
      <c r="A8" s="79"/>
      <c r="B8" s="79"/>
      <c r="C8" s="210" t="s">
        <v>114</v>
      </c>
      <c r="D8" s="241" t="s">
        <v>135</v>
      </c>
      <c r="E8" s="78" t="s">
        <v>50</v>
      </c>
      <c r="F8" s="79"/>
      <c r="G8" s="212"/>
      <c r="H8" s="232">
        <v>8.6058519793459354E-3</v>
      </c>
      <c r="I8" s="232">
        <v>3.4982935153583528E-2</v>
      </c>
      <c r="J8" s="232">
        <v>7.8318219291014124E-2</v>
      </c>
      <c r="K8" s="242">
        <f>'[8]Real nominal converter'!$E$173</f>
        <v>4.0519877675840865E-2</v>
      </c>
      <c r="L8" s="242">
        <v>0.03</v>
      </c>
      <c r="M8" s="199"/>
      <c r="N8" s="199"/>
      <c r="O8" s="199"/>
      <c r="P8" s="199"/>
      <c r="Q8" s="199"/>
      <c r="R8" s="79"/>
      <c r="S8" s="79"/>
    </row>
    <row r="9" spans="1:19">
      <c r="A9" s="79"/>
      <c r="B9" s="79"/>
      <c r="C9" s="210" t="s">
        <v>115</v>
      </c>
      <c r="D9" s="210"/>
      <c r="E9" s="78" t="s">
        <v>29</v>
      </c>
      <c r="F9" s="79"/>
      <c r="G9" s="213"/>
      <c r="H9" s="200">
        <f>(1+H8)</f>
        <v>1.0086058519793459</v>
      </c>
      <c r="I9" s="200">
        <f>H9*(1+I8)</f>
        <v>1.0438898450946643</v>
      </c>
      <c r="J9" s="200">
        <f t="shared" ref="J9:L9" si="0">I9*(1+J8)</f>
        <v>1.1256454388984509</v>
      </c>
      <c r="K9" s="200">
        <f t="shared" si="0"/>
        <v>1.1712564543889843</v>
      </c>
      <c r="L9" s="200">
        <f t="shared" si="0"/>
        <v>1.2063941480206539</v>
      </c>
      <c r="M9" s="198"/>
      <c r="N9" s="198"/>
      <c r="O9" s="198"/>
      <c r="P9" s="198"/>
      <c r="Q9" s="198"/>
      <c r="R9" s="79"/>
      <c r="S9" s="79"/>
    </row>
    <row r="10" spans="1:19">
      <c r="A10" s="79"/>
      <c r="B10" s="79"/>
      <c r="C10" s="210" t="s">
        <v>116</v>
      </c>
      <c r="D10" s="210"/>
      <c r="E10" s="78" t="s">
        <v>50</v>
      </c>
      <c r="F10" s="79"/>
      <c r="G10" s="79"/>
      <c r="H10" s="201">
        <f>(1+H6)*(1+H8)-1</f>
        <v>3.2810824286792162E-2</v>
      </c>
      <c r="I10" s="201">
        <f t="shared" ref="I10:L10" si="1">(1+I6)*(1+I8)-1</f>
        <v>5.8197100668390123E-2</v>
      </c>
      <c r="J10" s="201">
        <f t="shared" si="1"/>
        <v>0.10182956730247161</v>
      </c>
      <c r="K10" s="201">
        <f t="shared" si="1"/>
        <v>6.4007870963732838E-2</v>
      </c>
      <c r="L10" s="201">
        <f t="shared" si="1"/>
        <v>5.3748578021869609E-2</v>
      </c>
      <c r="M10" s="198"/>
      <c r="N10" s="198"/>
      <c r="O10" s="198"/>
      <c r="P10" s="198"/>
      <c r="Q10" s="198"/>
      <c r="R10" s="79"/>
      <c r="S10" s="79"/>
    </row>
    <row r="11" spans="1:19">
      <c r="A11" s="79"/>
      <c r="B11" s="79"/>
      <c r="C11" s="79"/>
      <c r="D11" s="79"/>
      <c r="E11" s="210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spans="1:19">
      <c r="A12" s="79"/>
      <c r="B12" s="79"/>
      <c r="C12" s="210" t="s">
        <v>84</v>
      </c>
      <c r="D12" s="243" t="s">
        <v>136</v>
      </c>
      <c r="E12" s="78" t="s">
        <v>49</v>
      </c>
      <c r="F12" s="78" t="s">
        <v>101</v>
      </c>
      <c r="G12" s="79"/>
      <c r="H12" s="214">
        <f>'Calc | CESS Revenue Increments'!D42</f>
        <v>9.6868986445509719</v>
      </c>
      <c r="I12" s="214">
        <f>'Calc | CESS Revenue Increments'!E42</f>
        <v>9.6868986445509719</v>
      </c>
      <c r="J12" s="214">
        <f>'Calc | CESS Revenue Increments'!F42</f>
        <v>9.6868986445509719</v>
      </c>
      <c r="K12" s="214">
        <f>'Calc | CESS Revenue Increments'!G42</f>
        <v>9.6868986445509719</v>
      </c>
      <c r="L12" s="214">
        <f>'Calc | CESS Revenue Increments'!H42</f>
        <v>9.6868986445509719</v>
      </c>
      <c r="M12" s="79"/>
      <c r="N12" s="79"/>
      <c r="O12" s="79"/>
      <c r="P12" s="79"/>
      <c r="Q12" s="79"/>
      <c r="R12" s="79"/>
      <c r="S12" s="79"/>
    </row>
    <row r="13" spans="1:19">
      <c r="A13" s="79"/>
      <c r="B13" s="79"/>
      <c r="C13" s="210" t="s">
        <v>84</v>
      </c>
      <c r="D13" s="243" t="s">
        <v>137</v>
      </c>
      <c r="E13" s="78" t="s">
        <v>49</v>
      </c>
      <c r="F13" s="78" t="s">
        <v>101</v>
      </c>
      <c r="G13" s="79"/>
      <c r="H13" s="214">
        <f>'Calc | CESS Revenue Increments'!J42</f>
        <v>6.3552697037046322</v>
      </c>
      <c r="I13" s="214">
        <f>'Calc | CESS Revenue Increments'!K42</f>
        <v>6.3552697037046322</v>
      </c>
      <c r="J13" s="214">
        <f>'Calc | CESS Revenue Increments'!L42</f>
        <v>6.3552697037046322</v>
      </c>
      <c r="K13" s="214">
        <f>'Calc | CESS Revenue Increments'!M42</f>
        <v>6.3552697037046322</v>
      </c>
      <c r="L13" s="214">
        <f>'Calc | CESS Revenue Increments'!N42</f>
        <v>6.3552697037046322</v>
      </c>
      <c r="M13" s="79"/>
      <c r="N13" s="79"/>
      <c r="O13" s="79"/>
      <c r="P13" s="79"/>
      <c r="Q13" s="79"/>
      <c r="R13" s="79"/>
      <c r="S13" s="79"/>
    </row>
    <row r="14" spans="1:19">
      <c r="A14" s="79"/>
      <c r="B14" s="79"/>
      <c r="C14" s="210"/>
      <c r="D14" s="210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</row>
    <row r="15" spans="1:19">
      <c r="A15" s="79"/>
      <c r="B15" s="79"/>
      <c r="C15" s="210" t="s">
        <v>117</v>
      </c>
      <c r="D15" s="78"/>
      <c r="E15" s="78" t="s">
        <v>49</v>
      </c>
      <c r="F15" s="78" t="s">
        <v>101</v>
      </c>
      <c r="G15" s="79"/>
      <c r="H15" s="214">
        <f>H13-H12</f>
        <v>-3.3316289408463398</v>
      </c>
      <c r="I15" s="214">
        <f t="shared" ref="I15:L15" si="2">I13-I12</f>
        <v>-3.3316289408463398</v>
      </c>
      <c r="J15" s="214">
        <f t="shared" si="2"/>
        <v>-3.3316289408463398</v>
      </c>
      <c r="K15" s="214">
        <f t="shared" si="2"/>
        <v>-3.3316289408463398</v>
      </c>
      <c r="L15" s="214">
        <f t="shared" si="2"/>
        <v>-3.3316289408463398</v>
      </c>
      <c r="M15" s="79"/>
      <c r="N15" s="79"/>
      <c r="O15" s="79"/>
      <c r="P15" s="79"/>
      <c r="Q15" s="79"/>
      <c r="R15" s="79"/>
      <c r="S15" s="79"/>
    </row>
    <row r="16" spans="1:19">
      <c r="A16" s="79"/>
      <c r="B16" s="79"/>
      <c r="C16" s="210" t="s">
        <v>117</v>
      </c>
      <c r="D16" s="78"/>
      <c r="E16" s="215" t="s">
        <v>49</v>
      </c>
      <c r="F16" s="215" t="s">
        <v>52</v>
      </c>
      <c r="G16" s="79"/>
      <c r="H16" s="214">
        <f>H15*H9</f>
        <v>-3.3603004463613684</v>
      </c>
      <c r="I16" s="214">
        <f>I15*I9</f>
        <v>-3.4778536189729863</v>
      </c>
      <c r="J16" s="214">
        <f>J15*J9</f>
        <v>-3.7502329213657593</v>
      </c>
      <c r="K16" s="214">
        <f>K15*K9</f>
        <v>-3.9021919005954109</v>
      </c>
      <c r="L16" s="214">
        <f>L15*L9</f>
        <v>-4.0192576576132737</v>
      </c>
      <c r="M16" s="79"/>
      <c r="N16" s="79"/>
      <c r="O16" s="79"/>
      <c r="P16" s="79"/>
      <c r="Q16" s="79"/>
      <c r="R16" s="79"/>
      <c r="S16" s="79"/>
    </row>
    <row r="17" spans="1:19">
      <c r="A17" s="79"/>
      <c r="B17" s="79"/>
      <c r="C17" s="210" t="s">
        <v>71</v>
      </c>
      <c r="D17" s="210"/>
      <c r="E17" s="215"/>
      <c r="F17" s="215"/>
      <c r="G17" s="79"/>
      <c r="H17" s="214"/>
      <c r="I17" s="214">
        <f>$H$16*I$6</f>
        <v>-7.5369910064976897E-2</v>
      </c>
      <c r="J17" s="214">
        <f>$H$16*I$9/$H$9*J$6</f>
        <v>-7.5830144854960438E-2</v>
      </c>
      <c r="K17" s="214">
        <f>$H$16*J$9/$H$9*K$6</f>
        <v>-8.4655226271911771E-2</v>
      </c>
      <c r="L17" s="214">
        <f>$H$16*K$9/$H$9*L$6</f>
        <v>-8.9972338648153002E-2</v>
      </c>
      <c r="M17" s="79"/>
      <c r="N17" s="79"/>
      <c r="O17" s="79"/>
      <c r="P17" s="79"/>
      <c r="Q17" s="79"/>
      <c r="R17" s="79"/>
      <c r="S17" s="79"/>
    </row>
    <row r="18" spans="1:19">
      <c r="A18" s="79"/>
      <c r="B18" s="79"/>
      <c r="C18" s="210" t="s">
        <v>72</v>
      </c>
      <c r="D18" s="210"/>
      <c r="E18" s="215"/>
      <c r="F18" s="215"/>
      <c r="G18" s="79"/>
      <c r="H18" s="214"/>
      <c r="I18" s="214"/>
      <c r="J18" s="214">
        <f>$I$16*J$6</f>
        <v>-7.5830144854960438E-2</v>
      </c>
      <c r="K18" s="214">
        <f>$I$16*J$9/$I$9*K$6</f>
        <v>-8.4655226271911785E-2</v>
      </c>
      <c r="L18" s="214">
        <f>$I$16*K$9/$I$9*L$6</f>
        <v>-8.9972338648153002E-2</v>
      </c>
      <c r="M18" s="79"/>
      <c r="N18" s="79"/>
      <c r="O18" s="79"/>
      <c r="P18" s="79"/>
      <c r="Q18" s="79"/>
      <c r="R18" s="79"/>
      <c r="S18" s="79"/>
    </row>
    <row r="19" spans="1:19">
      <c r="A19" s="79"/>
      <c r="B19" s="79"/>
      <c r="C19" s="210" t="s">
        <v>73</v>
      </c>
      <c r="D19" s="210"/>
      <c r="E19" s="215"/>
      <c r="F19" s="215"/>
      <c r="G19" s="79"/>
      <c r="H19" s="214"/>
      <c r="I19" s="214"/>
      <c r="J19" s="214"/>
      <c r="K19" s="214">
        <f>$J$16*K$6</f>
        <v>-8.4655226271911785E-2</v>
      </c>
      <c r="L19" s="214">
        <f>$J$16*K$9/$J$9*L$6</f>
        <v>-8.9972338648153002E-2</v>
      </c>
      <c r="M19" s="79"/>
      <c r="N19" s="79"/>
      <c r="O19" s="79"/>
      <c r="P19" s="79"/>
      <c r="Q19" s="79"/>
      <c r="R19" s="79"/>
      <c r="S19" s="79"/>
    </row>
    <row r="20" spans="1:19">
      <c r="A20" s="79"/>
      <c r="B20" s="79"/>
      <c r="C20" s="210" t="s">
        <v>74</v>
      </c>
      <c r="D20" s="210"/>
      <c r="E20" s="215"/>
      <c r="F20" s="215"/>
      <c r="G20" s="79"/>
      <c r="H20" s="214"/>
      <c r="I20" s="214"/>
      <c r="J20" s="214"/>
      <c r="K20" s="214"/>
      <c r="L20" s="214">
        <f>$K$16*L$6</f>
        <v>-8.9972338648153002E-2</v>
      </c>
      <c r="M20" s="79"/>
      <c r="N20" s="79"/>
      <c r="O20" s="79"/>
      <c r="P20" s="79"/>
      <c r="Q20" s="79"/>
      <c r="R20" s="79"/>
      <c r="S20" s="79"/>
    </row>
    <row r="21" spans="1:19">
      <c r="A21" s="79"/>
      <c r="B21" s="79"/>
      <c r="C21" s="210" t="s">
        <v>75</v>
      </c>
      <c r="D21" s="210"/>
      <c r="E21" s="215"/>
      <c r="F21" s="215"/>
      <c r="G21" s="79"/>
      <c r="H21" s="211"/>
      <c r="I21" s="211"/>
      <c r="J21" s="211"/>
      <c r="K21" s="211"/>
      <c r="L21" s="211"/>
      <c r="M21" s="79"/>
      <c r="N21" s="79"/>
      <c r="O21" s="79"/>
      <c r="P21" s="79"/>
      <c r="Q21" s="79"/>
      <c r="R21" s="79"/>
      <c r="S21" s="79"/>
    </row>
    <row r="22" spans="1:19">
      <c r="A22" s="79"/>
      <c r="B22" s="79"/>
      <c r="C22" s="210" t="s">
        <v>19</v>
      </c>
      <c r="D22" s="78"/>
      <c r="E22" s="215" t="s">
        <v>49</v>
      </c>
      <c r="F22" s="215"/>
      <c r="G22" s="79"/>
      <c r="H22" s="214">
        <f>SUM(H17:H21)</f>
        <v>0</v>
      </c>
      <c r="I22" s="214">
        <f>SUM(I17:I21)</f>
        <v>-7.5369910064976897E-2</v>
      </c>
      <c r="J22" s="214">
        <f t="shared" ref="J22:L22" si="3">SUM(J17:J21)</f>
        <v>-0.15166028970992088</v>
      </c>
      <c r="K22" s="214">
        <f t="shared" si="3"/>
        <v>-0.25396567881573534</v>
      </c>
      <c r="L22" s="214">
        <f t="shared" si="3"/>
        <v>-0.35988935459261201</v>
      </c>
      <c r="M22" s="79"/>
      <c r="N22" s="79"/>
      <c r="O22" s="79"/>
      <c r="P22" s="79"/>
      <c r="Q22" s="79"/>
      <c r="R22" s="79"/>
      <c r="S22" s="79"/>
    </row>
    <row r="23" spans="1:19">
      <c r="A23" s="79"/>
      <c r="B23" s="79"/>
      <c r="C23" s="210"/>
      <c r="D23" s="210"/>
      <c r="E23" s="215"/>
      <c r="F23" s="215"/>
      <c r="G23" s="79"/>
      <c r="H23" s="211"/>
      <c r="I23" s="211"/>
      <c r="J23" s="211"/>
      <c r="K23" s="211"/>
      <c r="L23" s="211"/>
      <c r="M23" s="79"/>
      <c r="N23" s="79"/>
      <c r="O23" s="79"/>
      <c r="P23" s="79"/>
      <c r="Q23" s="79"/>
      <c r="R23" s="79"/>
      <c r="S23" s="79"/>
    </row>
    <row r="24" spans="1:19">
      <c r="A24" s="79"/>
      <c r="B24" s="79"/>
      <c r="C24" s="210" t="s">
        <v>93</v>
      </c>
      <c r="D24" s="210"/>
      <c r="E24" s="215"/>
      <c r="F24" s="215"/>
      <c r="G24" s="79"/>
      <c r="H24" s="214">
        <f>I24*(1+I10)</f>
        <v>1.3072625862356682</v>
      </c>
      <c r="I24" s="214">
        <f>J24*(1+J10)</f>
        <v>1.2353677641055343</v>
      </c>
      <c r="J24" s="214">
        <f>K24*(1+K10)</f>
        <v>1.1211967810321104</v>
      </c>
      <c r="K24" s="216">
        <f>L24*(1+L10)</f>
        <v>1.0537485780218696</v>
      </c>
      <c r="L24" s="214">
        <v>1</v>
      </c>
      <c r="M24" s="79"/>
      <c r="N24" s="79"/>
      <c r="O24" s="79"/>
      <c r="P24" s="79"/>
      <c r="Q24" s="79"/>
      <c r="R24" s="79"/>
      <c r="S24" s="79"/>
    </row>
    <row r="25" spans="1:19">
      <c r="A25" s="79"/>
      <c r="B25" s="79"/>
      <c r="C25" s="210" t="s">
        <v>118</v>
      </c>
      <c r="D25" s="210"/>
      <c r="E25" s="215" t="s">
        <v>49</v>
      </c>
      <c r="F25" s="215"/>
      <c r="G25" s="79"/>
      <c r="H25" s="214">
        <f>H16*H24</f>
        <v>-4.3927950520392329</v>
      </c>
      <c r="I25" s="214">
        <f t="shared" ref="I25:L25" si="4">I16*I24</f>
        <v>-4.2964282491569987</v>
      </c>
      <c r="J25" s="214">
        <f t="shared" si="4"/>
        <v>-4.2047490795559366</v>
      </c>
      <c r="K25" s="214">
        <f t="shared" si="4"/>
        <v>-4.1119291664208708</v>
      </c>
      <c r="L25" s="214">
        <f t="shared" si="4"/>
        <v>-4.0192576576132737</v>
      </c>
      <c r="M25" s="79"/>
      <c r="N25" s="79"/>
      <c r="O25" s="79"/>
      <c r="P25" s="79"/>
      <c r="Q25" s="79"/>
      <c r="R25" s="79"/>
      <c r="S25" s="79"/>
    </row>
    <row r="26" spans="1:19">
      <c r="A26" s="79"/>
      <c r="B26" s="79"/>
      <c r="C26" s="210" t="s">
        <v>21</v>
      </c>
      <c r="D26" s="210"/>
      <c r="E26" s="215" t="s">
        <v>49</v>
      </c>
      <c r="F26" s="215"/>
      <c r="G26" s="79"/>
      <c r="H26" s="217">
        <f>H22*H24</f>
        <v>0</v>
      </c>
      <c r="I26" s="217">
        <f t="shared" ref="I26:L26" si="5">I22*I24</f>
        <v>-9.3109557277805718E-2</v>
      </c>
      <c r="J26" s="217">
        <f t="shared" si="5"/>
        <v>-0.17004102863316059</v>
      </c>
      <c r="K26" s="217">
        <f t="shared" si="5"/>
        <v>-0.26761597291843997</v>
      </c>
      <c r="L26" s="217">
        <f t="shared" si="5"/>
        <v>-0.35988935459261201</v>
      </c>
      <c r="M26" s="79"/>
      <c r="N26" s="79"/>
      <c r="O26" s="79"/>
      <c r="P26" s="79"/>
      <c r="Q26" s="79"/>
      <c r="R26" s="79"/>
      <c r="S26" s="79"/>
    </row>
    <row r="27" spans="1:19">
      <c r="A27" s="79"/>
      <c r="B27" s="79"/>
      <c r="C27" s="195" t="s">
        <v>119</v>
      </c>
      <c r="D27" s="218"/>
      <c r="E27" s="219" t="s">
        <v>49</v>
      </c>
      <c r="F27" s="205"/>
      <c r="G27" s="79"/>
      <c r="H27" s="195"/>
      <c r="I27" s="195"/>
      <c r="J27" s="195"/>
      <c r="K27" s="206"/>
      <c r="L27" s="223">
        <f>SUM(H25:L26)</f>
        <v>-21.915815118208329</v>
      </c>
      <c r="M27" s="79"/>
      <c r="N27" s="220"/>
      <c r="O27" s="79"/>
      <c r="P27" s="79"/>
      <c r="Q27" s="79"/>
      <c r="R27" s="79"/>
      <c r="S27" s="79"/>
    </row>
    <row r="28" spans="1:19">
      <c r="A28" s="79"/>
      <c r="B28" s="79"/>
      <c r="C28" s="79"/>
      <c r="D28" s="79"/>
      <c r="E28" s="79"/>
      <c r="F28" s="79"/>
      <c r="G28" s="79"/>
      <c r="H28" s="221"/>
      <c r="I28" s="221"/>
      <c r="J28" s="221"/>
      <c r="K28" s="221"/>
      <c r="L28" s="79"/>
      <c r="M28" s="79"/>
      <c r="N28" s="79"/>
      <c r="O28" s="79"/>
      <c r="P28" s="79"/>
      <c r="Q28" s="79"/>
      <c r="R28" s="79"/>
      <c r="S28" s="79"/>
    </row>
    <row r="29" spans="1:19">
      <c r="A29" s="29"/>
      <c r="B29" s="224"/>
      <c r="C29" s="225" t="s">
        <v>55</v>
      </c>
      <c r="D29" s="226"/>
      <c r="E29" s="226"/>
      <c r="F29" s="227" t="s">
        <v>56</v>
      </c>
      <c r="G29" s="227"/>
      <c r="H29" s="224"/>
      <c r="I29" s="224"/>
      <c r="J29" s="224"/>
      <c r="K29" s="228"/>
      <c r="L29" s="228"/>
      <c r="M29" s="228"/>
      <c r="N29" s="226"/>
      <c r="O29" s="229"/>
      <c r="P29" s="226"/>
      <c r="Q29" s="226"/>
      <c r="R29" s="226"/>
      <c r="S29" s="62"/>
    </row>
    <row r="30" spans="1:19">
      <c r="A30" s="79"/>
      <c r="B30" s="79"/>
      <c r="C30" s="222" t="s">
        <v>122</v>
      </c>
      <c r="D30" s="79"/>
      <c r="E30" s="188" t="s">
        <v>51</v>
      </c>
      <c r="F30" s="188" t="s">
        <v>4</v>
      </c>
      <c r="G30" s="79"/>
      <c r="H30" s="209" t="s">
        <v>107</v>
      </c>
      <c r="I30" s="209" t="s">
        <v>108</v>
      </c>
      <c r="J30" s="209" t="s">
        <v>109</v>
      </c>
      <c r="K30" s="209" t="s">
        <v>110</v>
      </c>
      <c r="L30" s="209" t="s">
        <v>111</v>
      </c>
      <c r="M30" s="209" t="s">
        <v>87</v>
      </c>
      <c r="N30" s="220"/>
      <c r="O30" s="79"/>
      <c r="P30" s="79"/>
      <c r="Q30" s="79"/>
      <c r="R30" s="79"/>
      <c r="S30" s="79"/>
    </row>
    <row r="31" spans="1:19">
      <c r="A31" s="79"/>
      <c r="B31" s="79"/>
      <c r="C31" s="210" t="s">
        <v>99</v>
      </c>
      <c r="D31" s="79"/>
      <c r="E31" s="78"/>
      <c r="F31" s="78"/>
      <c r="G31" s="79"/>
      <c r="H31" s="214">
        <f>1/(1+M7)</f>
        <v>0.96991832628230346</v>
      </c>
      <c r="I31" s="214">
        <f>H31/(1+N7)</f>
        <v>0.94055204038129991</v>
      </c>
      <c r="J31" s="214">
        <f>I31/(1+O7)</f>
        <v>0.91167564299265913</v>
      </c>
      <c r="K31" s="214">
        <f>J31/(1+P7)</f>
        <v>0.88300056746644573</v>
      </c>
      <c r="L31" s="214">
        <f>K31/(1+Q7)</f>
        <v>0.85454603019471265</v>
      </c>
      <c r="M31" s="79"/>
      <c r="N31" s="79"/>
      <c r="O31" s="79"/>
      <c r="P31" s="79"/>
      <c r="Q31" s="79"/>
      <c r="R31" s="79"/>
      <c r="S31" s="79"/>
    </row>
    <row r="32" spans="1:19">
      <c r="A32" s="79"/>
      <c r="B32" s="79"/>
      <c r="C32" s="210"/>
      <c r="D32" s="79"/>
      <c r="E32" s="78"/>
      <c r="F32" s="78"/>
      <c r="G32" s="79"/>
      <c r="H32" s="230"/>
      <c r="I32" s="230"/>
      <c r="J32" s="230"/>
      <c r="K32" s="230"/>
      <c r="L32" s="230"/>
      <c r="M32" s="79"/>
      <c r="N32" s="79"/>
      <c r="O32" s="79"/>
      <c r="P32" s="79"/>
      <c r="Q32" s="79"/>
      <c r="R32" s="79"/>
      <c r="S32" s="79"/>
    </row>
    <row r="33" spans="1:19">
      <c r="A33" s="79"/>
      <c r="B33" s="79"/>
      <c r="C33" s="241" t="s">
        <v>138</v>
      </c>
      <c r="D33" s="79"/>
      <c r="E33" s="78" t="s">
        <v>49</v>
      </c>
      <c r="F33" s="78" t="s">
        <v>107</v>
      </c>
      <c r="G33" s="79"/>
      <c r="H33" s="206">
        <f>$L$27/SUM($H$31:$L$31)</f>
        <v>-4.8064238109028885</v>
      </c>
      <c r="I33" s="206">
        <f t="shared" ref="I33:L33" si="6">$L$27/SUM($H$31:$L$31)</f>
        <v>-4.8064238109028885</v>
      </c>
      <c r="J33" s="206">
        <f t="shared" si="6"/>
        <v>-4.8064238109028885</v>
      </c>
      <c r="K33" s="206">
        <f t="shared" si="6"/>
        <v>-4.8064238109028885</v>
      </c>
      <c r="L33" s="206">
        <f t="shared" si="6"/>
        <v>-4.8064238109028885</v>
      </c>
      <c r="M33" s="206">
        <f>SUM(H33:L33)</f>
        <v>-24.032119054514443</v>
      </c>
      <c r="N33" s="79"/>
      <c r="O33" s="79"/>
      <c r="P33" s="79"/>
      <c r="Q33" s="79"/>
      <c r="R33" s="79"/>
      <c r="S33" s="79"/>
    </row>
    <row r="34" spans="1:19">
      <c r="A34" s="79"/>
      <c r="B34" s="79"/>
      <c r="C34" s="210"/>
      <c r="D34" s="79"/>
      <c r="E34" s="79"/>
      <c r="F34" s="79"/>
      <c r="G34" s="79"/>
      <c r="H34" s="221"/>
      <c r="I34" s="221"/>
      <c r="J34" s="221"/>
      <c r="K34" s="221"/>
      <c r="L34" s="221"/>
      <c r="M34" s="221"/>
      <c r="N34" s="79"/>
      <c r="O34" s="79"/>
      <c r="P34" s="79"/>
      <c r="Q34" s="79"/>
      <c r="R34" s="79"/>
      <c r="S34" s="79"/>
    </row>
    <row r="35" spans="1:19">
      <c r="A35" s="79"/>
      <c r="B35" s="79"/>
      <c r="C35" s="210"/>
      <c r="D35" s="79"/>
      <c r="E35" s="79"/>
      <c r="F35" s="79"/>
      <c r="G35" s="79"/>
      <c r="H35" s="221"/>
      <c r="I35" s="221"/>
      <c r="J35" s="221"/>
      <c r="K35" s="221"/>
      <c r="L35" s="221"/>
      <c r="M35" s="221"/>
      <c r="N35" s="79"/>
      <c r="O35" s="79"/>
      <c r="P35" s="79"/>
      <c r="Q35" s="79"/>
      <c r="R35" s="79"/>
      <c r="S35" s="79"/>
    </row>
    <row r="36" spans="1:19">
      <c r="A36" s="79"/>
      <c r="B36" s="79"/>
      <c r="C36" s="79"/>
      <c r="D36" s="79"/>
      <c r="E36" s="79"/>
      <c r="F36" s="79"/>
      <c r="G36" s="79"/>
      <c r="H36" s="79"/>
      <c r="I36" s="221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1:19">
      <c r="A37" s="29"/>
      <c r="B37" s="29" t="s">
        <v>33</v>
      </c>
      <c r="C37" s="29"/>
      <c r="D37" s="63"/>
      <c r="E37" s="63"/>
      <c r="F37" s="63"/>
      <c r="G37" s="63"/>
      <c r="H37" s="63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7B245-9104-4C5E-9702-CB51DAD81E08}">
  <sheetPr codeName="Sheet8">
    <tabColor rgb="FF92D050"/>
  </sheetPr>
  <dimension ref="A1:D17"/>
  <sheetViews>
    <sheetView workbookViewId="0">
      <selection activeCell="C16" sqref="C16"/>
    </sheetView>
  </sheetViews>
  <sheetFormatPr defaultRowHeight="12.75"/>
  <cols>
    <col min="1" max="1" width="3" style="250" bestFit="1" customWidth="1"/>
    <col min="2" max="2" width="29.28515625" style="250" bestFit="1" customWidth="1"/>
    <col min="3" max="3" width="20.42578125" style="250" customWidth="1"/>
    <col min="4" max="4" width="82.85546875" style="250" bestFit="1" customWidth="1"/>
    <col min="5" max="16384" width="9.140625" style="250"/>
  </cols>
  <sheetData>
    <row r="1" spans="1:4">
      <c r="A1" s="253" t="s">
        <v>141</v>
      </c>
      <c r="B1" s="253" t="s">
        <v>142</v>
      </c>
      <c r="C1" s="253" t="s">
        <v>143</v>
      </c>
      <c r="D1" s="253" t="s">
        <v>144</v>
      </c>
    </row>
    <row r="2" spans="1:4">
      <c r="A2" s="249">
        <v>1</v>
      </c>
      <c r="B2" s="249" t="s">
        <v>34</v>
      </c>
      <c r="C2" s="251" t="s">
        <v>153</v>
      </c>
      <c r="D2" s="250" t="s">
        <v>154</v>
      </c>
    </row>
    <row r="3" spans="1:4">
      <c r="A3" s="249">
        <v>2</v>
      </c>
      <c r="B3" s="249" t="s">
        <v>34</v>
      </c>
      <c r="C3" s="251" t="s">
        <v>151</v>
      </c>
      <c r="D3" s="250" t="s">
        <v>146</v>
      </c>
    </row>
    <row r="4" spans="1:4">
      <c r="A4" s="249">
        <v>3</v>
      </c>
      <c r="B4" s="249" t="s">
        <v>155</v>
      </c>
      <c r="C4" s="251"/>
      <c r="D4" s="250" t="s">
        <v>161</v>
      </c>
    </row>
    <row r="5" spans="1:4">
      <c r="A5" s="249">
        <v>4</v>
      </c>
      <c r="B5" s="249" t="s">
        <v>147</v>
      </c>
      <c r="C5" s="251" t="s">
        <v>162</v>
      </c>
      <c r="D5" s="250" t="s">
        <v>163</v>
      </c>
    </row>
    <row r="6" spans="1:4">
      <c r="A6" s="249">
        <v>5</v>
      </c>
      <c r="B6" s="249" t="s">
        <v>147</v>
      </c>
      <c r="C6" s="251" t="s">
        <v>158</v>
      </c>
      <c r="D6" s="249" t="s">
        <v>148</v>
      </c>
    </row>
    <row r="7" spans="1:4">
      <c r="A7" s="249">
        <v>6</v>
      </c>
      <c r="B7" s="249" t="s">
        <v>147</v>
      </c>
      <c r="C7" s="251" t="s">
        <v>164</v>
      </c>
      <c r="D7" s="249" t="s">
        <v>165</v>
      </c>
    </row>
    <row r="8" spans="1:4">
      <c r="A8" s="249">
        <v>7</v>
      </c>
      <c r="B8" s="250" t="s">
        <v>54</v>
      </c>
      <c r="C8" s="250" t="s">
        <v>166</v>
      </c>
      <c r="D8" s="250" t="s">
        <v>167</v>
      </c>
    </row>
    <row r="9" spans="1:4">
      <c r="A9" s="249">
        <v>8</v>
      </c>
      <c r="B9" s="250" t="s">
        <v>57</v>
      </c>
      <c r="C9" s="250" t="s">
        <v>159</v>
      </c>
      <c r="D9" s="250" t="s">
        <v>160</v>
      </c>
    </row>
    <row r="10" spans="1:4">
      <c r="A10" s="249">
        <v>9</v>
      </c>
      <c r="B10" s="250" t="s">
        <v>57</v>
      </c>
      <c r="C10" s="250" t="s">
        <v>168</v>
      </c>
      <c r="D10" s="250" t="s">
        <v>169</v>
      </c>
    </row>
    <row r="11" spans="1:4">
      <c r="A11" s="249">
        <v>10</v>
      </c>
      <c r="B11" s="249" t="s">
        <v>174</v>
      </c>
      <c r="D11" s="250" t="s">
        <v>170</v>
      </c>
    </row>
    <row r="12" spans="1:4">
      <c r="A12" s="249">
        <v>11</v>
      </c>
      <c r="B12" s="249" t="s">
        <v>174</v>
      </c>
      <c r="C12" s="250" t="s">
        <v>171</v>
      </c>
      <c r="D12" s="250" t="s">
        <v>172</v>
      </c>
    </row>
    <row r="13" spans="1:4">
      <c r="A13" s="249">
        <v>12</v>
      </c>
      <c r="B13" s="249" t="s">
        <v>174</v>
      </c>
      <c r="C13" s="250" t="s">
        <v>175</v>
      </c>
      <c r="D13" s="250" t="s">
        <v>173</v>
      </c>
    </row>
    <row r="14" spans="1:4">
      <c r="A14" s="249">
        <v>13</v>
      </c>
      <c r="B14" s="249" t="s">
        <v>174</v>
      </c>
      <c r="C14" s="249" t="s">
        <v>176</v>
      </c>
      <c r="D14" s="250" t="s">
        <v>149</v>
      </c>
    </row>
    <row r="15" spans="1:4">
      <c r="A15" s="249">
        <v>14</v>
      </c>
      <c r="B15" s="249" t="s">
        <v>174</v>
      </c>
      <c r="C15" s="249" t="s">
        <v>177</v>
      </c>
      <c r="D15" s="250" t="s">
        <v>150</v>
      </c>
    </row>
    <row r="17" spans="1:4">
      <c r="A17" s="252" t="s">
        <v>145</v>
      </c>
      <c r="B17" s="252"/>
      <c r="C17" s="252"/>
      <c r="D17" s="2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tabSelected="1" workbookViewId="0">
      <selection activeCell="D7" sqref="D7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9.28515625" style="14" customWidth="1"/>
    <col min="11" max="12" width="2.7109375" style="14" customWidth="1"/>
    <col min="13" max="22" width="9.28515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Ergon Energy 2020-25 2018-20 True-up - Capital expenditure sharing scheme model</v>
      </c>
      <c r="F1" s="104"/>
      <c r="G1" s="105" t="s">
        <v>46</v>
      </c>
      <c r="H1" s="156" t="s">
        <v>47</v>
      </c>
      <c r="I1" s="161" t="s">
        <v>35</v>
      </c>
      <c r="M1" s="106"/>
    </row>
    <row r="2" spans="1:13" s="11" customFormat="1" ht="18" customHeight="1">
      <c r="B2" s="13" t="s">
        <v>34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34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7" t="s">
        <v>129</v>
      </c>
      <c r="J6" s="79"/>
      <c r="K6" s="79"/>
      <c r="L6" s="79"/>
      <c r="M6" s="79"/>
    </row>
    <row r="7" spans="1:13" s="70" customFormat="1" ht="11.25" customHeight="1">
      <c r="C7" s="69" t="s">
        <v>89</v>
      </c>
      <c r="D7" s="238" t="s">
        <v>152</v>
      </c>
      <c r="I7" s="79"/>
      <c r="J7" s="79"/>
      <c r="K7" s="79"/>
      <c r="L7" s="79"/>
    </row>
    <row r="8" spans="1:13" s="70" customFormat="1" ht="11.25" customHeight="1">
      <c r="C8" s="69" t="s">
        <v>90</v>
      </c>
      <c r="D8" s="157" t="s">
        <v>130</v>
      </c>
      <c r="J8" s="79"/>
      <c r="K8" s="79"/>
      <c r="L8" s="79"/>
      <c r="M8" s="79"/>
    </row>
    <row r="9" spans="1:13" s="70" customFormat="1" ht="11.25" customHeight="1">
      <c r="C9" s="185" t="s">
        <v>100</v>
      </c>
      <c r="D9" s="157" t="s">
        <v>131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4" t="s">
        <v>88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84" t="str">
        <f t="shared" ref="D13:F13" si="0">IF(LEN(E13)&gt;4,CONCATENATE(LEFT(E13,4)-1&amp;"–"&amp;IF(RIGHT(E13,2)="00","99",IF(RIGHT(E13,2)-1&lt;10,"0","")&amp;RIGHT(E13,2)-1)),E13-1)</f>
        <v>2015–16</v>
      </c>
      <c r="E13" s="184" t="str">
        <f t="shared" si="0"/>
        <v>2016–17</v>
      </c>
      <c r="F13" s="184" t="str">
        <f t="shared" si="0"/>
        <v>2017–18</v>
      </c>
      <c r="G13" s="184" t="str">
        <f>IF(LEN(H13)&gt;4,CONCATENATE(LEFT(H13,4)-1&amp;"–"&amp;IF(RIGHT(H13,2)="00","99",IF(RIGHT(H13,2)-1&lt;10,"0","")&amp;RIGHT(H13,2)-1)),H13-1)</f>
        <v>2018–19</v>
      </c>
      <c r="H13" s="184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7" t="s">
        <v>8</v>
      </c>
      <c r="E14" s="157" t="s">
        <v>8</v>
      </c>
      <c r="F14" s="157" t="s">
        <v>8</v>
      </c>
      <c r="G14" s="157" t="s">
        <v>8</v>
      </c>
      <c r="H14" s="157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7" t="s">
        <v>7</v>
      </c>
      <c r="E15" s="157" t="s">
        <v>7</v>
      </c>
      <c r="F15" s="157" t="s">
        <v>7</v>
      </c>
      <c r="G15" s="157" t="s">
        <v>7</v>
      </c>
      <c r="H15" s="238" t="s">
        <v>7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84" t="str">
        <f>D9</f>
        <v>2020-21</v>
      </c>
      <c r="E18" s="184" t="str">
        <f>IF(LEN(D18)&gt;4,CONCATENATE(LEFT(D18,4)+1&amp;"–"&amp;IF(RIGHT(D18,2)+1&gt;9,"","0")&amp;RIGHT(D18,2)+1),D18+1)</f>
        <v>2021–22</v>
      </c>
      <c r="F18" s="184" t="str">
        <f t="shared" ref="F18:H18" si="1">IF(LEN(E18)&gt;4,CONCATENATE(LEFT(E18,4)+1&amp;"–"&amp;IF(RIGHT(E18,2)+1&gt;9,"","0")&amp;RIGHT(E18,2)+1),E18+1)</f>
        <v>2022–23</v>
      </c>
      <c r="G18" s="184" t="str">
        <f t="shared" si="1"/>
        <v>2023–24</v>
      </c>
      <c r="H18" s="184" t="str">
        <f t="shared" si="1"/>
        <v>2024–25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33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K1" sqref="K1"/>
    </sheetView>
  </sheetViews>
  <sheetFormatPr defaultColWidth="0" defaultRowHeight="18" customHeight="1" zeroHeight="1"/>
  <cols>
    <col min="1" max="2" width="1.28515625" style="24" customWidth="1"/>
    <col min="3" max="3" width="36.7109375" style="24" customWidth="1"/>
    <col min="4" max="5" width="22.71093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7109375" style="24" customWidth="1"/>
    <col min="19" max="32" width="12.7109375" style="24" hidden="1" customWidth="1"/>
    <col min="33" max="16384" width="9.28515625" style="24" hidden="1"/>
  </cols>
  <sheetData>
    <row r="1" spans="1:20" s="11" customFormat="1" ht="18" customHeight="1">
      <c r="B1" s="3" t="str">
        <f>'Input | General'!$B$1</f>
        <v>Ergon Energy 2020-25 2018-20 True-up - Capital expenditure sharing scheme model</v>
      </c>
      <c r="D1" s="12"/>
      <c r="E1" s="12"/>
      <c r="F1" s="12"/>
      <c r="G1" s="104"/>
      <c r="H1" s="105" t="s">
        <v>46</v>
      </c>
      <c r="I1" s="156" t="s">
        <v>47</v>
      </c>
      <c r="J1" s="161" t="s">
        <v>35</v>
      </c>
      <c r="N1" s="106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91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42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233"/>
      <c r="L5" s="22"/>
      <c r="M5" s="11"/>
    </row>
    <row r="6" spans="1:20" ht="11.25" customHeight="1">
      <c r="A6" s="11"/>
      <c r="B6" s="11"/>
      <c r="C6" s="16"/>
      <c r="D6" s="75" t="s">
        <v>6</v>
      </c>
      <c r="E6" s="75" t="s">
        <v>51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1" t="str">
        <f>IF(LEN(G7)&gt;4,CONCATENATE(LEFT(G7,4)-1&amp;"–"&amp;IF(RIGHT(G7,2)="00","99",IF(RIGHT(G7,2)-1&lt;10,"0","")&amp;RIGHT(G7,2)-1)),G7-1)</f>
        <v>2014–15</v>
      </c>
      <c r="G7" s="170" t="str">
        <f>'Input | General'!D13</f>
        <v>2015–16</v>
      </c>
      <c r="H7" s="170" t="str">
        <f>'Input | General'!E13</f>
        <v>2016–17</v>
      </c>
      <c r="I7" s="170" t="str">
        <f>'Input | General'!F13</f>
        <v>2017–18</v>
      </c>
      <c r="J7" s="170" t="str">
        <f>'Input | General'!G13</f>
        <v>2018–19</v>
      </c>
      <c r="K7" s="170" t="str">
        <f>'Input | General'!H13</f>
        <v>2019–20</v>
      </c>
      <c r="L7" s="170" t="str">
        <f>'Input | General'!D18</f>
        <v>2020-21</v>
      </c>
      <c r="M7" s="170" t="str">
        <f>'Input | General'!E18</f>
        <v>2021–22</v>
      </c>
      <c r="N7" s="170" t="str">
        <f>'Input | General'!F18</f>
        <v>2022–23</v>
      </c>
      <c r="O7" s="170" t="str">
        <f>'Input | General'!G18</f>
        <v>2023–24</v>
      </c>
      <c r="P7" s="170" t="str">
        <f>'Input | General'!H18</f>
        <v>2024–25</v>
      </c>
    </row>
    <row r="8" spans="1:20" ht="11.25" customHeight="1">
      <c r="A8" s="11"/>
      <c r="B8" s="11"/>
      <c r="C8" s="80" t="s">
        <v>82</v>
      </c>
      <c r="D8" s="78" t="s">
        <v>127</v>
      </c>
      <c r="E8" s="78" t="s">
        <v>50</v>
      </c>
      <c r="F8" s="78"/>
      <c r="G8" s="158">
        <v>1.6885553470919357E-2</v>
      </c>
      <c r="H8" s="158">
        <v>1.4760147601476037E-2</v>
      </c>
      <c r="I8" s="158">
        <v>1.9090909090909047E-2</v>
      </c>
      <c r="J8" s="158">
        <v>1.7841213202497874E-2</v>
      </c>
      <c r="K8" s="158">
        <v>1.7000000000000001E-2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83</v>
      </c>
      <c r="D9" s="78" t="s">
        <v>127</v>
      </c>
      <c r="E9" s="78" t="s">
        <v>50</v>
      </c>
      <c r="F9" s="78"/>
      <c r="G9" s="129"/>
      <c r="H9" s="129"/>
      <c r="I9" s="129"/>
      <c r="J9" s="129"/>
      <c r="K9" s="129"/>
      <c r="L9" s="158">
        <v>2.3699999999999999E-2</v>
      </c>
      <c r="M9" s="142">
        <f t="shared" ref="M9:P9" si="0">L9</f>
        <v>2.3699999999999999E-2</v>
      </c>
      <c r="N9" s="142">
        <f t="shared" si="0"/>
        <v>2.3699999999999999E-2</v>
      </c>
      <c r="O9" s="142">
        <f t="shared" si="0"/>
        <v>2.3699999999999999E-2</v>
      </c>
      <c r="P9" s="142">
        <f t="shared" si="0"/>
        <v>2.3699999999999999E-2</v>
      </c>
    </row>
    <row r="10" spans="1:20" ht="11.25" customHeight="1">
      <c r="A10" s="11"/>
      <c r="B10" s="11"/>
      <c r="C10" s="139" t="str">
        <f>"CPI Index (base year "&amp;F7&amp;")"</f>
        <v>CPI Index (base year 2014–15)</v>
      </c>
      <c r="D10" s="78" t="s">
        <v>127</v>
      </c>
      <c r="E10" s="78" t="s">
        <v>29</v>
      </c>
      <c r="F10" s="137">
        <v>1</v>
      </c>
      <c r="G10" s="122">
        <f>IF(G7&lt;&gt;"",(F10*(1+G8)),"")</f>
        <v>1.0168855534709194</v>
      </c>
      <c r="H10" s="122">
        <f>IF(H7&lt;&gt;"",(G10*(1+H8)),"")</f>
        <v>1.0318949343339587</v>
      </c>
      <c r="I10" s="122">
        <f>IF(I7&lt;&gt;"",(H10*(1+I8)),"")</f>
        <v>1.0515947467166979</v>
      </c>
      <c r="J10" s="122">
        <f>IF(J7&lt;&gt;"",(I10*(1+J8)),"")</f>
        <v>1.0703564727954973</v>
      </c>
      <c r="K10" s="122">
        <f>IF(K7&lt;&gt;"",(J10*(1+K8)),"")</f>
        <v>1.0885525328330206</v>
      </c>
      <c r="L10" s="87">
        <f t="shared" ref="L10:P10" si="1">IF(L7&lt;&gt;"",(K10*(1+L9)),"")</f>
        <v>1.1143512278611631</v>
      </c>
      <c r="M10" s="87">
        <f t="shared" si="1"/>
        <v>1.1407613519614728</v>
      </c>
      <c r="N10" s="87">
        <f t="shared" si="1"/>
        <v>1.1677973960029597</v>
      </c>
      <c r="O10" s="87">
        <f t="shared" si="1"/>
        <v>1.1954741942882299</v>
      </c>
      <c r="P10" s="87">
        <f t="shared" si="1"/>
        <v>1.2238069326928609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0"/>
      <c r="L11" s="130"/>
      <c r="M11" s="130"/>
      <c r="N11" s="130"/>
      <c r="O11" s="130"/>
      <c r="P11" s="130"/>
    </row>
    <row r="12" spans="1:20" ht="11.25" customHeight="1">
      <c r="A12" s="11"/>
      <c r="B12" s="11"/>
      <c r="C12" s="80"/>
      <c r="D12" s="78"/>
      <c r="E12" s="78"/>
      <c r="F12" s="78"/>
      <c r="G12" s="126"/>
      <c r="H12" s="126"/>
      <c r="I12" s="126"/>
      <c r="J12" s="126"/>
      <c r="K12" s="24"/>
      <c r="L12" s="24"/>
      <c r="M12" s="24"/>
    </row>
    <row r="13" spans="1:20" ht="11.25" customHeight="1">
      <c r="A13" s="11"/>
      <c r="B13" s="11"/>
      <c r="C13" s="80" t="s">
        <v>82</v>
      </c>
      <c r="D13" s="78" t="s">
        <v>48</v>
      </c>
      <c r="E13" s="78" t="s">
        <v>50</v>
      </c>
      <c r="F13" s="78"/>
      <c r="G13" s="158">
        <v>1.6885553470919357E-2</v>
      </c>
      <c r="H13" s="158">
        <v>1.4760147601476037E-2</v>
      </c>
      <c r="I13" s="158">
        <v>1.9090909090909047E-2</v>
      </c>
      <c r="J13" s="158">
        <v>1.7841213202497874E-2</v>
      </c>
      <c r="K13" s="158">
        <v>1.84049079754602E-2</v>
      </c>
      <c r="L13" s="126"/>
      <c r="M13" s="126"/>
      <c r="N13" s="126"/>
      <c r="O13" s="126"/>
      <c r="P13" s="126"/>
    </row>
    <row r="14" spans="1:20" ht="11.25" customHeight="1">
      <c r="A14" s="11"/>
      <c r="B14" s="11"/>
      <c r="C14" s="80" t="s">
        <v>83</v>
      </c>
      <c r="D14" s="78" t="s">
        <v>48</v>
      </c>
      <c r="E14" s="78" t="s">
        <v>50</v>
      </c>
      <c r="F14" s="78"/>
      <c r="G14" s="86"/>
      <c r="H14" s="86"/>
      <c r="I14" s="86"/>
      <c r="J14" s="86"/>
      <c r="K14" s="86"/>
      <c r="L14" s="158">
        <v>2.2739900899011012E-2</v>
      </c>
      <c r="M14" s="142">
        <f t="shared" ref="M14:P14" si="2">L14</f>
        <v>2.2739900899011012E-2</v>
      </c>
      <c r="N14" s="142">
        <f t="shared" si="2"/>
        <v>2.2739900899011012E-2</v>
      </c>
      <c r="O14" s="142">
        <f t="shared" si="2"/>
        <v>2.2739900899011012E-2</v>
      </c>
      <c r="P14" s="142">
        <f t="shared" si="2"/>
        <v>2.2739900899011012E-2</v>
      </c>
    </row>
    <row r="15" spans="1:20" ht="11.25" customHeight="1">
      <c r="A15" s="11"/>
      <c r="B15" s="11"/>
      <c r="C15" s="139" t="str">
        <f>"CPI Index (base year "&amp;F7&amp;")"</f>
        <v>CPI Index (base year 2014–15)</v>
      </c>
      <c r="D15" s="78" t="s">
        <v>48</v>
      </c>
      <c r="E15" s="78" t="s">
        <v>29</v>
      </c>
      <c r="F15" s="137">
        <v>1</v>
      </c>
      <c r="G15" s="122">
        <f>IF(G7&lt;&gt;"",(F15*(1+G13)),"")</f>
        <v>1.0168855534709194</v>
      </c>
      <c r="H15" s="122">
        <f>IF(H7&lt;&gt;"",(G15*(1+H13)),"")</f>
        <v>1.0318949343339587</v>
      </c>
      <c r="I15" s="122">
        <f>IF(I7&lt;&gt;"",(H15*(1+I13)),"")</f>
        <v>1.0515947467166979</v>
      </c>
      <c r="J15" s="122">
        <f>IF(J7&lt;&gt;"",(I15*(1+J13)),"")</f>
        <v>1.0703564727954973</v>
      </c>
      <c r="K15" s="87">
        <f>IF(K7&lt;&gt;"",(J15*(1+K13)),"")</f>
        <v>1.0900562851782367</v>
      </c>
      <c r="L15" s="87">
        <f t="shared" ref="L15:P15" si="3">IF(L7&lt;&gt;"",(K15*(1+L14)),"")</f>
        <v>1.114844057077534</v>
      </c>
      <c r="M15" s="87">
        <f t="shared" si="3"/>
        <v>1.1401955004533284</v>
      </c>
      <c r="N15" s="87">
        <f t="shared" si="3"/>
        <v>1.1661234331391352</v>
      </c>
      <c r="O15" s="87">
        <f t="shared" si="3"/>
        <v>1.1926409644447338</v>
      </c>
      <c r="P15" s="87">
        <f t="shared" si="3"/>
        <v>1.219761501784308</v>
      </c>
    </row>
    <row r="16" spans="1:20" s="128" customFormat="1" ht="11.25" customHeight="1">
      <c r="A16" s="2"/>
      <c r="B16" s="2"/>
      <c r="C16" s="80"/>
      <c r="D16" s="127"/>
      <c r="E16" s="127"/>
      <c r="F16" s="127"/>
      <c r="G16" s="86"/>
      <c r="H16" s="86"/>
      <c r="I16" s="86"/>
      <c r="J16" s="86"/>
      <c r="K16" s="131"/>
      <c r="L16" s="131"/>
      <c r="M16" s="131"/>
      <c r="N16" s="131"/>
      <c r="O16" s="131"/>
      <c r="P16" s="131"/>
    </row>
    <row r="17" spans="1:16" s="81" customFormat="1" ht="12.75" customHeight="1">
      <c r="C17" s="29" t="s">
        <v>68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51</v>
      </c>
      <c r="F19" s="79"/>
      <c r="G19" s="170" t="str">
        <f>G7</f>
        <v>2015–16</v>
      </c>
      <c r="H19" s="170" t="str">
        <f t="shared" ref="H19:P19" si="4">H7</f>
        <v>2016–17</v>
      </c>
      <c r="I19" s="170" t="str">
        <f t="shared" si="4"/>
        <v>2017–18</v>
      </c>
      <c r="J19" s="170" t="str">
        <f t="shared" si="4"/>
        <v>2018–19</v>
      </c>
      <c r="K19" s="170" t="str">
        <f t="shared" si="4"/>
        <v>2019–20</v>
      </c>
      <c r="L19" s="170" t="str">
        <f t="shared" si="4"/>
        <v>2020-21</v>
      </c>
      <c r="M19" s="170" t="str">
        <f t="shared" si="4"/>
        <v>2021–22</v>
      </c>
      <c r="N19" s="170" t="str">
        <f t="shared" si="4"/>
        <v>2022–23</v>
      </c>
      <c r="O19" s="170" t="str">
        <f t="shared" si="4"/>
        <v>2023–24</v>
      </c>
      <c r="P19" s="170" t="str">
        <f t="shared" si="4"/>
        <v>2024–25</v>
      </c>
    </row>
    <row r="20" spans="1:16" ht="11.25" customHeight="1">
      <c r="C20" s="80" t="s">
        <v>10</v>
      </c>
      <c r="D20" s="78" t="s">
        <v>48</v>
      </c>
      <c r="E20" s="78" t="s">
        <v>50</v>
      </c>
      <c r="F20" s="79"/>
      <c r="G20" s="158">
        <v>3.4223677885352854E-2</v>
      </c>
      <c r="H20" s="158">
        <v>3.4525892490292698E-2</v>
      </c>
      <c r="I20" s="158">
        <v>3.4583434536381352E-2</v>
      </c>
      <c r="J20" s="158">
        <v>3.4290771868183745E-2</v>
      </c>
      <c r="K20" s="158">
        <v>3.3975376840037708E-2</v>
      </c>
      <c r="L20" s="231"/>
      <c r="M20" s="231"/>
      <c r="N20" s="231"/>
      <c r="O20" s="231"/>
      <c r="P20" s="231"/>
    </row>
    <row r="21" spans="1:16" ht="11.25" customHeight="1">
      <c r="C21" s="152" t="s">
        <v>96</v>
      </c>
      <c r="D21" s="78" t="s">
        <v>48</v>
      </c>
      <c r="E21" s="78" t="s">
        <v>50</v>
      </c>
      <c r="F21" s="79"/>
      <c r="G21" s="79"/>
      <c r="H21" s="79"/>
      <c r="I21" s="79"/>
      <c r="J21" s="79"/>
      <c r="K21" s="79"/>
      <c r="L21" s="158">
        <v>2.3998445239976629E-2</v>
      </c>
      <c r="M21" s="158">
        <v>2.2745496891311889E-2</v>
      </c>
      <c r="N21" s="158">
        <v>2.149254854264715E-2</v>
      </c>
      <c r="O21" s="158">
        <v>2.023960019398241E-2</v>
      </c>
      <c r="P21" s="158">
        <v>1.8986651845317538E-2</v>
      </c>
    </row>
    <row r="22" spans="1:16" ht="11.25" customHeight="1">
      <c r="C22" s="80" t="s">
        <v>69</v>
      </c>
      <c r="D22" s="78" t="s">
        <v>60</v>
      </c>
      <c r="E22" s="78" t="s">
        <v>50</v>
      </c>
      <c r="F22" s="79"/>
      <c r="G22" s="143">
        <f>IF(AND(G13&lt;&gt;"",G20&lt;&gt;""),((1+G20)*(1+G13)-1),"")</f>
        <v>5.1687117099176838E-2</v>
      </c>
      <c r="H22" s="143">
        <f>IF(AND(H13&lt;&gt;"",H20&lt;&gt;""),((1+H20)*(1+H13)-1),"")</f>
        <v>4.9795647360998174E-2</v>
      </c>
      <c r="I22" s="143">
        <f>IF(AND(I13&lt;&gt;"",I20&lt;&gt;""),((1+I20)*(1+I13)-1),"")</f>
        <v>5.4334572832075878E-2</v>
      </c>
      <c r="J22" s="143">
        <f>IF(AND(J13&lt;&gt;"",J20&lt;&gt;""),((1+J20)*(1+J13)-1),"")</f>
        <v>5.2743774042460112E-2</v>
      </c>
      <c r="K22" s="143">
        <f>IF(AND(K13&lt;&gt;"",K20&lt;&gt;""),((1+K20)*(1+K13)-1),"")</f>
        <v>5.3005598499670459E-2</v>
      </c>
      <c r="L22" s="143">
        <f>IF(AND(L14&lt;&gt;"",L21&lt;&gt;""),((1+L21)*(1+L14)-1),"")</f>
        <v>4.7284068405474944E-2</v>
      </c>
      <c r="M22" s="143">
        <f t="shared" ref="M22:P22" si="5">IF(AND(M14&lt;&gt;"",M21&lt;&gt;""),((1+M21)*(1+M14)-1),"")</f>
        <v>4.6002628135530133E-2</v>
      </c>
      <c r="N22" s="143">
        <f t="shared" si="5"/>
        <v>4.4721187865585099E-2</v>
      </c>
      <c r="O22" s="143">
        <f t="shared" si="5"/>
        <v>4.3439747595640288E-2</v>
      </c>
      <c r="P22" s="143">
        <f t="shared" si="5"/>
        <v>4.2158307325695032E-2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33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107" ht="18" customHeight="1"/>
    <row r="108" ht="18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AD489-D4AE-42A3-909F-22C5606998FB}">
  <sheetPr>
    <tabColor rgb="FF92D050"/>
  </sheetPr>
  <dimension ref="A1:L17"/>
  <sheetViews>
    <sheetView workbookViewId="0">
      <selection activeCell="I12" sqref="I12"/>
    </sheetView>
  </sheetViews>
  <sheetFormatPr defaultRowHeight="15"/>
  <cols>
    <col min="1" max="1" width="2.42578125" customWidth="1"/>
    <col min="2" max="2" width="15.5703125" customWidth="1"/>
    <col min="3" max="3" width="30" bestFit="1" customWidth="1"/>
    <col min="10" max="10" width="3.7109375" customWidth="1"/>
  </cols>
  <sheetData>
    <row r="1" spans="1:12">
      <c r="A1" s="79"/>
      <c r="B1" s="79" t="s">
        <v>104</v>
      </c>
      <c r="C1" s="79" t="s">
        <v>125</v>
      </c>
      <c r="D1" s="79"/>
      <c r="E1" s="79"/>
      <c r="F1" s="79"/>
      <c r="G1" s="79"/>
      <c r="H1" s="79"/>
      <c r="I1" s="79"/>
      <c r="J1" s="79"/>
      <c r="K1" s="79"/>
      <c r="L1" s="79"/>
    </row>
    <row r="2" spans="1:12">
      <c r="A2" s="79"/>
      <c r="B2" s="79"/>
      <c r="C2" s="79" t="s">
        <v>156</v>
      </c>
      <c r="D2" s="79"/>
      <c r="E2" s="79"/>
      <c r="F2" s="79"/>
      <c r="G2" s="79"/>
      <c r="H2" s="79"/>
      <c r="I2" s="79"/>
      <c r="J2" s="79"/>
      <c r="K2" s="79"/>
      <c r="L2" s="79"/>
    </row>
    <row r="3" spans="1:12">
      <c r="A3" s="79"/>
      <c r="B3" s="79"/>
      <c r="C3" s="79" t="s">
        <v>105</v>
      </c>
      <c r="D3" s="79" t="s">
        <v>106</v>
      </c>
      <c r="E3" s="79"/>
      <c r="F3" s="79"/>
      <c r="G3" s="79"/>
      <c r="H3" s="79"/>
      <c r="I3" s="79"/>
      <c r="J3" s="79"/>
      <c r="K3" s="79"/>
      <c r="L3" s="79"/>
    </row>
    <row r="4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>
      <c r="A5" s="8"/>
      <c r="B5" s="74" t="s">
        <v>40</v>
      </c>
      <c r="C5" s="8"/>
      <c r="D5" s="18"/>
      <c r="E5" s="18"/>
      <c r="F5" s="18"/>
      <c r="G5" s="18"/>
      <c r="H5" s="8"/>
      <c r="I5" s="8"/>
      <c r="J5" s="8"/>
      <c r="K5" s="8"/>
      <c r="L5" s="8"/>
    </row>
    <row r="6" spans="1:12">
      <c r="A6" s="11"/>
      <c r="B6" s="187"/>
      <c r="C6" s="11"/>
      <c r="D6" s="16"/>
      <c r="E6" s="16"/>
      <c r="F6" s="16"/>
      <c r="G6" s="78"/>
      <c r="H6" s="78" t="s">
        <v>121</v>
      </c>
      <c r="I6" s="78" t="str">
        <f>"Actual "&amp;'Input | General'!$D$6</f>
        <v>Actual Ergon Energy</v>
      </c>
      <c r="J6" s="79"/>
      <c r="K6" s="78" t="s">
        <v>103</v>
      </c>
      <c r="L6" s="79"/>
    </row>
    <row r="7" spans="1:12">
      <c r="A7" s="11"/>
      <c r="B7" s="187"/>
      <c r="C7" s="68"/>
      <c r="D7" s="188" t="s">
        <v>6</v>
      </c>
      <c r="E7" s="188" t="s">
        <v>51</v>
      </c>
      <c r="F7" s="188" t="s">
        <v>4</v>
      </c>
      <c r="G7" s="189"/>
      <c r="H7" s="190" t="s">
        <v>102</v>
      </c>
      <c r="I7" s="190" t="s">
        <v>102</v>
      </c>
      <c r="J7" s="79"/>
      <c r="K7" s="190" t="s">
        <v>102</v>
      </c>
      <c r="L7" s="79"/>
    </row>
    <row r="8" spans="1:12">
      <c r="A8" s="11"/>
      <c r="B8" s="187"/>
      <c r="C8" s="68"/>
      <c r="D8" s="68"/>
      <c r="E8" s="68"/>
      <c r="F8" s="68"/>
      <c r="G8" s="68"/>
      <c r="H8" s="68"/>
      <c r="I8" s="68"/>
      <c r="J8" s="79"/>
      <c r="K8" s="79"/>
      <c r="L8" s="79"/>
    </row>
    <row r="9" spans="1:12">
      <c r="A9" s="11"/>
      <c r="B9" s="187"/>
      <c r="C9" s="191" t="s">
        <v>77</v>
      </c>
      <c r="D9" s="78"/>
      <c r="E9" s="78" t="s">
        <v>49</v>
      </c>
      <c r="F9" s="78" t="s">
        <v>52</v>
      </c>
      <c r="G9" s="68"/>
      <c r="H9" s="159">
        <v>610.58480582840298</v>
      </c>
      <c r="I9" s="159">
        <v>618.14</v>
      </c>
      <c r="J9" s="79"/>
      <c r="K9" s="234">
        <f>I9-H9</f>
        <v>7.5551941715970088</v>
      </c>
      <c r="L9" s="79"/>
    </row>
    <row r="10" spans="1:12">
      <c r="A10" s="11"/>
      <c r="B10" s="187"/>
      <c r="C10" s="191" t="s">
        <v>98</v>
      </c>
      <c r="D10" s="78"/>
      <c r="E10" s="78" t="s">
        <v>49</v>
      </c>
      <c r="F10" s="78" t="s">
        <v>52</v>
      </c>
      <c r="G10" s="192"/>
      <c r="H10" s="159">
        <v>71.36591700000001</v>
      </c>
      <c r="I10" s="159">
        <v>71.36591700000001</v>
      </c>
      <c r="J10" s="79"/>
      <c r="K10" s="234">
        <f t="shared" ref="K10:K12" si="0">I10-H10</f>
        <v>0</v>
      </c>
      <c r="L10" s="79"/>
    </row>
    <row r="11" spans="1:12">
      <c r="A11" s="11"/>
      <c r="B11" s="187"/>
      <c r="C11" s="193" t="s">
        <v>92</v>
      </c>
      <c r="D11" s="78"/>
      <c r="E11" s="78" t="s">
        <v>49</v>
      </c>
      <c r="F11" s="78" t="s">
        <v>52</v>
      </c>
      <c r="G11" s="192"/>
      <c r="H11" s="159">
        <v>1.154325</v>
      </c>
      <c r="I11" s="159">
        <v>1.154325</v>
      </c>
      <c r="J11" s="79"/>
      <c r="K11" s="234">
        <f t="shared" si="0"/>
        <v>0</v>
      </c>
      <c r="L11" s="79"/>
    </row>
    <row r="12" spans="1:12">
      <c r="A12" s="11"/>
      <c r="B12" s="187"/>
      <c r="C12" s="194" t="s">
        <v>97</v>
      </c>
      <c r="D12" s="78"/>
      <c r="E12" s="78" t="s">
        <v>49</v>
      </c>
      <c r="F12" s="78" t="s">
        <v>52</v>
      </c>
      <c r="G12" s="68"/>
      <c r="H12" s="159"/>
      <c r="I12" s="159">
        <v>49.001989464315102</v>
      </c>
      <c r="J12" s="79"/>
      <c r="K12" s="234">
        <f t="shared" si="0"/>
        <v>49.001989464315102</v>
      </c>
      <c r="L12" s="79"/>
    </row>
    <row r="13" spans="1:12">
      <c r="A13" s="11"/>
      <c r="B13" s="187"/>
      <c r="C13" s="68"/>
      <c r="D13" s="68"/>
      <c r="E13" s="68"/>
      <c r="F13" s="68"/>
      <c r="G13" s="68"/>
      <c r="H13" s="67"/>
      <c r="I13" s="67"/>
      <c r="J13" s="79"/>
      <c r="K13" s="67"/>
      <c r="L13" s="79"/>
    </row>
    <row r="14" spans="1:12">
      <c r="A14" s="11"/>
      <c r="B14" s="187"/>
      <c r="C14" s="195" t="s">
        <v>76</v>
      </c>
      <c r="D14" s="196" t="s">
        <v>60</v>
      </c>
      <c r="E14" s="197" t="s">
        <v>49</v>
      </c>
      <c r="F14" s="197" t="s">
        <v>52</v>
      </c>
      <c r="G14" s="68"/>
      <c r="H14" s="66">
        <f>IF(H7="", "", H9-H10-H11-H12)</f>
        <v>538.06456382840304</v>
      </c>
      <c r="I14" s="66">
        <f t="shared" ref="I14:K14" si="1">IF(I7="", "", I9-I10-I11-I12)</f>
        <v>496.61776853568495</v>
      </c>
      <c r="J14" s="79"/>
      <c r="K14" s="66">
        <f t="shared" si="1"/>
        <v>-41.446795292718093</v>
      </c>
      <c r="L14" s="79"/>
    </row>
    <row r="15" spans="1:12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12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2">
      <c r="A17" s="8"/>
      <c r="B17" s="74" t="s">
        <v>33</v>
      </c>
      <c r="C17" s="8"/>
      <c r="D17" s="18"/>
      <c r="E17" s="18"/>
      <c r="F17" s="18"/>
      <c r="G17" s="18"/>
      <c r="H17" s="8"/>
      <c r="I17" s="8"/>
      <c r="J17" s="8"/>
      <c r="K17" s="8"/>
      <c r="L17" s="8"/>
    </row>
  </sheetData>
  <conditionalFormatting sqref="I9">
    <cfRule type="expression" dxfId="25" priority="9">
      <formula>IF($H$6&lt;&gt;"","FALSE","TRUE")</formula>
    </cfRule>
  </conditionalFormatting>
  <conditionalFormatting sqref="I10:I11">
    <cfRule type="expression" dxfId="24" priority="8">
      <formula>IF($H$6&lt;&gt;"","FALSE","TRUE")</formula>
    </cfRule>
  </conditionalFormatting>
  <conditionalFormatting sqref="I12">
    <cfRule type="expression" dxfId="23" priority="7">
      <formula>IF($H$6&lt;&gt;"","FALSE","TRUE")</formula>
    </cfRule>
  </conditionalFormatting>
  <conditionalFormatting sqref="H9">
    <cfRule type="expression" dxfId="22" priority="6">
      <formula>IF($H$6&lt;&gt;"","FALSE","TRUE")</formula>
    </cfRule>
  </conditionalFormatting>
  <conditionalFormatting sqref="H10:H11">
    <cfRule type="expression" dxfId="21" priority="5">
      <formula>IF($H$6&lt;&gt;"","FALSE","TRUE")</formula>
    </cfRule>
  </conditionalFormatting>
  <conditionalFormatting sqref="H12">
    <cfRule type="expression" dxfId="20" priority="4">
      <formula>IF($H$6&lt;&gt;"","FALSE","TRUE")</formula>
    </cfRule>
  </conditionalFormatting>
  <conditionalFormatting sqref="K9">
    <cfRule type="expression" dxfId="19" priority="3">
      <formula>IF($H$6&lt;&gt;"","FALSE","TRUE")</formula>
    </cfRule>
  </conditionalFormatting>
  <conditionalFormatting sqref="K10:K11">
    <cfRule type="expression" dxfId="18" priority="2">
      <formula>IF($H$6&lt;&gt;"","FALSE","TRUE")</formula>
    </cfRule>
  </conditionalFormatting>
  <conditionalFormatting sqref="K12">
    <cfRule type="expression" dxfId="17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687C-C686-4793-8F87-28B473B7970F}">
  <sheetPr>
    <tabColor rgb="FFFFFF99"/>
  </sheetPr>
  <dimension ref="A1:M17"/>
  <sheetViews>
    <sheetView workbookViewId="0">
      <selection activeCell="I12" sqref="I12"/>
    </sheetView>
  </sheetViews>
  <sheetFormatPr defaultRowHeight="15"/>
  <cols>
    <col min="1" max="1" width="2.42578125" customWidth="1"/>
    <col min="2" max="2" width="15.5703125" customWidth="1"/>
    <col min="3" max="3" width="30" bestFit="1" customWidth="1"/>
    <col min="10" max="10" width="3.7109375" customWidth="1"/>
    <col min="13" max="13" width="24" customWidth="1"/>
  </cols>
  <sheetData>
    <row r="1" spans="1:13">
      <c r="A1" s="79"/>
      <c r="B1" s="79" t="s">
        <v>104</v>
      </c>
      <c r="C1" s="240" t="s">
        <v>132</v>
      </c>
      <c r="D1" s="240"/>
      <c r="E1" s="240"/>
      <c r="F1" s="240"/>
      <c r="G1" s="240"/>
      <c r="H1" s="240"/>
      <c r="I1" s="240"/>
      <c r="J1" s="79"/>
      <c r="K1" s="79"/>
      <c r="L1" s="79"/>
      <c r="M1" s="248" t="s">
        <v>140</v>
      </c>
    </row>
    <row r="2" spans="1:13">
      <c r="A2" s="79"/>
      <c r="B2" s="79"/>
      <c r="C2" s="240" t="s">
        <v>157</v>
      </c>
      <c r="D2" s="240"/>
      <c r="E2" s="240"/>
      <c r="F2" s="240"/>
      <c r="G2" s="240"/>
      <c r="H2" s="240"/>
      <c r="I2" s="240"/>
      <c r="J2" s="79"/>
      <c r="K2" s="79"/>
      <c r="L2" s="79"/>
    </row>
    <row r="3" spans="1:13">
      <c r="A3" s="79"/>
      <c r="B3" s="79"/>
      <c r="C3" s="240" t="s">
        <v>105</v>
      </c>
      <c r="D3" s="240" t="s">
        <v>106</v>
      </c>
      <c r="E3" s="240"/>
      <c r="F3" s="240"/>
      <c r="G3" s="240"/>
      <c r="H3" s="240"/>
      <c r="I3" s="240"/>
      <c r="J3" s="79"/>
      <c r="K3" s="79"/>
      <c r="L3" s="79"/>
    </row>
    <row r="4" spans="1:1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3">
      <c r="A5" s="8"/>
      <c r="B5" s="74" t="s">
        <v>40</v>
      </c>
      <c r="C5" s="8"/>
      <c r="D5" s="18"/>
      <c r="E5" s="18"/>
      <c r="F5" s="18"/>
      <c r="G5" s="18"/>
      <c r="H5" s="8"/>
      <c r="I5" s="8"/>
      <c r="J5" s="8"/>
      <c r="K5" s="8"/>
      <c r="L5" s="8"/>
    </row>
    <row r="6" spans="1:13">
      <c r="A6" s="11"/>
      <c r="B6" s="187"/>
      <c r="C6" s="11"/>
      <c r="D6" s="16"/>
      <c r="E6" s="16"/>
      <c r="F6" s="16"/>
      <c r="G6" s="78"/>
      <c r="H6" s="78" t="s">
        <v>121</v>
      </c>
      <c r="I6" s="78" t="str">
        <f>"Actual "&amp;'Input | General'!$D$6</f>
        <v>Actual Ergon Energy</v>
      </c>
      <c r="J6" s="79"/>
      <c r="K6" s="78" t="s">
        <v>103</v>
      </c>
      <c r="L6" s="79"/>
    </row>
    <row r="7" spans="1:13">
      <c r="A7" s="11"/>
      <c r="B7" s="187"/>
      <c r="C7" s="68"/>
      <c r="D7" s="188" t="s">
        <v>6</v>
      </c>
      <c r="E7" s="188" t="s">
        <v>51</v>
      </c>
      <c r="F7" s="188" t="s">
        <v>4</v>
      </c>
      <c r="G7" s="189"/>
      <c r="H7" s="190" t="s">
        <v>133</v>
      </c>
      <c r="I7" s="190" t="s">
        <v>133</v>
      </c>
      <c r="J7" s="79"/>
      <c r="K7" s="190" t="s">
        <v>133</v>
      </c>
      <c r="L7" s="79"/>
    </row>
    <row r="8" spans="1:13">
      <c r="A8" s="11"/>
      <c r="B8" s="187"/>
      <c r="C8" s="68"/>
      <c r="D8" s="68"/>
      <c r="E8" s="68"/>
      <c r="F8" s="68"/>
      <c r="G8" s="68"/>
      <c r="H8" s="68"/>
      <c r="I8" s="68"/>
      <c r="J8" s="79"/>
      <c r="K8" s="79"/>
      <c r="L8" s="79"/>
    </row>
    <row r="9" spans="1:13">
      <c r="A9" s="11"/>
      <c r="B9" s="187"/>
      <c r="C9" s="191" t="s">
        <v>77</v>
      </c>
      <c r="D9" s="78"/>
      <c r="E9" s="78" t="s">
        <v>49</v>
      </c>
      <c r="F9" s="78" t="s">
        <v>52</v>
      </c>
      <c r="G9" s="68"/>
      <c r="H9" s="159">
        <v>587.97760116700772</v>
      </c>
      <c r="I9" s="159">
        <v>829.09332699999993</v>
      </c>
      <c r="J9" s="79"/>
      <c r="K9" s="254">
        <f>I9-H9</f>
        <v>241.11572583299221</v>
      </c>
      <c r="L9" s="79"/>
    </row>
    <row r="10" spans="1:13">
      <c r="A10" s="11"/>
      <c r="B10" s="187"/>
      <c r="C10" s="191" t="s">
        <v>98</v>
      </c>
      <c r="D10" s="78"/>
      <c r="E10" s="78" t="s">
        <v>49</v>
      </c>
      <c r="F10" s="78" t="s">
        <v>52</v>
      </c>
      <c r="G10" s="192"/>
      <c r="H10" s="159">
        <v>47.735027780554276</v>
      </c>
      <c r="I10" s="239">
        <f>'[5]RFM input'!$G$219</f>
        <v>104.35216199999999</v>
      </c>
      <c r="J10" s="79"/>
      <c r="K10" s="254">
        <f t="shared" ref="K10:K12" si="0">I10-H10</f>
        <v>56.617134219445717</v>
      </c>
      <c r="L10" s="79"/>
    </row>
    <row r="11" spans="1:13">
      <c r="A11" s="11"/>
      <c r="B11" s="187"/>
      <c r="C11" s="193" t="s">
        <v>92</v>
      </c>
      <c r="D11" s="78"/>
      <c r="E11" s="78" t="s">
        <v>49</v>
      </c>
      <c r="F11" s="78" t="s">
        <v>52</v>
      </c>
      <c r="G11" s="192"/>
      <c r="H11" s="159">
        <v>3.83</v>
      </c>
      <c r="I11" s="159">
        <v>1.5815919999999999</v>
      </c>
      <c r="J11" s="79"/>
      <c r="K11" s="254">
        <f t="shared" si="0"/>
        <v>-2.2484080000000004</v>
      </c>
      <c r="L11" s="79"/>
    </row>
    <row r="12" spans="1:13">
      <c r="A12" s="11"/>
      <c r="B12" s="187"/>
      <c r="C12" s="194" t="s">
        <v>97</v>
      </c>
      <c r="D12" s="78"/>
      <c r="E12" s="78" t="s">
        <v>49</v>
      </c>
      <c r="F12" s="78" t="s">
        <v>52</v>
      </c>
      <c r="G12" s="68"/>
      <c r="H12" s="159"/>
      <c r="I12" s="239">
        <v>97.137209840726086</v>
      </c>
      <c r="J12" s="79"/>
      <c r="K12" s="254">
        <f t="shared" si="0"/>
        <v>97.137209840726086</v>
      </c>
      <c r="L12" s="79"/>
    </row>
    <row r="13" spans="1:13">
      <c r="A13" s="11"/>
      <c r="B13" s="187"/>
      <c r="C13" s="68"/>
      <c r="D13" s="68"/>
      <c r="E13" s="68"/>
      <c r="F13" s="68"/>
      <c r="G13" s="68"/>
      <c r="H13" s="67"/>
      <c r="I13" s="67"/>
      <c r="J13" s="79"/>
      <c r="K13" s="67"/>
      <c r="L13" s="79"/>
    </row>
    <row r="14" spans="1:13">
      <c r="A14" s="11"/>
      <c r="B14" s="187"/>
      <c r="C14" s="195" t="s">
        <v>76</v>
      </c>
      <c r="D14" s="196" t="s">
        <v>60</v>
      </c>
      <c r="E14" s="197" t="s">
        <v>49</v>
      </c>
      <c r="F14" s="197" t="s">
        <v>52</v>
      </c>
      <c r="G14" s="68"/>
      <c r="H14" s="66">
        <f>IF(H7="", "", H9-H10-H11-H12)</f>
        <v>536.41257338645335</v>
      </c>
      <c r="I14" s="66">
        <f t="shared" ref="I14:K14" si="1">IF(I7="", "", I9-I10-I11-I12)</f>
        <v>626.02236315927382</v>
      </c>
      <c r="J14" s="79"/>
      <c r="K14" s="66">
        <f t="shared" si="1"/>
        <v>89.60978977282042</v>
      </c>
      <c r="L14" s="79"/>
    </row>
    <row r="15" spans="1:13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13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2">
      <c r="A17" s="8"/>
      <c r="B17" s="74" t="s">
        <v>33</v>
      </c>
      <c r="C17" s="8"/>
      <c r="D17" s="18"/>
      <c r="E17" s="18"/>
      <c r="F17" s="18"/>
      <c r="G17" s="18"/>
      <c r="H17" s="8"/>
      <c r="I17" s="8"/>
      <c r="J17" s="8"/>
      <c r="K17" s="8"/>
      <c r="L17" s="8"/>
    </row>
  </sheetData>
  <conditionalFormatting sqref="I9">
    <cfRule type="expression" dxfId="16" priority="12">
      <formula>IF($H$6&lt;&gt;"","FALSE","TRUE")</formula>
    </cfRule>
  </conditionalFormatting>
  <conditionalFormatting sqref="I10:I11">
    <cfRule type="expression" dxfId="15" priority="11">
      <formula>IF($H$6&lt;&gt;"","FALSE","TRUE")</formula>
    </cfRule>
  </conditionalFormatting>
  <conditionalFormatting sqref="I12">
    <cfRule type="expression" dxfId="14" priority="10">
      <formula>IF($H$6&lt;&gt;"","FALSE","TRUE")</formula>
    </cfRule>
  </conditionalFormatting>
  <conditionalFormatting sqref="H9">
    <cfRule type="expression" dxfId="13" priority="6">
      <formula>IF($H$6&lt;&gt;"","FALSE","TRUE")</formula>
    </cfRule>
  </conditionalFormatting>
  <conditionalFormatting sqref="H10:H11">
    <cfRule type="expression" dxfId="12" priority="5">
      <formula>IF($H$6&lt;&gt;"","FALSE","TRUE")</formula>
    </cfRule>
  </conditionalFormatting>
  <conditionalFormatting sqref="H12">
    <cfRule type="expression" dxfId="11" priority="4">
      <formula>IF($H$6&lt;&gt;"","FALSE","TRUE")</formula>
    </cfRule>
  </conditionalFormatting>
  <conditionalFormatting sqref="K9">
    <cfRule type="expression" dxfId="10" priority="3">
      <formula>IF($H$6&lt;&gt;"","FALSE","TRUE")</formula>
    </cfRule>
  </conditionalFormatting>
  <conditionalFormatting sqref="K10:K11">
    <cfRule type="expression" dxfId="9" priority="2">
      <formula>IF($H$6&lt;&gt;"","FALSE","TRUE")</formula>
    </cfRule>
  </conditionalFormatting>
  <conditionalFormatting sqref="K12">
    <cfRule type="expression" dxfId="8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8"/>
  <sheetViews>
    <sheetView workbookViewId="0">
      <selection activeCell="L17" sqref="L17"/>
    </sheetView>
  </sheetViews>
  <sheetFormatPr defaultColWidth="0" defaultRowHeight="18" customHeight="1" zeroHeight="1"/>
  <cols>
    <col min="1" max="2" width="1.28515625" style="11" customWidth="1"/>
    <col min="3" max="3" width="49.7109375" style="16" customWidth="1"/>
    <col min="4" max="4" width="23.7109375" style="16" customWidth="1"/>
    <col min="5" max="5" width="13.42578125" style="16" customWidth="1"/>
    <col min="6" max="6" width="9.28515625" style="16" customWidth="1"/>
    <col min="7" max="7" width="2.7109375" style="16" customWidth="1"/>
    <col min="8" max="12" width="13.7109375" style="11" bestFit="1" customWidth="1"/>
    <col min="13" max="14" width="2.71093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Ergon Energy 2020-25 2018-20 True-up - Capital expenditure sharing scheme model</v>
      </c>
      <c r="D1" s="12"/>
      <c r="E1" s="12"/>
      <c r="F1" s="12"/>
      <c r="G1" s="12"/>
      <c r="H1" s="104"/>
      <c r="I1" s="105" t="s">
        <v>46</v>
      </c>
      <c r="J1" s="156" t="s">
        <v>47</v>
      </c>
      <c r="K1" s="161" t="s">
        <v>35</v>
      </c>
      <c r="L1" s="248" t="s">
        <v>140</v>
      </c>
    </row>
    <row r="2" spans="2:14" ht="18" customHeight="1">
      <c r="B2" s="13" t="s">
        <v>36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39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51</v>
      </c>
      <c r="F6" s="75" t="s">
        <v>4</v>
      </c>
      <c r="G6" s="64"/>
      <c r="H6" s="172" t="str">
        <f>IF('Input | General'!D14="Yes",'Input | General'!D13,"n/a")</f>
        <v>2015–16</v>
      </c>
      <c r="I6" s="172" t="str">
        <f>IF('Input | General'!E14="Yes",'Input | General'!E13,"n/a")</f>
        <v>2016–17</v>
      </c>
      <c r="J6" s="172" t="str">
        <f>IF('Input | General'!F14="Yes",'Input | General'!F13,"n/a")</f>
        <v>2017–18</v>
      </c>
      <c r="K6" s="172" t="str">
        <f>IF('Input | General'!G14="Yes",'Input | General'!G13,"n/a")</f>
        <v>2018–19</v>
      </c>
      <c r="L6" s="172" t="str">
        <f>IF('Input | General'!H14="Yes",'Input | General'!H13,"n/a")</f>
        <v>2019–20</v>
      </c>
      <c r="M6" s="107"/>
      <c r="N6" s="107"/>
    </row>
    <row r="7" spans="2:14" s="68" customFormat="1" ht="10.5" customHeight="1">
      <c r="M7" s="107"/>
      <c r="N7" s="107"/>
    </row>
    <row r="8" spans="2:14" ht="10.5" customHeight="1">
      <c r="C8" s="80" t="s">
        <v>3</v>
      </c>
      <c r="D8" s="78" t="s">
        <v>48</v>
      </c>
      <c r="E8" s="78" t="s">
        <v>49</v>
      </c>
      <c r="F8" s="175" t="str">
        <f>'Input | Inflation and Disc Rate'!$F$7</f>
        <v>2014–15</v>
      </c>
      <c r="G8" s="68"/>
      <c r="H8" s="159">
        <v>696.62820898912275</v>
      </c>
      <c r="I8" s="159">
        <v>632.20989699665256</v>
      </c>
      <c r="J8" s="159">
        <v>585.59690832026251</v>
      </c>
      <c r="K8" s="159">
        <v>555.4274800165897</v>
      </c>
      <c r="L8" s="159">
        <v>547.06765487603479</v>
      </c>
      <c r="M8" s="2"/>
      <c r="N8" s="2"/>
    </row>
    <row r="9" spans="2:14" ht="10.5" customHeight="1">
      <c r="C9" s="80" t="s">
        <v>98</v>
      </c>
      <c r="D9" s="78" t="s">
        <v>48</v>
      </c>
      <c r="E9" s="78" t="s">
        <v>49</v>
      </c>
      <c r="F9" s="175" t="str">
        <f>'Input | Inflation and Disc Rate'!$F$7</f>
        <v>2014–15</v>
      </c>
      <c r="G9" s="68"/>
      <c r="H9" s="159">
        <v>29.619999999999994</v>
      </c>
      <c r="I9" s="159">
        <v>30.81</v>
      </c>
      <c r="J9" s="159">
        <v>32.030000000000008</v>
      </c>
      <c r="K9" s="159">
        <v>32.819999999999993</v>
      </c>
      <c r="L9" s="159">
        <v>33.519999999999996</v>
      </c>
      <c r="M9" s="2"/>
      <c r="N9" s="2"/>
    </row>
    <row r="10" spans="2:14" ht="10.5" customHeight="1">
      <c r="C10" s="80" t="s">
        <v>92</v>
      </c>
      <c r="D10" s="78" t="s">
        <v>48</v>
      </c>
      <c r="E10" s="78" t="s">
        <v>49</v>
      </c>
      <c r="F10" s="175" t="str">
        <f>'Input | Inflation and Disc Rate'!$F$7</f>
        <v>2014–15</v>
      </c>
      <c r="G10" s="68"/>
      <c r="H10" s="159">
        <v>7</v>
      </c>
      <c r="I10" s="159">
        <v>7</v>
      </c>
      <c r="J10" s="159">
        <v>7</v>
      </c>
      <c r="K10" s="159">
        <v>15.75</v>
      </c>
      <c r="L10" s="159">
        <v>16.689999999999998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7"/>
      <c r="N11" s="107"/>
    </row>
    <row r="12" spans="2:14" ht="10.5" customHeight="1">
      <c r="C12" s="77" t="s">
        <v>5</v>
      </c>
      <c r="D12" s="76" t="s">
        <v>60</v>
      </c>
      <c r="E12" s="173" t="s">
        <v>49</v>
      </c>
      <c r="F12" s="174" t="str">
        <f>'Input | Inflation and Disc Rate'!$F$7</f>
        <v>2014–15</v>
      </c>
      <c r="G12" s="68"/>
      <c r="H12" s="66">
        <f>IF(H6="", "", H8-H9-H10)</f>
        <v>660.00820898912275</v>
      </c>
      <c r="I12" s="66">
        <f t="shared" ref="I12:L12" si="0">IF(I6="", "", I8-I9-I10)</f>
        <v>594.39989699665261</v>
      </c>
      <c r="J12" s="66">
        <f t="shared" si="0"/>
        <v>546.56690832026254</v>
      </c>
      <c r="K12" s="66">
        <f t="shared" si="0"/>
        <v>506.85748001658976</v>
      </c>
      <c r="L12" s="66">
        <f t="shared" si="0"/>
        <v>496.85765487603481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40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51</v>
      </c>
      <c r="F16" s="75" t="s">
        <v>4</v>
      </c>
      <c r="G16" s="64"/>
      <c r="H16" s="172" t="str">
        <f>H6</f>
        <v>2015–16</v>
      </c>
      <c r="I16" s="172" t="str">
        <f t="shared" ref="I16:L16" si="1">I6</f>
        <v>2016–17</v>
      </c>
      <c r="J16" s="172" t="str">
        <f t="shared" si="1"/>
        <v>2017–18</v>
      </c>
      <c r="K16" s="172" t="str">
        <f t="shared" si="1"/>
        <v>2018–19</v>
      </c>
      <c r="L16" s="172" t="str">
        <f t="shared" si="1"/>
        <v>2019–20</v>
      </c>
      <c r="M16" s="107"/>
      <c r="N16" s="107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255" t="s">
        <v>121</v>
      </c>
      <c r="L17" s="255" t="s">
        <v>121</v>
      </c>
      <c r="M17" s="233" t="s">
        <v>126</v>
      </c>
      <c r="N17" s="107"/>
    </row>
    <row r="18" spans="2:14" s="2" customFormat="1" ht="10.5" customHeight="1">
      <c r="B18" s="73"/>
      <c r="C18" s="80" t="s">
        <v>77</v>
      </c>
      <c r="D18" s="78" t="s">
        <v>48</v>
      </c>
      <c r="E18" s="78" t="s">
        <v>49</v>
      </c>
      <c r="F18" s="78" t="s">
        <v>52</v>
      </c>
      <c r="G18" s="68"/>
      <c r="H18" s="159">
        <v>636.24875315492409</v>
      </c>
      <c r="I18" s="159">
        <v>517.34486845620916</v>
      </c>
      <c r="J18" s="159">
        <v>532.46001055299405</v>
      </c>
      <c r="K18" s="239">
        <f>INDEX('FY19 Capex'!$H$9:$I$12,MATCH('Input | Reported Capex'!C18,'FY19 Capex'!$C$9:$C$12,0),MATCH('Input | Reported Capex'!$K$17,'FY19 Capex'!$H$6:$I$6,0))</f>
        <v>610.58480582840298</v>
      </c>
      <c r="L18" s="239">
        <f>INDEX('FY20 Capex'!$H$9:$I$12,MATCH('Input | Reported Capex'!C18,'FY20 Capex'!$C$9:$C$12,0),MATCH('Input | Reported Capex'!$L$17,'FY20 Capex'!$H$6:$I$6,0))</f>
        <v>587.97760116700772</v>
      </c>
    </row>
    <row r="19" spans="2:14" s="2" customFormat="1" ht="10.5" customHeight="1">
      <c r="B19" s="73"/>
      <c r="C19" s="80" t="s">
        <v>98</v>
      </c>
      <c r="D19" s="78" t="s">
        <v>48</v>
      </c>
      <c r="E19" s="78" t="s">
        <v>49</v>
      </c>
      <c r="F19" s="78" t="s">
        <v>52</v>
      </c>
      <c r="G19" s="141"/>
      <c r="H19" s="160">
        <v>25.621829000000002</v>
      </c>
      <c r="I19" s="159">
        <v>9.3205489499999992</v>
      </c>
      <c r="J19" s="159">
        <v>42.755462922527542</v>
      </c>
      <c r="K19" s="239">
        <f>INDEX('FY19 Capex'!$H$9:$I$12,MATCH('Input | Reported Capex'!C19,'FY19 Capex'!$C$9:$C$12,0),MATCH('Input | Reported Capex'!$K$17,'FY19 Capex'!$H$6:$I$6,0))</f>
        <v>71.36591700000001</v>
      </c>
      <c r="L19" s="239">
        <f>INDEX('FY20 Capex'!$H$9:$I$12,MATCH('Input | Reported Capex'!C19,'FY20 Capex'!$C$9:$C$12,0),MATCH('Input | Reported Capex'!$L$17,'FY20 Capex'!$H$6:$I$6,0))</f>
        <v>47.735027780554276</v>
      </c>
    </row>
    <row r="20" spans="2:14" s="2" customFormat="1" ht="10.5" customHeight="1">
      <c r="B20" s="73"/>
      <c r="C20" s="140" t="s">
        <v>92</v>
      </c>
      <c r="D20" s="78" t="s">
        <v>48</v>
      </c>
      <c r="E20" s="78" t="s">
        <v>49</v>
      </c>
      <c r="F20" s="78" t="s">
        <v>52</v>
      </c>
      <c r="G20" s="141"/>
      <c r="H20" s="160">
        <v>5.6313649999999997</v>
      </c>
      <c r="I20" s="159">
        <v>8.5529909999999987</v>
      </c>
      <c r="J20" s="159">
        <v>3.8312844199999998</v>
      </c>
      <c r="K20" s="239">
        <f>INDEX('FY19 Capex'!$H$9:$I$12,MATCH('Input | Reported Capex'!C20,'FY19 Capex'!$C$9:$C$12,0),MATCH('Input | Reported Capex'!$K$17,'FY19 Capex'!$H$6:$I$6,0))</f>
        <v>1.154325</v>
      </c>
      <c r="L20" s="239">
        <f>INDEX('FY20 Capex'!$H$9:$I$12,MATCH('Input | Reported Capex'!C20,'FY20 Capex'!$C$9:$C$12,0),MATCH('Input | Reported Capex'!$L$17,'FY20 Capex'!$H$6:$I$6,0))</f>
        <v>3.83</v>
      </c>
    </row>
    <row r="21" spans="2:14" s="2" customFormat="1" ht="10.5" customHeight="1">
      <c r="B21" s="73"/>
      <c r="C21" s="153" t="s">
        <v>97</v>
      </c>
      <c r="D21" s="78" t="s">
        <v>48</v>
      </c>
      <c r="E21" s="78" t="s">
        <v>49</v>
      </c>
      <c r="F21" s="78" t="s">
        <v>52</v>
      </c>
      <c r="G21" s="68"/>
      <c r="H21" s="160"/>
      <c r="I21" s="159"/>
      <c r="J21" s="159"/>
      <c r="K21" s="239">
        <f>INDEX('FY19 Capex'!$H$9:$I$12,MATCH('Input | Reported Capex'!C21,'FY19 Capex'!$C$9:$C$12,0),MATCH('Input | Reported Capex'!$K$17,'FY19 Capex'!$H$6:$I$6,0))</f>
        <v>0</v>
      </c>
      <c r="L21" s="239">
        <f>INDEX('FY20 Capex'!$H$9:$I$12,MATCH('Input | Reported Capex'!C21,'FY20 Capex'!$C$9:$C$12,0),MATCH('Input | Reported Capex'!$L$17,'FY20 Capex'!$H$6:$I$6,0))</f>
        <v>0</v>
      </c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7"/>
      <c r="N22" s="107"/>
    </row>
    <row r="23" spans="2:14" s="2" customFormat="1" ht="10.5" customHeight="1">
      <c r="B23" s="73"/>
      <c r="C23" s="77" t="s">
        <v>76</v>
      </c>
      <c r="D23" s="76" t="s">
        <v>60</v>
      </c>
      <c r="E23" s="176" t="s">
        <v>49</v>
      </c>
      <c r="F23" s="176" t="s">
        <v>52</v>
      </c>
      <c r="G23" s="68"/>
      <c r="H23" s="66">
        <f>IF(H16="", "", H18-H19-H20-H21)</f>
        <v>604.99555915492408</v>
      </c>
      <c r="I23" s="66">
        <f t="shared" ref="I23:L23" si="2">IF(I16="", "", I18-I19-I20-I21)</f>
        <v>499.47132850620915</v>
      </c>
      <c r="J23" s="66">
        <f t="shared" si="2"/>
        <v>485.87326321046652</v>
      </c>
      <c r="K23" s="66">
        <f t="shared" si="2"/>
        <v>538.06456382840304</v>
      </c>
      <c r="L23" s="66">
        <f t="shared" si="2"/>
        <v>536.41257338645335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41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2" t="str">
        <f>'Input | General'!D18</f>
        <v>2020-21</v>
      </c>
      <c r="I27" s="172" t="str">
        <f>'Input | General'!E18</f>
        <v>2021–22</v>
      </c>
      <c r="J27" s="172" t="str">
        <f>'Input | General'!F18</f>
        <v>2022–23</v>
      </c>
      <c r="K27" s="172" t="str">
        <f>'Input | General'!G18</f>
        <v>2023–24</v>
      </c>
      <c r="L27" s="172" t="str">
        <f>'Input | General'!H18</f>
        <v>2024–25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86</v>
      </c>
      <c r="D29" s="65" t="s">
        <v>127</v>
      </c>
      <c r="E29" s="78" t="s">
        <v>49</v>
      </c>
      <c r="F29" s="78" t="s">
        <v>52</v>
      </c>
      <c r="G29" s="68"/>
      <c r="H29" s="159">
        <v>19.401901055858673</v>
      </c>
      <c r="I29" s="159">
        <v>14.147878146201986</v>
      </c>
      <c r="J29" s="159">
        <v>18.08136445155192</v>
      </c>
      <c r="K29" s="159">
        <v>11.42598100329562</v>
      </c>
      <c r="L29" s="159">
        <v>0</v>
      </c>
      <c r="M29" s="2"/>
      <c r="N29" s="2"/>
    </row>
    <row r="30" spans="2:14" ht="11.25" customHeight="1">
      <c r="C30" s="84" t="s">
        <v>86</v>
      </c>
      <c r="D30" s="65" t="s">
        <v>60</v>
      </c>
      <c r="E30" s="78" t="s">
        <v>49</v>
      </c>
      <c r="F30" s="78" t="str">
        <f>'Input | Inflation and Disc Rate'!$F$7</f>
        <v>2014–15</v>
      </c>
      <c r="G30" s="68"/>
      <c r="H30" s="147">
        <v>17.616050279368853</v>
      </c>
      <c r="I30" s="147">
        <v>12.548241345112569</v>
      </c>
      <c r="J30" s="147">
        <v>15.66570878841763</v>
      </c>
      <c r="K30" s="147">
        <v>9.6702932350572546</v>
      </c>
      <c r="L30" s="147">
        <v>0</v>
      </c>
      <c r="M30" s="2"/>
      <c r="N30" s="2"/>
    </row>
    <row r="31" spans="2:14" ht="11.25" customHeight="1">
      <c r="C31" s="84" t="s">
        <v>86</v>
      </c>
      <c r="D31" s="65" t="s">
        <v>48</v>
      </c>
      <c r="E31" s="78" t="s">
        <v>49</v>
      </c>
      <c r="F31" s="78" t="s">
        <v>52</v>
      </c>
      <c r="G31" s="68"/>
      <c r="H31" s="147">
        <v>19.419590351995254</v>
      </c>
      <c r="I31" s="147">
        <v>14.147496201802548</v>
      </c>
      <c r="J31" s="147">
        <v>18.063918777041405</v>
      </c>
      <c r="K31" s="147">
        <v>11.404250964555507</v>
      </c>
      <c r="L31" s="147"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33</v>
      </c>
      <c r="D33" s="63"/>
      <c r="E33" s="63"/>
      <c r="F33" s="63"/>
    </row>
    <row r="34" spans="1:6" ht="10.5" hidden="1" customHeight="1"/>
    <row r="36" spans="1:6" s="2" customFormat="1" ht="18" hidden="1" customHeight="1"/>
    <row r="39" spans="1:6" s="17" customFormat="1" ht="18" hidden="1" customHeight="1"/>
    <row r="44" spans="1:6" s="17" customFormat="1" ht="18" hidden="1" customHeight="1"/>
    <row r="51" spans="3:14" s="2" customFormat="1" ht="18" hidden="1" customHeight="1"/>
    <row r="55" spans="3:14" s="17" customFormat="1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</sheetData>
  <conditionalFormatting sqref="H8:H10 I8:L9">
    <cfRule type="expression" dxfId="7" priority="19">
      <formula>IF($H$6&lt;&gt;"","FALSE","TRUE")</formula>
    </cfRule>
  </conditionalFormatting>
  <conditionalFormatting sqref="H18:J18 K18:L21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J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J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402CAA-05A6-4BF8-AAFE-11C7E023AAFB}">
          <x14:formula1>
            <xm:f>'FY20 Capex'!$H$6:$I$6</xm:f>
          </x14:formula1>
          <xm:sqref>L17</xm:sqref>
        </x14:dataValidation>
        <x14:dataValidation type="list" allowBlank="1" showInputMessage="1" showErrorMessage="1" xr:uid="{8A6BF6BE-4E84-4387-80F6-E072A147A5D1}">
          <x14:formula1>
            <xm:f>'FY19 Capex'!$H$6:$I$6</xm:f>
          </x14:formula1>
          <xm:sqref>K17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4"/>
  <sheetViews>
    <sheetView topLeftCell="A25" zoomScale="115" zoomScaleNormal="115" workbookViewId="0">
      <selection activeCell="J42" sqref="J42:N42"/>
    </sheetView>
  </sheetViews>
  <sheetFormatPr defaultColWidth="0" defaultRowHeight="0" customHeight="1" zeroHeight="1"/>
  <cols>
    <col min="1" max="2" width="1.28515625" style="2" customWidth="1"/>
    <col min="3" max="3" width="70.71093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71093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Ergon Energy 2020-25 2018-20 True-up - Capital expenditure sharing scheme model</v>
      </c>
      <c r="J1" s="121"/>
      <c r="K1" s="105" t="s">
        <v>46</v>
      </c>
      <c r="L1" s="156" t="s">
        <v>47</v>
      </c>
      <c r="M1" s="161" t="s">
        <v>35</v>
      </c>
      <c r="N1" s="248" t="s">
        <v>140</v>
      </c>
      <c r="Q1" s="106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85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43</v>
      </c>
      <c r="J4" s="23"/>
      <c r="K4" s="23"/>
    </row>
    <row r="5" spans="2:23" ht="11.25" customHeight="1">
      <c r="C5" s="94"/>
      <c r="D5" s="94"/>
      <c r="E5" s="94"/>
      <c r="F5" s="94"/>
      <c r="G5" s="94"/>
      <c r="H5" s="94"/>
      <c r="I5" s="88"/>
      <c r="J5" s="88"/>
      <c r="K5" s="88"/>
      <c r="L5" s="88"/>
      <c r="M5" s="88"/>
      <c r="N5" s="88"/>
      <c r="O5" s="88"/>
    </row>
    <row r="6" spans="2:23" ht="11.25" customHeight="1">
      <c r="C6" s="117" t="s">
        <v>11</v>
      </c>
      <c r="D6" s="118"/>
      <c r="E6" s="119"/>
      <c r="F6" s="119"/>
      <c r="G6" s="119"/>
      <c r="H6" s="119"/>
      <c r="I6" s="96"/>
    </row>
    <row r="7" spans="2:23" ht="11.25" customHeight="1">
      <c r="C7" s="116" t="s">
        <v>9</v>
      </c>
      <c r="D7" s="172" t="str">
        <f>IF('Input | General'!D14="Yes",'Input | General'!D13,"n/a")</f>
        <v>2015–16</v>
      </c>
      <c r="E7" s="172" t="str">
        <f>IF('Input | General'!E14="Yes",'Input | General'!E13,"n/a")</f>
        <v>2016–17</v>
      </c>
      <c r="F7" s="172" t="str">
        <f>IF('Input | General'!F14="Yes",'Input | General'!F13,"n/a")</f>
        <v>2017–18</v>
      </c>
      <c r="G7" s="172" t="str">
        <f>IF('Input | General'!G14="Yes",'Input | General'!G13,"n/a")</f>
        <v>2018–19</v>
      </c>
      <c r="H7" s="177" t="str">
        <f>IF('Input | General'!H14="Yes",'Input | General'!H13,"n/a")</f>
        <v>2019–20</v>
      </c>
      <c r="I7" s="96"/>
    </row>
    <row r="8" spans="2:23" ht="11.25" customHeight="1">
      <c r="C8" s="144" t="s">
        <v>94</v>
      </c>
      <c r="D8" s="236">
        <f>'Input | Inflation and Disc Rate'!G20</f>
        <v>3.4223677885352854E-2</v>
      </c>
      <c r="E8" s="162">
        <f>'Input | Inflation and Disc Rate'!H20</f>
        <v>3.4525892490292698E-2</v>
      </c>
      <c r="F8" s="162">
        <f>'Input | Inflation and Disc Rate'!I20</f>
        <v>3.4583434536381352E-2</v>
      </c>
      <c r="G8" s="162">
        <f>'Input | Inflation and Disc Rate'!J20</f>
        <v>3.4290771868183745E-2</v>
      </c>
      <c r="H8" s="163">
        <f>'Input | Inflation and Disc Rate'!K20</f>
        <v>3.3975376840037708E-2</v>
      </c>
      <c r="I8" s="96"/>
      <c r="J8" s="79"/>
      <c r="K8" s="79"/>
    </row>
    <row r="9" spans="2:23" ht="11.25" customHeight="1">
      <c r="C9" s="144" t="s">
        <v>95</v>
      </c>
      <c r="D9" s="236">
        <f>'Input | Inflation and Disc Rate'!G22</f>
        <v>5.1687117099176838E-2</v>
      </c>
      <c r="E9" s="162">
        <f>'Input | Inflation and Disc Rate'!H22</f>
        <v>4.9795647360998174E-2</v>
      </c>
      <c r="F9" s="162">
        <f>'Input | Inflation and Disc Rate'!I22</f>
        <v>5.4334572832075878E-2</v>
      </c>
      <c r="G9" s="162">
        <f>'Input | Inflation and Disc Rate'!J22</f>
        <v>5.2743774042460112E-2</v>
      </c>
      <c r="H9" s="163">
        <f>'Input | Inflation and Disc Rate'!K22</f>
        <v>5.3005598499670459E-2</v>
      </c>
      <c r="I9" s="96"/>
      <c r="J9" s="79"/>
      <c r="K9" s="79"/>
    </row>
    <row r="10" spans="2:23" ht="11.25" customHeight="1">
      <c r="C10" s="112" t="s">
        <v>13</v>
      </c>
      <c r="D10" s="237">
        <f>'Input | Reported Capex'!H$12*'Input | Inflation and Disc Rate'!G$15*(1+'Input | Inflation and Disc Rate'!G$20)^0.5</f>
        <v>682.54085623199478</v>
      </c>
      <c r="E10" s="164">
        <f>'Input | Reported Capex'!I$12*'Input | Inflation and Disc Rate'!H$15*(1+'Input | Inflation and Disc Rate'!H$20)^0.5</f>
        <v>623.85676429109265</v>
      </c>
      <c r="F10" s="164">
        <f>'Input | Reported Capex'!J$12*'Input | Inflation and Disc Rate'!I$15*(1+'Input | Inflation and Disc Rate'!I$20)^0.5</f>
        <v>584.62112191121935</v>
      </c>
      <c r="G10" s="164">
        <f>'Input | Reported Capex'!K$12*'Input | Inflation and Disc Rate'!J$15*(1+'Input | Inflation and Disc Rate'!J$20)^0.5</f>
        <v>551.74146625835442</v>
      </c>
      <c r="H10" s="165">
        <f>'Input | Reported Capex'!L$12*'Input | Inflation and Disc Rate'!K$15*(1+'Input | Inflation and Disc Rate'!K$20)^0.5</f>
        <v>550.72654104352557</v>
      </c>
      <c r="I10" s="96"/>
      <c r="J10" s="79"/>
      <c r="K10" s="79"/>
      <c r="N10" s="138"/>
    </row>
    <row r="11" spans="2:23" ht="11.25" customHeight="1">
      <c r="C11" s="112" t="s">
        <v>15</v>
      </c>
      <c r="D11" s="237">
        <f>'Input | Reported Capex'!H23*(1+D$9)^0.5</f>
        <v>620.43382072361646</v>
      </c>
      <c r="E11" s="164">
        <f>'Input | Reported Capex'!I23*(1+E$9)^0.5</f>
        <v>511.75600457473342</v>
      </c>
      <c r="F11" s="164">
        <f>'Input | Reported Capex'!J23*(1+F$9)^0.5</f>
        <v>498.8985309300333</v>
      </c>
      <c r="G11" s="164">
        <f>'Input | Reported Capex'!K23*(1+G$9)^0.5</f>
        <v>552.07201355210179</v>
      </c>
      <c r="H11" s="165">
        <f>'Input | Reported Capex'!L23*(1+H$9)^0.5</f>
        <v>550.44545377512532</v>
      </c>
      <c r="I11" s="96"/>
      <c r="J11" s="79"/>
      <c r="K11" s="79"/>
    </row>
    <row r="12" spans="2:23" s="19" customFormat="1" ht="11.25" customHeight="1">
      <c r="C12" s="112" t="s">
        <v>17</v>
      </c>
      <c r="D12" s="155">
        <f>(D10-D11)</f>
        <v>62.107035508378317</v>
      </c>
      <c r="E12" s="145">
        <f>(E10-E11)</f>
        <v>112.10075971635922</v>
      </c>
      <c r="F12" s="145">
        <f t="shared" ref="F12:H12" si="0">(F10-F11)</f>
        <v>85.722590981186045</v>
      </c>
      <c r="G12" s="145">
        <f t="shared" si="0"/>
        <v>-0.33054729374737235</v>
      </c>
      <c r="H12" s="148">
        <f t="shared" si="0"/>
        <v>0.28108726840025611</v>
      </c>
      <c r="I12" s="96"/>
      <c r="J12" s="79"/>
      <c r="K12" s="79"/>
    </row>
    <row r="13" spans="2:23" ht="11.25" customHeight="1">
      <c r="C13" s="112" t="s">
        <v>71</v>
      </c>
      <c r="D13" s="89"/>
      <c r="E13" s="145">
        <f>$D$12*$E$8</f>
        <v>2.1443008308530609</v>
      </c>
      <c r="F13" s="145">
        <f>$D$12*$F$8*(1+'Input | Inflation and Disc Rate'!H13)</f>
        <v>2.1795775428302444</v>
      </c>
      <c r="G13" s="145">
        <f>$D$12*$G$8*(1+'Input | Inflation and Disc Rate'!H13)*(1+'Input | Inflation and Disc Rate'!I13)</f>
        <v>2.2023908362880564</v>
      </c>
      <c r="H13" s="148">
        <f>$D$12*$H$8*(1+'Input | Inflation and Disc Rate'!H13)*(1+'Input | Inflation and Disc Rate'!I13)*(1+'Input | Inflation and Disc Rate'!J13)</f>
        <v>2.2210659010743883</v>
      </c>
      <c r="I13" s="96"/>
      <c r="J13" s="79"/>
      <c r="K13" s="79"/>
      <c r="L13" s="95"/>
      <c r="M13" s="95"/>
      <c r="N13" s="95"/>
      <c r="O13" s="95"/>
    </row>
    <row r="14" spans="2:23" ht="11.25" customHeight="1">
      <c r="C14" s="112" t="s">
        <v>72</v>
      </c>
      <c r="D14" s="89"/>
      <c r="E14" s="146"/>
      <c r="F14" s="145">
        <f>$E$12*F$8</f>
        <v>3.8768292851293249</v>
      </c>
      <c r="G14" s="145">
        <f>$E$12*G$8*(1+'Input | Inflation and Disc Rate'!I13)</f>
        <v>3.9174074441668099</v>
      </c>
      <c r="H14" s="148">
        <f>$E$12*H$8*(1+'Input | Inflation and Disc Rate'!I13)*(1+'Input | Inflation and Disc Rate'!J13)</f>
        <v>3.9506249079379421</v>
      </c>
      <c r="I14" s="96"/>
      <c r="J14" s="79"/>
      <c r="K14" s="79"/>
      <c r="L14" s="95"/>
      <c r="M14" s="95"/>
      <c r="N14" s="96"/>
      <c r="O14" s="96"/>
    </row>
    <row r="15" spans="2:23" ht="11.25" customHeight="1">
      <c r="C15" s="112" t="s">
        <v>73</v>
      </c>
      <c r="D15" s="89"/>
      <c r="E15" s="145"/>
      <c r="F15" s="145"/>
      <c r="G15" s="145">
        <f>$F$12*G$8</f>
        <v>2.9394938112854758</v>
      </c>
      <c r="H15" s="148">
        <f>$F$12*$H$8*(1+'Input | Inflation and Disc Rate'!J13)</f>
        <v>2.9644191044987811</v>
      </c>
      <c r="I15" s="96"/>
      <c r="J15" s="79"/>
      <c r="K15" s="79"/>
      <c r="L15" s="95"/>
      <c r="M15" s="95"/>
      <c r="N15" s="95"/>
      <c r="O15" s="95"/>
    </row>
    <row r="16" spans="2:23" ht="11.25" customHeight="1">
      <c r="C16" s="112" t="s">
        <v>74</v>
      </c>
      <c r="D16" s="89"/>
      <c r="E16" s="145"/>
      <c r="F16" s="145"/>
      <c r="G16" s="145"/>
      <c r="H16" s="148">
        <f>$G$12*$H$8</f>
        <v>-1.1230468868521616E-2</v>
      </c>
      <c r="I16" s="96"/>
      <c r="J16" s="79"/>
      <c r="K16" s="79"/>
      <c r="L16" s="95"/>
      <c r="M16" s="95"/>
      <c r="N16" s="95"/>
      <c r="O16" s="95"/>
    </row>
    <row r="17" spans="3:15" ht="11.25" customHeight="1">
      <c r="C17" s="112" t="s">
        <v>75</v>
      </c>
      <c r="D17" s="89"/>
      <c r="E17" s="145"/>
      <c r="F17" s="145"/>
      <c r="G17" s="145"/>
      <c r="H17" s="148"/>
      <c r="I17" s="96"/>
      <c r="J17" s="79"/>
      <c r="K17" s="79"/>
      <c r="L17" s="95"/>
      <c r="M17" s="95"/>
      <c r="N17" s="95"/>
      <c r="O17" s="95"/>
    </row>
    <row r="18" spans="3:15" s="19" customFormat="1" ht="11.25" customHeight="1">
      <c r="C18" s="113" t="s">
        <v>19</v>
      </c>
      <c r="D18" s="125">
        <f>SUM(D13:D17)</f>
        <v>0</v>
      </c>
      <c r="E18" s="149">
        <f>SUM(E13:E17)</f>
        <v>2.1443008308530609</v>
      </c>
      <c r="F18" s="149">
        <f t="shared" ref="F18:H18" si="1">SUM(F13:F17)</f>
        <v>6.0564068279595693</v>
      </c>
      <c r="G18" s="149">
        <f t="shared" si="1"/>
        <v>9.0592920917403426</v>
      </c>
      <c r="H18" s="150">
        <f t="shared" si="1"/>
        <v>9.1248794446425894</v>
      </c>
      <c r="I18" s="96"/>
      <c r="J18" s="79"/>
      <c r="K18" s="79"/>
      <c r="L18" s="95"/>
      <c r="M18" s="95"/>
      <c r="N18" s="95"/>
      <c r="O18" s="95"/>
    </row>
    <row r="19" spans="3:15" ht="11.25" customHeight="1">
      <c r="C19" s="114" t="s">
        <v>93</v>
      </c>
      <c r="D19" s="125">
        <f>E19*(1+E$9)</f>
        <v>1.2269774395007549</v>
      </c>
      <c r="E19" s="149">
        <f>F19*(1+F$9)</f>
        <v>1.1687774116659377</v>
      </c>
      <c r="F19" s="149">
        <f>G19*(1+G$9)</f>
        <v>1.1085450878523826</v>
      </c>
      <c r="G19" s="149">
        <f>H19*(1+H$9)</f>
        <v>1.0530055984996705</v>
      </c>
      <c r="H19" s="151">
        <v>1</v>
      </c>
      <c r="I19" s="96"/>
      <c r="J19" s="79"/>
      <c r="K19" s="79"/>
      <c r="L19" s="96"/>
      <c r="M19" s="96"/>
      <c r="N19" s="96"/>
      <c r="O19" s="96"/>
    </row>
    <row r="20" spans="3:15" s="19" customFormat="1" ht="11.25" customHeight="1">
      <c r="C20" s="112" t="s">
        <v>20</v>
      </c>
      <c r="D20" s="155">
        <f>D12*D19</f>
        <v>76.203931403052493</v>
      </c>
      <c r="E20" s="145">
        <f>E12*E19</f>
        <v>131.02083578707155</v>
      </c>
      <c r="F20" s="145">
        <f t="shared" ref="F20:H20" si="2">F12*F19</f>
        <v>95.027357150172747</v>
      </c>
      <c r="G20" s="145">
        <f t="shared" si="2"/>
        <v>-0.34806815088489818</v>
      </c>
      <c r="H20" s="148">
        <f t="shared" si="2"/>
        <v>0.28108726840025611</v>
      </c>
      <c r="I20" s="96"/>
      <c r="J20" s="79"/>
      <c r="K20" s="79"/>
      <c r="L20" s="96"/>
      <c r="M20" s="96"/>
      <c r="N20" s="96"/>
      <c r="O20" s="96"/>
    </row>
    <row r="21" spans="3:15" s="19" customFormat="1" ht="11.25" customHeight="1">
      <c r="C21" s="113" t="s">
        <v>21</v>
      </c>
      <c r="D21" s="125">
        <f>D18*D19</f>
        <v>0</v>
      </c>
      <c r="E21" s="149">
        <f>E18*E19</f>
        <v>2.5062103749175604</v>
      </c>
      <c r="F21" s="149">
        <f t="shared" ref="F21:H21" si="3">F18*F19</f>
        <v>6.7138000391702102</v>
      </c>
      <c r="G21" s="149">
        <f t="shared" si="3"/>
        <v>9.5394852910463701</v>
      </c>
      <c r="H21" s="150">
        <f t="shared" si="3"/>
        <v>9.1248794446425894</v>
      </c>
      <c r="I21" s="96"/>
      <c r="J21" s="79"/>
      <c r="K21" s="79"/>
      <c r="L21" s="96"/>
      <c r="M21" s="96"/>
      <c r="N21" s="96"/>
      <c r="O21" s="96"/>
    </row>
    <row r="22" spans="3:15" s="79" customFormat="1" ht="11.25" customHeight="1"/>
    <row r="23" spans="3:15" ht="11.25" customHeight="1">
      <c r="C23" s="117" t="s">
        <v>12</v>
      </c>
      <c r="D23" s="118"/>
      <c r="E23" s="119"/>
      <c r="F23" s="119"/>
      <c r="G23" s="119"/>
      <c r="H23" s="119"/>
      <c r="I23" s="96"/>
      <c r="J23" s="79"/>
      <c r="K23" s="79"/>
      <c r="L23" s="96"/>
      <c r="M23" s="96"/>
      <c r="N23" s="96"/>
      <c r="O23" s="96"/>
    </row>
    <row r="24" spans="3:15" ht="11.25" customHeight="1">
      <c r="C24" s="111" t="s">
        <v>9</v>
      </c>
      <c r="D24" s="178" t="str">
        <f>'Input | General'!$D$18</f>
        <v>2020-21</v>
      </c>
      <c r="E24" s="178" t="str">
        <f>'Input | General'!$E$18</f>
        <v>2021–22</v>
      </c>
      <c r="F24" s="178" t="str">
        <f>'Input | General'!$F$18</f>
        <v>2022–23</v>
      </c>
      <c r="G24" s="178" t="str">
        <f>'Input | General'!$G$18</f>
        <v>2023–24</v>
      </c>
      <c r="H24" s="179" t="str">
        <f>'Input | General'!$H$18</f>
        <v>2024–25</v>
      </c>
      <c r="I24" s="96"/>
      <c r="J24" s="79"/>
      <c r="K24" s="79"/>
      <c r="L24" s="96"/>
      <c r="M24" s="96"/>
      <c r="N24" s="96"/>
      <c r="O24" s="96"/>
    </row>
    <row r="25" spans="3:15" ht="11.25" customHeight="1">
      <c r="C25" s="115" t="s">
        <v>70</v>
      </c>
      <c r="D25" s="166">
        <f>'Input | Inflation and Disc Rate'!L$22</f>
        <v>4.7284068405474944E-2</v>
      </c>
      <c r="E25" s="166">
        <f>'Input | Inflation and Disc Rate'!M$22</f>
        <v>4.6002628135530133E-2</v>
      </c>
      <c r="F25" s="166">
        <f>'Input | Inflation and Disc Rate'!N$22</f>
        <v>4.4721187865585099E-2</v>
      </c>
      <c r="G25" s="166">
        <f>'Input | Inflation and Disc Rate'!O$22</f>
        <v>4.3439747595640288E-2</v>
      </c>
      <c r="H25" s="167">
        <f>'Input | Inflation and Disc Rate'!P$22</f>
        <v>4.2158307325695032E-2</v>
      </c>
      <c r="I25" s="96"/>
      <c r="J25" s="79"/>
      <c r="K25" s="79"/>
      <c r="L25" s="96"/>
      <c r="M25" s="96"/>
      <c r="N25" s="96"/>
      <c r="O25" s="96"/>
    </row>
    <row r="26" spans="3:15" ht="11.25" customHeight="1">
      <c r="C26" s="116" t="s">
        <v>14</v>
      </c>
      <c r="D26" s="164">
        <f>'Input | Reported Capex'!H31</f>
        <v>19.419590351995254</v>
      </c>
      <c r="E26" s="164">
        <f>'Input | Reported Capex'!I31</f>
        <v>14.147496201802548</v>
      </c>
      <c r="F26" s="164">
        <f>'Input | Reported Capex'!J31</f>
        <v>18.063918777041405</v>
      </c>
      <c r="G26" s="164">
        <f>'Input | Reported Capex'!K31</f>
        <v>11.404250964555507</v>
      </c>
      <c r="H26" s="165">
        <f>'Input | Reported Capex'!L31</f>
        <v>0</v>
      </c>
      <c r="I26" s="96"/>
      <c r="J26" s="79"/>
      <c r="K26" s="79"/>
      <c r="L26" s="96"/>
      <c r="M26" s="96"/>
      <c r="N26" s="96"/>
      <c r="O26" s="96"/>
    </row>
    <row r="27" spans="3:15" ht="11.25" customHeight="1">
      <c r="C27" s="116" t="s">
        <v>16</v>
      </c>
      <c r="D27" s="123">
        <f>1/(1+D25)^(0.5)</f>
        <v>0.97716465901854321</v>
      </c>
      <c r="E27" s="123">
        <f>1/((1+E25)^(0.5)*(1+D25))</f>
        <v>0.93361778272276674</v>
      </c>
      <c r="F27" s="123">
        <f>1/((1+F25)^(0.5)*(1+E25)*(1+D25))</f>
        <v>0.89310501075495252</v>
      </c>
      <c r="G27" s="123">
        <f>1/((1+G25)^(0.5)*(1+F25)*(1+E25)*(1+D25))</f>
        <v>0.85539879973374677</v>
      </c>
      <c r="H27" s="124">
        <f>1/((1+H25)^(0.5)*(1+G25)*(1+F25)*(1+E25)*(1+D25))</f>
        <v>0.82029129167890191</v>
      </c>
      <c r="I27" s="96"/>
      <c r="J27" s="79"/>
      <c r="K27" s="79"/>
      <c r="L27" s="96"/>
      <c r="M27" s="96"/>
      <c r="N27" s="96"/>
      <c r="O27" s="96"/>
    </row>
    <row r="28" spans="3:15" ht="11.25" customHeight="1">
      <c r="C28" s="111" t="s">
        <v>18</v>
      </c>
      <c r="D28" s="90">
        <f>D26*D27</f>
        <v>18.976137384587233</v>
      </c>
      <c r="E28" s="90">
        <f t="shared" ref="E28:G28" si="4">E26*E27</f>
        <v>13.208354035005659</v>
      </c>
      <c r="F28" s="90">
        <f t="shared" si="4"/>
        <v>16.132976373646152</v>
      </c>
      <c r="G28" s="90">
        <f t="shared" si="4"/>
        <v>9.7551825869432047</v>
      </c>
      <c r="H28" s="91">
        <f>H26*H27</f>
        <v>0</v>
      </c>
      <c r="I28" s="96"/>
      <c r="J28" s="79"/>
      <c r="K28" s="79"/>
      <c r="L28" s="96"/>
      <c r="M28" s="96"/>
      <c r="N28" s="96"/>
      <c r="O28" s="96"/>
    </row>
    <row r="29" spans="3:15" ht="11.25" customHeight="1">
      <c r="C29" s="95"/>
      <c r="D29" s="97"/>
      <c r="E29" s="97"/>
      <c r="F29" s="97"/>
      <c r="G29" s="97"/>
      <c r="H29" s="97"/>
      <c r="I29" s="96"/>
      <c r="J29" s="79"/>
      <c r="K29" s="79"/>
      <c r="L29" s="96"/>
      <c r="M29" s="96"/>
      <c r="N29" s="96"/>
      <c r="O29" s="96"/>
    </row>
    <row r="30" spans="3:15" ht="11.25" customHeight="1">
      <c r="C30" s="110" t="s">
        <v>22</v>
      </c>
      <c r="D30" s="120"/>
      <c r="E30" s="95"/>
      <c r="F30" s="95"/>
      <c r="G30" s="95"/>
      <c r="H30" s="95"/>
      <c r="I30" s="96"/>
      <c r="J30" s="79"/>
      <c r="K30" s="79"/>
      <c r="L30" s="96"/>
      <c r="M30" s="96"/>
      <c r="N30" s="96"/>
      <c r="O30" s="96"/>
    </row>
    <row r="31" spans="3:15" ht="11.25" customHeight="1">
      <c r="C31" s="112" t="s">
        <v>23</v>
      </c>
      <c r="D31" s="101">
        <f>SUM(D20:H20)-SUM(D28:H28)</f>
        <v>244.11249307762992</v>
      </c>
      <c r="E31" s="95"/>
      <c r="F31" s="95"/>
      <c r="G31" s="95"/>
      <c r="H31" s="95"/>
      <c r="I31" s="96"/>
      <c r="J31" s="79"/>
      <c r="K31" s="79"/>
      <c r="L31" s="96"/>
      <c r="M31" s="96"/>
      <c r="N31" s="96"/>
      <c r="O31" s="96"/>
    </row>
    <row r="32" spans="3:15" ht="11.25" customHeight="1">
      <c r="C32" s="112" t="s">
        <v>24</v>
      </c>
      <c r="D32" s="100">
        <v>0.3</v>
      </c>
      <c r="E32" s="95"/>
      <c r="F32" s="95"/>
      <c r="G32" s="95"/>
      <c r="H32" s="95"/>
      <c r="I32" s="96"/>
      <c r="J32" s="79"/>
      <c r="K32" s="79"/>
      <c r="L32" s="96"/>
      <c r="M32" s="96"/>
      <c r="N32" s="96"/>
      <c r="O32" s="96"/>
    </row>
    <row r="33" spans="1:16382" ht="11.25" customHeight="1">
      <c r="C33" s="112" t="s">
        <v>25</v>
      </c>
      <c r="D33" s="101">
        <f>(1-D32)*D31</f>
        <v>170.87874515434095</v>
      </c>
      <c r="E33" s="95"/>
      <c r="F33" s="95"/>
      <c r="G33" s="95"/>
      <c r="H33" s="95"/>
      <c r="I33" s="96"/>
      <c r="J33" s="79"/>
      <c r="K33" s="79"/>
      <c r="L33" s="96"/>
      <c r="M33" s="96"/>
      <c r="N33" s="96"/>
      <c r="O33" s="96"/>
    </row>
    <row r="34" spans="1:16382" ht="11.25" customHeight="1">
      <c r="C34" s="112" t="s">
        <v>26</v>
      </c>
      <c r="D34" s="101">
        <f>D32*D31</f>
        <v>73.233747923288973</v>
      </c>
      <c r="E34" s="95"/>
      <c r="F34" s="95"/>
      <c r="G34" s="95"/>
      <c r="H34" s="95"/>
      <c r="I34" s="96"/>
      <c r="J34" s="79"/>
      <c r="K34" s="79"/>
      <c r="L34" s="96"/>
      <c r="M34" s="96"/>
      <c r="N34" s="96"/>
      <c r="O34" s="96"/>
    </row>
    <row r="35" spans="1:16382" ht="11.25" customHeight="1">
      <c r="C35" s="112" t="s">
        <v>27</v>
      </c>
      <c r="D35" s="101">
        <f>SUM(D21:H21)</f>
        <v>27.88437514977673</v>
      </c>
      <c r="E35" s="95"/>
      <c r="F35" s="95"/>
      <c r="G35" s="95"/>
      <c r="H35" s="95"/>
      <c r="I35" s="96"/>
      <c r="J35" s="79"/>
      <c r="K35" s="79"/>
      <c r="L35" s="96"/>
      <c r="M35" s="96"/>
      <c r="N35" s="96"/>
      <c r="O35" s="96"/>
    </row>
    <row r="36" spans="1:16382" ht="11.25" customHeight="1">
      <c r="C36" s="113" t="s">
        <v>28</v>
      </c>
      <c r="D36" s="102">
        <f>D34-D35</f>
        <v>45.349372773512243</v>
      </c>
      <c r="E36" s="95"/>
      <c r="F36" s="95"/>
      <c r="G36" s="95"/>
      <c r="H36" s="95"/>
      <c r="I36" s="96"/>
      <c r="J36" s="79"/>
      <c r="K36" s="79"/>
      <c r="L36" s="96"/>
      <c r="M36" s="96"/>
      <c r="N36" s="96"/>
      <c r="O36" s="96"/>
    </row>
    <row r="37" spans="1:16382" ht="11.25" customHeight="1">
      <c r="D37" s="25"/>
      <c r="J37" s="2"/>
    </row>
    <row r="38" spans="1:16382" s="8" customFormat="1" ht="12" customHeight="1">
      <c r="B38" s="29" t="s">
        <v>44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  <c r="J39" s="256" t="str">
        <f>"Based on "&amp;'Input | General'!$D$6&amp;"'s "&amp;'Input | General'!$D$7&amp;" of Actual Capex"</f>
        <v>Based on Ergon Energy's 2018-20 True-up of Actual Capex</v>
      </c>
      <c r="K39" s="257"/>
      <c r="L39" s="257"/>
      <c r="M39" s="257"/>
      <c r="N39" s="257"/>
    </row>
    <row r="40" spans="1:16382" s="30" customFormat="1" ht="11.25" customHeight="1">
      <c r="C40" s="92"/>
      <c r="D40" s="180" t="str">
        <f>'Input | General'!D18</f>
        <v>2020-21</v>
      </c>
      <c r="E40" s="180" t="str">
        <f>'Input | General'!E18</f>
        <v>2021–22</v>
      </c>
      <c r="F40" s="180" t="str">
        <f>'Input | General'!F18</f>
        <v>2022–23</v>
      </c>
      <c r="G40" s="180" t="str">
        <f>'Input | General'!G18</f>
        <v>2023–24</v>
      </c>
      <c r="H40" s="180" t="str">
        <f>'Input | General'!H18</f>
        <v>2024–25</v>
      </c>
      <c r="I40" s="93"/>
      <c r="J40" s="180" t="str">
        <f>D40</f>
        <v>2020-21</v>
      </c>
      <c r="K40" s="180" t="str">
        <f t="shared" ref="K40:N41" si="5">E40</f>
        <v>2021–22</v>
      </c>
      <c r="L40" s="180" t="str">
        <f t="shared" si="5"/>
        <v>2022–23</v>
      </c>
      <c r="M40" s="180" t="str">
        <f t="shared" si="5"/>
        <v>2023–24</v>
      </c>
      <c r="N40" s="180" t="str">
        <f t="shared" si="5"/>
        <v>2024–25</v>
      </c>
      <c r="O40" s="93"/>
    </row>
    <row r="41" spans="1:16382" s="30" customFormat="1" ht="11.25" customHeight="1">
      <c r="C41" s="99" t="s">
        <v>99</v>
      </c>
      <c r="D41" s="168">
        <f>1/(1+'Input | Inflation and Disc Rate'!L21)</f>
        <v>0.97656398273695377</v>
      </c>
      <c r="E41" s="168">
        <f>D41/(1+'Input | Inflation and Disc Rate'!M21)</f>
        <v>0.95484554633119456</v>
      </c>
      <c r="F41" s="168">
        <f>E41/(1+'Input | Inflation and Disc Rate'!N21)</f>
        <v>0.93475527324547092</v>
      </c>
      <c r="G41" s="168">
        <f>F41/(1+'Input | Inflation and Disc Rate'!O21)</f>
        <v>0.91621151841953796</v>
      </c>
      <c r="H41" s="169">
        <f>G41/(1+'Input | Inflation and Disc Rate'!P21)</f>
        <v>0.89913986288273695</v>
      </c>
      <c r="I41" s="93"/>
      <c r="J41" s="258">
        <f>D41</f>
        <v>0.97656398273695377</v>
      </c>
      <c r="K41" s="259">
        <f>E41</f>
        <v>0.95484554633119456</v>
      </c>
      <c r="L41" s="259">
        <f t="shared" si="5"/>
        <v>0.93475527324547092</v>
      </c>
      <c r="M41" s="259">
        <f t="shared" si="5"/>
        <v>0.91621151841953796</v>
      </c>
      <c r="N41" s="260">
        <f t="shared" si="5"/>
        <v>0.89913986288273695</v>
      </c>
      <c r="O41" s="93"/>
    </row>
    <row r="42" spans="1:16382" s="30" customFormat="1" ht="11.25" customHeight="1">
      <c r="C42" s="244" t="s">
        <v>139</v>
      </c>
      <c r="D42" s="109">
        <f>D36/SUM(D41:H41)</f>
        <v>9.6868986445509719</v>
      </c>
      <c r="E42" s="109">
        <f>D42</f>
        <v>9.6868986445509719</v>
      </c>
      <c r="F42" s="109">
        <f t="shared" ref="F42:H42" si="6">E42</f>
        <v>9.6868986445509719</v>
      </c>
      <c r="G42" s="109">
        <f t="shared" si="6"/>
        <v>9.6868986445509719</v>
      </c>
      <c r="H42" s="109">
        <f t="shared" si="6"/>
        <v>9.6868986445509719</v>
      </c>
      <c r="I42" s="93"/>
      <c r="J42" s="245">
        <v>6.3552697037046322</v>
      </c>
      <c r="K42" s="246">
        <v>6.3552697037046322</v>
      </c>
      <c r="L42" s="246">
        <v>6.3552697037046322</v>
      </c>
      <c r="M42" s="246">
        <v>6.3552697037046322</v>
      </c>
      <c r="N42" s="247">
        <v>6.3552697037046322</v>
      </c>
      <c r="O42" s="93"/>
    </row>
    <row r="43" spans="1:16382" s="30" customFormat="1" ht="11.25" customHeight="1">
      <c r="C43" s="79"/>
      <c r="D43" s="79"/>
      <c r="E43" s="79"/>
      <c r="F43" s="79"/>
      <c r="G43" s="79"/>
      <c r="H43" s="79"/>
      <c r="I43" s="79"/>
      <c r="J43" s="245">
        <f>D36/(SUM(J41:N41))</f>
        <v>9.6868986445509719</v>
      </c>
      <c r="K43" s="246">
        <f>J43</f>
        <v>9.6868986445509719</v>
      </c>
      <c r="L43" s="246">
        <f t="shared" ref="L43" si="7">K43</f>
        <v>9.6868986445509719</v>
      </c>
      <c r="M43" s="246">
        <f t="shared" ref="M43" si="8">L43</f>
        <v>9.6868986445509719</v>
      </c>
      <c r="N43" s="247">
        <f t="shared" ref="N43" si="9">M43</f>
        <v>9.6868986445509719</v>
      </c>
      <c r="O43" s="79"/>
    </row>
    <row r="44" spans="1:16382" s="79" customFormat="1" ht="11.25" customHeight="1">
      <c r="K44" s="93"/>
      <c r="L44" s="93"/>
      <c r="M44" s="93"/>
    </row>
    <row r="45" spans="1:16382" s="30" customFormat="1" ht="11.25" customHeight="1">
      <c r="C45" s="186" t="str">
        <f>CONCATENATE("Total CESS Payment ($", 'Output | Models'!$F$8," million)")</f>
        <v>Total CESS Payment ($2019–20 million)</v>
      </c>
      <c r="D45" s="154">
        <f>SUM(D42:H42)</f>
        <v>48.43449322275486</v>
      </c>
      <c r="E45" s="70"/>
      <c r="F45" s="70"/>
      <c r="G45" s="70"/>
      <c r="H45" s="70"/>
      <c r="I45" s="93"/>
      <c r="J45" s="261">
        <f>SUM(J42:N42)</f>
        <v>31.776348518523161</v>
      </c>
      <c r="K45" s="93"/>
      <c r="L45" s="93"/>
      <c r="M45" s="93"/>
      <c r="N45" s="93"/>
      <c r="O45" s="93"/>
    </row>
    <row r="46" spans="1:16382" s="30" customFormat="1" ht="11.25" customHeight="1">
      <c r="C46" s="69"/>
      <c r="D46" s="98"/>
      <c r="E46" s="70"/>
      <c r="F46" s="70"/>
      <c r="G46" s="70"/>
      <c r="H46" s="70"/>
      <c r="I46" s="93"/>
      <c r="J46" s="93"/>
      <c r="K46" s="93"/>
      <c r="L46" s="93"/>
      <c r="M46" s="93"/>
      <c r="N46" s="93"/>
      <c r="O46" s="93"/>
    </row>
    <row r="47" spans="1:16382" s="30" customFormat="1" ht="11.25" customHeight="1">
      <c r="C47" s="103"/>
      <c r="D47" s="103"/>
      <c r="E47" s="103"/>
      <c r="F47" s="103"/>
      <c r="G47" s="103"/>
      <c r="H47" s="103"/>
      <c r="I47" s="103"/>
      <c r="J47" s="262">
        <f>D45-J45</f>
        <v>16.658144704231699</v>
      </c>
      <c r="K47" s="263" t="s">
        <v>120</v>
      </c>
      <c r="L47" s="103"/>
      <c r="M47" s="103"/>
      <c r="N47" s="103"/>
      <c r="O47" s="103"/>
    </row>
    <row r="48" spans="1:16382" ht="12" customHeight="1">
      <c r="A48" s="29"/>
      <c r="B48" s="29" t="s">
        <v>33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>
      <selection activeCell="J8" sqref="J8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28515625" style="52" customWidth="1"/>
    <col min="7" max="9" width="2.71093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Ergon Energy 2020-25 2018-20 True-up - Capital expenditure sharing scheme model</v>
      </c>
      <c r="C1" s="35"/>
      <c r="D1" s="35"/>
      <c r="E1" s="35"/>
      <c r="F1" s="36"/>
      <c r="G1" s="36"/>
      <c r="H1" s="36"/>
      <c r="I1" s="36"/>
      <c r="J1" s="104"/>
      <c r="K1" s="105" t="s">
        <v>46</v>
      </c>
      <c r="L1" s="156" t="s">
        <v>47</v>
      </c>
      <c r="M1" s="161" t="s">
        <v>35</v>
      </c>
      <c r="R1" s="106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64"/>
      <c r="K3" s="264"/>
      <c r="L3" s="264"/>
      <c r="M3" s="42"/>
      <c r="N3" s="264"/>
      <c r="O3" s="264"/>
      <c r="P3" s="264"/>
      <c r="Q3" s="264"/>
      <c r="R3" s="264"/>
      <c r="S3" s="264"/>
      <c r="T3" s="264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55</v>
      </c>
      <c r="C4" s="44"/>
      <c r="D4" s="44"/>
      <c r="E4" s="44"/>
      <c r="F4" s="44"/>
      <c r="G4" s="46"/>
      <c r="H4" s="46"/>
      <c r="I4" s="46"/>
      <c r="J4" s="47" t="s">
        <v>56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51</v>
      </c>
      <c r="F6" s="55" t="s">
        <v>4</v>
      </c>
      <c r="H6" s="55"/>
      <c r="I6" s="55"/>
      <c r="J6" s="181" t="str">
        <f>'Calc | CESS Revenue Increments'!D40</f>
        <v>2020-21</v>
      </c>
      <c r="K6" s="181" t="str">
        <f>'Calc | CESS Revenue Increments'!E40</f>
        <v>2021–22</v>
      </c>
      <c r="L6" s="181" t="str">
        <f>'Calc | CESS Revenue Increments'!F40</f>
        <v>2022–23</v>
      </c>
      <c r="M6" s="181" t="str">
        <f>'Calc | CESS Revenue Increments'!G40</f>
        <v>2023–24</v>
      </c>
      <c r="N6" s="181" t="str">
        <f>'Calc | CESS Revenue Increments'!H40</f>
        <v>2024–25</v>
      </c>
      <c r="O6" s="56" t="s">
        <v>87</v>
      </c>
      <c r="P6" s="135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84</v>
      </c>
      <c r="D8" s="183" t="s">
        <v>57</v>
      </c>
      <c r="E8" s="52" t="s">
        <v>49</v>
      </c>
      <c r="F8" s="182" t="str">
        <f>IF(LEN(J6)&gt;4,CONCATENATE(LEFT(J6,4)-1&amp;"–"&amp;IF(RIGHT(J6,2)="00","99",IF(RIGHT(J6,2)-1&lt;10,"0","")&amp;RIGHT(J6,2)-1)),J6-1)</f>
        <v>2019–20</v>
      </c>
      <c r="H8" s="55"/>
      <c r="I8" s="55"/>
      <c r="J8" s="132">
        <f>'Calc | CESS Revenue Increments'!D42</f>
        <v>9.6868986445509719</v>
      </c>
      <c r="K8" s="132">
        <f>'Calc | CESS Revenue Increments'!E42</f>
        <v>9.6868986445509719</v>
      </c>
      <c r="L8" s="132">
        <f>'Calc | CESS Revenue Increments'!F42</f>
        <v>9.6868986445509719</v>
      </c>
      <c r="M8" s="132">
        <f>'Calc | CESS Revenue Increments'!G42</f>
        <v>9.6868986445509719</v>
      </c>
      <c r="N8" s="132">
        <f>'Calc | CESS Revenue Increments'!H42</f>
        <v>9.6868986445509719</v>
      </c>
      <c r="O8" s="60">
        <f>SUM(J8:N8)</f>
        <v>48.43449322275486</v>
      </c>
      <c r="P8" s="136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3"/>
      <c r="K10" s="133"/>
      <c r="L10" s="133"/>
      <c r="M10" s="133"/>
      <c r="N10" s="133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33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7" spans="13:20" hidden="1">
      <c r="M17" s="61"/>
      <c r="N17" s="61"/>
      <c r="O17" s="61"/>
      <c r="P17" s="61"/>
      <c r="Q17" s="61"/>
      <c r="R17" s="61"/>
      <c r="S17" s="61"/>
      <c r="T17" s="61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AER draft decision amendments</vt:lpstr>
      <vt:lpstr>Input | General</vt:lpstr>
      <vt:lpstr>Input | Inflation and Disc Rate</vt:lpstr>
      <vt:lpstr>FY19 Capex</vt:lpstr>
      <vt:lpstr>FY20 Capex</vt:lpstr>
      <vt:lpstr>Input | Reported Capex</vt:lpstr>
      <vt:lpstr>Calc | CESS Revenue Increments</vt:lpstr>
      <vt:lpstr>Output | Models</vt:lpstr>
      <vt:lpstr>Output| CESS true-up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2024-09-16T03:52:19Z</dcterms:created>
  <dcterms:modified xsi:type="dcterms:W3CDTF">2024-09-16T03:52:55Z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2024-09-16T03:52:54Z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316b7d73-d7d6-4935-aa25-4db2d466eb4a</vt:lpwstr>
  </property>
  <property fmtid="{D5CDD505-2E9C-101B-9397-08002B2CF9AE}" pid="8" name="MSIP_Label_d9d5a995-dfdf-4407-9a97-edbbc68c9f53_ContentBits">
    <vt:lpwstr>0</vt:lpwstr>
  </property>
</Properties>
</file>