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3AFBB5DD-CB7E-46C1-8C10-028117C84866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Index" sheetId="5" r:id="rId1"/>
    <sheet name="AER draft decision amendments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  <externalReference r:id="rId9"/>
    <externalReference r:id="rId10"/>
    <externalReference r:id="rId11"/>
  </externalReferences>
  <definedNames>
    <definedName name="A10remlife">'[1]RFM input'!$J$16</definedName>
    <definedName name="A10stdlife">'[1]RFM input'!$K$16</definedName>
    <definedName name="A10taxremlife">'[1]RFM input'!$S$16</definedName>
    <definedName name="A10taxstdlife">'[1]RFM input'!$T$16</definedName>
    <definedName name="A10taxvalue">'[1]TAB roll forward'!$H$17</definedName>
    <definedName name="A10value">'[1]RAB roll forward'!$H$727</definedName>
    <definedName name="A11remlife">'[1]RFM input'!$J$17</definedName>
    <definedName name="A11stdlife">'[1]RFM input'!$K$17</definedName>
    <definedName name="A11taxremlife">'[1]RFM input'!$S$17</definedName>
    <definedName name="A11taxstdlife">'[1]RFM input'!$T$17</definedName>
    <definedName name="A11taxvalue">'[1]TAB roll forward'!$H$18</definedName>
    <definedName name="A11value">'[1]RAB roll forward'!$H$728</definedName>
    <definedName name="A12remlife">'[1]RFM input'!$J$18</definedName>
    <definedName name="A12stdlife">'[1]RFM input'!$K$18</definedName>
    <definedName name="A12taxremlife">'[1]RFM input'!$S$18</definedName>
    <definedName name="A12taxstdlife">'[1]RFM input'!$T$18</definedName>
    <definedName name="A12taxvalue">'[1]TAB roll forward'!$H$19</definedName>
    <definedName name="A12value">'[1]RAB roll forward'!$H$729</definedName>
    <definedName name="A13remlife">'[1]RFM input'!$J$19</definedName>
    <definedName name="A13stdlife">'[1]RFM input'!$K$19</definedName>
    <definedName name="A13taxremlife">'[1]RFM input'!$S$19</definedName>
    <definedName name="A13taxstdlife">'[1]RFM input'!$T$19</definedName>
    <definedName name="A13taxvalue">'[1]TAB roll forward'!$H$20</definedName>
    <definedName name="A13value">'[1]RAB roll forward'!$H$730</definedName>
    <definedName name="A14remlife">'[1]RFM input'!$J$20</definedName>
    <definedName name="A14stdlife">'[1]RFM input'!$K$20</definedName>
    <definedName name="A14taxremlife">'[1]RFM input'!$S$20</definedName>
    <definedName name="A14taxstdlife">'[1]RFM input'!$T$20</definedName>
    <definedName name="A14taxvalue">'[1]TAB roll forward'!$H$21</definedName>
    <definedName name="A14value">'[1]RAB roll forward'!$H$731</definedName>
    <definedName name="A15remlife">'[1]RFM input'!$J$21</definedName>
    <definedName name="A15stdlife">'[1]RFM input'!$K$21</definedName>
    <definedName name="A15taxremlife">'[1]RFM input'!$S$21</definedName>
    <definedName name="A15taxstdlife">'[1]RFM input'!$T$21</definedName>
    <definedName name="A15taxvalue">'[1]TAB roll forward'!$H$22</definedName>
    <definedName name="A15value">'[1]RAB roll forward'!$H$732</definedName>
    <definedName name="A16remlife">'[1]RFM input'!$J$22</definedName>
    <definedName name="A16stdlife">'[1]RFM input'!$K$22</definedName>
    <definedName name="A16taxremlife">'[1]RFM input'!$S$22</definedName>
    <definedName name="A16taxstdlife">'[1]RFM input'!$T$22</definedName>
    <definedName name="A16taxvalue">'[1]TAB roll forward'!$H$23</definedName>
    <definedName name="A16value">'[1]RAB roll forward'!$H$733</definedName>
    <definedName name="A17remlife">'[1]RFM input'!$J$23</definedName>
    <definedName name="A17stdlife">'[1]RFM input'!$K$23</definedName>
    <definedName name="A17taxremlife">'[1]RFM input'!$S$23</definedName>
    <definedName name="A17taxstdlife">'[1]RFM input'!$T$23</definedName>
    <definedName name="A17taxvalue">'[1]TAB roll forward'!$H$24</definedName>
    <definedName name="A17value">'[1]RAB roll forward'!$H$734</definedName>
    <definedName name="A18remlife">'[1]RFM input'!$J$24</definedName>
    <definedName name="A18stdlife">'[1]RFM input'!$K$24</definedName>
    <definedName name="A18taxremlife">'[1]RFM input'!$S$24</definedName>
    <definedName name="A18taxstdlife">'[1]RFM input'!$T$24</definedName>
    <definedName name="A18taxvalue">'[1]TAB roll forward'!$H$25</definedName>
    <definedName name="A18value">'[1]RAB roll forward'!$H$735</definedName>
    <definedName name="A19remlife">'[1]RFM input'!$J$25</definedName>
    <definedName name="A19stdlife">'[1]RFM input'!$K$25</definedName>
    <definedName name="A19taxremlife">'[1]RFM input'!$S$25</definedName>
    <definedName name="A19taxstdlife">'[1]RFM input'!$T$25</definedName>
    <definedName name="A19taxvalue">'[1]TAB roll forward'!$H$26</definedName>
    <definedName name="A19value">'[1]RAB roll forward'!$H$736</definedName>
    <definedName name="A1remlife">'[1]RFM input'!$J$7</definedName>
    <definedName name="A1stdlife">'[1]RFM input'!$K$7</definedName>
    <definedName name="A1taxremlife">'[1]RFM input'!$S$7</definedName>
    <definedName name="A1taxstdlife">'[1]RFM input'!$T$7</definedName>
    <definedName name="A1taxvalue">'[1]TAB roll forward'!$H$8</definedName>
    <definedName name="A1value">'[1]RAB roll forward'!$H$718</definedName>
    <definedName name="A20remlife">'[1]RFM input'!$J$26</definedName>
    <definedName name="A20stdlife">'[1]RFM input'!$K$26</definedName>
    <definedName name="A20taxremlife">'[1]RFM input'!$S$26</definedName>
    <definedName name="A20taxstdlife">'[1]RFM input'!$T$26</definedName>
    <definedName name="A20taxvalue">'[1]TAB roll forward'!$H$27</definedName>
    <definedName name="A20value">'[1]RAB roll forward'!$H$737</definedName>
    <definedName name="A21remlife">'[1]RFM input'!$J$27</definedName>
    <definedName name="A21stdlife">'[1]RFM input'!$K$27</definedName>
    <definedName name="A21taxremlife">'[1]RFM input'!$S$27</definedName>
    <definedName name="A21taxstdlife">'[1]RFM input'!$T$27</definedName>
    <definedName name="A21taxvalue">'[1]TAB roll forward'!$H$28</definedName>
    <definedName name="A21value">'[1]RAB roll forward'!$H$738</definedName>
    <definedName name="A22remlife">'[1]RFM input'!$J$28</definedName>
    <definedName name="A22stdlife">'[1]RFM input'!$K$28</definedName>
    <definedName name="A22taxremlife">'[1]RFM input'!$S$28</definedName>
    <definedName name="A22taxstdlife">'[1]RFM input'!$T$28</definedName>
    <definedName name="A22taxvalue">'[1]TAB roll forward'!$H$29</definedName>
    <definedName name="A22value">'[1]RAB roll forward'!$H$739</definedName>
    <definedName name="A23remlife">'[1]RFM input'!$J$29</definedName>
    <definedName name="A23stdlife">'[1]RFM input'!$K$29</definedName>
    <definedName name="A23taxremlife">'[1]RFM input'!$S$29</definedName>
    <definedName name="A23taxstdlife">'[1]RFM input'!$T$29</definedName>
    <definedName name="A23taxvalue">'[1]TAB roll forward'!$H$30</definedName>
    <definedName name="A23value">'[1]RAB roll forward'!$H$740</definedName>
    <definedName name="A24remlife">'[1]RFM input'!$J$30</definedName>
    <definedName name="A24stdlife">'[1]RFM input'!$K$30</definedName>
    <definedName name="A24taxremlife">'[1]RFM input'!$S$30</definedName>
    <definedName name="A24taxstdlife">'[1]RFM input'!$T$30</definedName>
    <definedName name="A24taxvalue">'[1]TAB roll forward'!$H$31</definedName>
    <definedName name="A24value">'[1]RAB roll forward'!$H$741</definedName>
    <definedName name="A25remlife">'[1]RFM input'!$J$31</definedName>
    <definedName name="A25stdlife">'[1]RFM input'!$K$31</definedName>
    <definedName name="A25taxremlife">'[1]RFM input'!$S$31</definedName>
    <definedName name="A25taxstdlife">'[1]RFM input'!$T$31</definedName>
    <definedName name="A25taxvalue">'[1]TAB roll forward'!$H$32</definedName>
    <definedName name="A25value">'[1]RAB roll forward'!$H$742</definedName>
    <definedName name="A26remlife">'[1]RFM input'!$J$32</definedName>
    <definedName name="A26stdlife">'[1]RFM input'!$K$32</definedName>
    <definedName name="A26taxremlife">'[1]RFM input'!$S$32</definedName>
    <definedName name="A26taxstdlife">'[1]RFM input'!$T$32</definedName>
    <definedName name="A26taxvalue">'[1]TAB roll forward'!$H$33</definedName>
    <definedName name="A26value">'[1]RAB roll forward'!$H$743</definedName>
    <definedName name="A27remlife">'[1]RFM input'!$J$33</definedName>
    <definedName name="A27stdlife">'[1]RFM input'!$K$33</definedName>
    <definedName name="A27taxremlife">'[1]RFM input'!$S$33</definedName>
    <definedName name="A27taxstdlife">'[1]RFM input'!$T$33</definedName>
    <definedName name="A27taxvalue">'[1]TAB roll forward'!$H$34</definedName>
    <definedName name="A27value">'[1]RAB roll forward'!$H$744</definedName>
    <definedName name="A28remlife">'[1]RFM input'!$J$34</definedName>
    <definedName name="A28stdlife">'[1]RFM input'!$K$34</definedName>
    <definedName name="A28taxremlife">'[1]RFM input'!$S$34</definedName>
    <definedName name="A28taxstdlife">'[1]RFM input'!$T$34</definedName>
    <definedName name="A28taxvalue">'[1]TAB roll forward'!$H$35</definedName>
    <definedName name="A28value">'[1]RAB roll forward'!$H$745</definedName>
    <definedName name="A29remlife">'[1]RFM input'!$J$35</definedName>
    <definedName name="A29stdlife">'[1]RFM input'!$K$35</definedName>
    <definedName name="A29taxremlife">'[1]RFM input'!$S$35</definedName>
    <definedName name="A29taxstdlife">'[1]RFM input'!$T$35</definedName>
    <definedName name="A29taxvalue">'[1]TAB roll forward'!$H$36</definedName>
    <definedName name="A29value">'[1]RAB roll forward'!$H$746</definedName>
    <definedName name="A2remlife">'[1]RFM input'!$J$8</definedName>
    <definedName name="A2stdlife">'[1]RFM input'!$K$8</definedName>
    <definedName name="A2taxremlife">'[1]RFM input'!$S$8</definedName>
    <definedName name="A2taxstdlife">'[1]RFM input'!$T$8</definedName>
    <definedName name="A2taxvalue">'[1]TAB roll forward'!$H$9</definedName>
    <definedName name="A2value">'[1]RAB roll forward'!$H$719</definedName>
    <definedName name="A30remlife">'[1]RFM input'!$J$36</definedName>
    <definedName name="A30stdlife">'[1]RFM input'!$K$36</definedName>
    <definedName name="A30taxremlife">'[1]RFM input'!$S$36</definedName>
    <definedName name="A30taxstdlife">'[1]RFM input'!$T$36</definedName>
    <definedName name="A30taxvalue">'[1]TAB roll forward'!$H$37</definedName>
    <definedName name="A30value">'[1]RAB roll forward'!$H$747</definedName>
    <definedName name="A31remlife">'[1]RFM input'!$J$37</definedName>
    <definedName name="A31stdlife">'[1]RFM input'!$K$37</definedName>
    <definedName name="A31taxremlife">'[1]RFM input'!$S$37</definedName>
    <definedName name="A31taxstdlife">'[1]RFM input'!$T$37</definedName>
    <definedName name="A31taxvalue">'[1]TAB roll forward'!$H$38</definedName>
    <definedName name="A31value">'[1]RAB roll forward'!$H$748</definedName>
    <definedName name="A32remlife">'[1]RFM input'!$J$38</definedName>
    <definedName name="A32stdlife">'[1]RFM input'!$K$38</definedName>
    <definedName name="A32taxremlife">'[1]RFM input'!$S$38</definedName>
    <definedName name="A32taxstdlife">'[1]RFM input'!$T$38</definedName>
    <definedName name="A32taxvalue">'[1]TAB roll forward'!$H$39</definedName>
    <definedName name="A32value">'[1]RAB roll forward'!$H$749</definedName>
    <definedName name="A33remlife">'[1]RFM input'!$J$39</definedName>
    <definedName name="A33stdlife">'[1]RFM input'!$K$39</definedName>
    <definedName name="A33taxremlife">'[1]RFM input'!$S$39</definedName>
    <definedName name="A33taxstdlife">'[1]RFM input'!$T$39</definedName>
    <definedName name="A33taxvalue">'[1]TAB roll forward'!$H$40</definedName>
    <definedName name="A33value">'[1]RAB roll forward'!$H$750</definedName>
    <definedName name="A34remlife">'[1]RFM input'!$J$40</definedName>
    <definedName name="A34stdlife">'[1]RFM input'!$K$40</definedName>
    <definedName name="A34taxremlife">'[1]RFM input'!$S$40</definedName>
    <definedName name="A34taxstdlife">'[1]RFM input'!$T$40</definedName>
    <definedName name="A34taxvalue">'[1]TAB roll forward'!$H$41</definedName>
    <definedName name="A34value">'[1]RAB roll forward'!$H$751</definedName>
    <definedName name="A35remlife">'[1]RFM input'!$J$41</definedName>
    <definedName name="A35stdlife">'[1]RFM input'!$K$41</definedName>
    <definedName name="A35taxremlife">'[1]RFM input'!$S$41</definedName>
    <definedName name="A35taxstdlife">'[1]RFM input'!$T$41</definedName>
    <definedName name="A35taxvalue">'[1]TAB roll forward'!$H$42</definedName>
    <definedName name="A35value">'[1]RAB roll forward'!$H$752</definedName>
    <definedName name="A36remlife">'[1]RFM input'!$J$42</definedName>
    <definedName name="A36stdlife">'[1]RFM input'!$K$42</definedName>
    <definedName name="A36taxremlife">'[1]RFM input'!$S$42</definedName>
    <definedName name="A36taxstdlife">'[1]RFM input'!$T$42</definedName>
    <definedName name="A36taxvalue">'[1]TAB roll forward'!$H$43</definedName>
    <definedName name="A36value">'[1]RAB roll forward'!$H$753</definedName>
    <definedName name="A37remlife">'[1]RFM input'!$J$43</definedName>
    <definedName name="A37stdlife">'[1]RFM input'!$K$43</definedName>
    <definedName name="A37taxremlife">'[1]RFM input'!$S$43</definedName>
    <definedName name="A37taxstdlife">'[1]RFM input'!$T$43</definedName>
    <definedName name="A37taxvalue">'[1]TAB roll forward'!$H$44</definedName>
    <definedName name="A37value">'[1]RAB roll forward'!$H$754</definedName>
    <definedName name="A38remlife">'[1]RFM input'!$J$44</definedName>
    <definedName name="A38stdlife">'[1]RFM input'!$K$44</definedName>
    <definedName name="A38taxremlife">'[1]RFM input'!$S$44</definedName>
    <definedName name="A38taxstdlife">'[1]RFM input'!$T$44</definedName>
    <definedName name="A38taxvalue">'[1]TAB roll forward'!$H$45</definedName>
    <definedName name="A38value">'[1]RAB roll forward'!$H$755</definedName>
    <definedName name="A39remlife">'[1]RFM input'!$J$45</definedName>
    <definedName name="A39stdlife">'[1]RFM input'!$K$45</definedName>
    <definedName name="A39taxremlife">'[1]RFM input'!$S$45</definedName>
    <definedName name="A39taxstdlife">'[1]RFM input'!$T$45</definedName>
    <definedName name="A39taxvalue">'[1]TAB roll forward'!$H$46</definedName>
    <definedName name="A39value">'[1]RAB roll forward'!$H$756</definedName>
    <definedName name="A3remlife">'[1]RFM input'!$J$9</definedName>
    <definedName name="A3stdlife">'[1]RFM input'!$K$9</definedName>
    <definedName name="A3taxremlife">'[1]RFM input'!$S$9</definedName>
    <definedName name="A3taxstdlife">'[1]RFM input'!$T$9</definedName>
    <definedName name="A3taxvalue">'[1]TAB roll forward'!$H$10</definedName>
    <definedName name="A3value">'[1]RAB roll forward'!$H$720</definedName>
    <definedName name="A40remlife">'[1]RFM input'!$J$46</definedName>
    <definedName name="A40stdlife">'[1]RFM input'!$K$46</definedName>
    <definedName name="A40taxremlife">'[1]RFM input'!$S$46</definedName>
    <definedName name="A40taxstdlife">'[1]RFM input'!$T$46</definedName>
    <definedName name="A40taxvalue">'[1]TAB roll forward'!$H$47</definedName>
    <definedName name="A40value">'[1]RAB roll forward'!$H$757</definedName>
    <definedName name="A41remlife">'[1]RFM input'!$J$47</definedName>
    <definedName name="A41stdlife">'[1]RFM input'!$K$47</definedName>
    <definedName name="A41taxremlife">'[1]RFM input'!$S$47</definedName>
    <definedName name="A41taxstdlife">'[1]RFM input'!$T$47</definedName>
    <definedName name="A41taxvalue">'[1]TAB roll forward'!$H$48</definedName>
    <definedName name="A41value">'[1]RAB roll forward'!$H$758</definedName>
    <definedName name="A42remlife">'[1]RFM input'!$J$48</definedName>
    <definedName name="A42stdlife">'[1]RFM input'!$K$48</definedName>
    <definedName name="A42taxremlife">'[1]RFM input'!$S$48</definedName>
    <definedName name="A42taxstdlife">'[1]RFM input'!$T$48</definedName>
    <definedName name="A42taxvalue">'[1]TAB roll forward'!$H$49</definedName>
    <definedName name="A42value">'[1]RAB roll forward'!$H$759</definedName>
    <definedName name="A43remlife">'[1]RFM input'!$J$49</definedName>
    <definedName name="A43stdlife">'[1]RFM input'!$K$49</definedName>
    <definedName name="A43taxremlife">'[1]RFM input'!$S$49</definedName>
    <definedName name="A43taxstdlife">'[1]RFM input'!$T$49</definedName>
    <definedName name="A43taxvalue">'[1]TAB roll forward'!$H$50</definedName>
    <definedName name="A43value">'[1]RAB roll forward'!$H$760</definedName>
    <definedName name="A44remlife">'[1]RFM input'!$J$50</definedName>
    <definedName name="A44stdlife">'[1]RFM input'!$K$50</definedName>
    <definedName name="A44taxremlife">'[1]RFM input'!$S$50</definedName>
    <definedName name="A44taxstdlife">'[1]RFM input'!$T$50</definedName>
    <definedName name="A44taxvalue">'[1]TAB roll forward'!$H$51</definedName>
    <definedName name="A44value">'[1]RAB roll forward'!$H$761</definedName>
    <definedName name="A45remlife">'[1]RFM input'!$J$51</definedName>
    <definedName name="A45stdlife">'[1]RFM input'!$K$51</definedName>
    <definedName name="A45taxremlife">'[1]RFM input'!$S$51</definedName>
    <definedName name="A45taxstdlife">'[1]RFM input'!$T$51</definedName>
    <definedName name="A45taxvalue">'[1]TAB roll forward'!$H$52</definedName>
    <definedName name="A45value">'[1]RAB roll forward'!$H$762</definedName>
    <definedName name="A46remlife">'[1]RFM input'!$J$52</definedName>
    <definedName name="A46stdlife">'[1]RFM input'!$K$52</definedName>
    <definedName name="A46taxremlife">'[1]RFM input'!$S$52</definedName>
    <definedName name="A46taxstdlife">'[1]RFM input'!$T$52</definedName>
    <definedName name="A46taxvalue">'[1]TAB roll forward'!$H$53</definedName>
    <definedName name="A46value">'[1]RAB roll forward'!$H$763</definedName>
    <definedName name="A47remlife">'[1]RFM input'!$J$53</definedName>
    <definedName name="A47stdlife">'[1]RFM input'!$K$53</definedName>
    <definedName name="A47taxremlife">'[1]RFM input'!$S$53</definedName>
    <definedName name="A47taxstdlife">'[1]RFM input'!$T$53</definedName>
    <definedName name="A47taxvalue">'[1]TAB roll forward'!$H$54</definedName>
    <definedName name="A47value">'[1]RAB roll forward'!$H$764</definedName>
    <definedName name="A48remlife">'[1]RFM input'!$J$54</definedName>
    <definedName name="A48stdlife">'[1]RFM input'!$K$54</definedName>
    <definedName name="A48taxremlife">'[1]RFM input'!$S$54</definedName>
    <definedName name="A48taxstdlife">'[1]RFM input'!$T$54</definedName>
    <definedName name="A48taxvalue">'[1]TAB roll forward'!$H$55</definedName>
    <definedName name="A48value">'[1]RAB roll forward'!$H$765</definedName>
    <definedName name="A49remlife">'[1]RFM input'!$J$55</definedName>
    <definedName name="A49stdlife">'[1]RFM input'!$K$55</definedName>
    <definedName name="A49taxremlife">'[1]RFM input'!$S$55</definedName>
    <definedName name="A49taxstdlife">'[1]RFM input'!$T$55</definedName>
    <definedName name="A49taxvalue">'[1]TAB roll forward'!$H$56</definedName>
    <definedName name="A49value">'[1]RAB roll forward'!$H$766</definedName>
    <definedName name="A4remlife">'[1]RFM input'!$J$10</definedName>
    <definedName name="A4stdlife">'[1]RFM input'!$K$10</definedName>
    <definedName name="A4taxremlife">'[1]RFM input'!$S$10</definedName>
    <definedName name="A4taxstdlife">'[1]RFM input'!$T$10</definedName>
    <definedName name="A4taxvalue">'[1]TAB roll forward'!$H$11</definedName>
    <definedName name="A4value">'[1]RAB roll forward'!$H$721</definedName>
    <definedName name="A50remlife">'[1]RFM input'!$J$56</definedName>
    <definedName name="A50stdlife">'[1]RFM input'!$K$56</definedName>
    <definedName name="A50taxremlife">'[1]RFM input'!$S$56</definedName>
    <definedName name="A50taxstdlife">'[1]RFM input'!$T$56</definedName>
    <definedName name="A50taxvalue">'[1]TAB roll forward'!$H$57</definedName>
    <definedName name="A50value">'[1]RAB roll forward'!$H$767</definedName>
    <definedName name="A5remlife">'[1]RFM input'!$J$11</definedName>
    <definedName name="A5stdlife">'[1]RFM input'!$K$11</definedName>
    <definedName name="A5taxremlife">'[1]RFM input'!$S$11</definedName>
    <definedName name="A5taxstdlife">'[1]RFM input'!$T$11</definedName>
    <definedName name="A5taxvalue">'[1]TAB roll forward'!$H$12</definedName>
    <definedName name="A5value">'[1]RAB roll forward'!$H$722</definedName>
    <definedName name="A6remlife">'[1]RFM input'!$J$12</definedName>
    <definedName name="A6stdlife">'[1]RFM input'!$K$12</definedName>
    <definedName name="A6taxremlife">'[1]RFM input'!$S$12</definedName>
    <definedName name="A6taxstdlife">'[1]RFM input'!$T$12</definedName>
    <definedName name="A6taxvalue">'[1]TAB roll forward'!$H$13</definedName>
    <definedName name="A6value">'[1]RAB roll forward'!$H$723</definedName>
    <definedName name="A7remlife">'[1]RFM input'!$J$13</definedName>
    <definedName name="A7stdlife">'[1]RFM input'!$K$13</definedName>
    <definedName name="A7taxremlife">'[1]RFM input'!$S$13</definedName>
    <definedName name="A7taxstdlife">'[1]RFM input'!$T$13</definedName>
    <definedName name="A7taxvalue">'[1]TAB roll forward'!$H$14</definedName>
    <definedName name="A7value">'[1]RAB roll forward'!$H$724</definedName>
    <definedName name="A8remlife">'[1]RFM input'!$J$14</definedName>
    <definedName name="A8stdlife">'[1]RFM input'!$K$14</definedName>
    <definedName name="A8taxremlife">'[1]RFM input'!$S$14</definedName>
    <definedName name="A8taxstdlife">'[1]RFM input'!$T$14</definedName>
    <definedName name="A8taxvalue">'[1]TAB roll forward'!$H$15</definedName>
    <definedName name="A8value">'[1]RAB roll forward'!$H$725</definedName>
    <definedName name="A9remlife">'[1]RFM input'!$J$15</definedName>
    <definedName name="A9stdlife">'[1]RFM input'!$K$15</definedName>
    <definedName name="A9taxremlife">'[1]RFM input'!$S$15</definedName>
    <definedName name="A9taxstdlife">'[1]RFM input'!$T$15</definedName>
    <definedName name="A9taxvalue">'[1]TAB roll forward'!$H$16</definedName>
    <definedName name="A9value">'[1]RAB roll forward'!$H$726</definedName>
    <definedName name="anscount" hidden="1">1</definedName>
    <definedName name="Asset1">'[1]RFM input'!$F$7</definedName>
    <definedName name="Asset10">'[1]RFM input'!$F$16</definedName>
    <definedName name="Asset11">'[1]RFM input'!$F$17</definedName>
    <definedName name="Asset12">'[1]RFM input'!$F$18</definedName>
    <definedName name="Asset13">'[1]RFM input'!$F$19</definedName>
    <definedName name="Asset14">'[1]RFM input'!$F$20</definedName>
    <definedName name="Asset15">'[1]RFM input'!$F$21</definedName>
    <definedName name="Asset16">'[1]RFM input'!$F$22</definedName>
    <definedName name="Asset17">'[1]RFM input'!$F$23</definedName>
    <definedName name="Asset18">'[1]RFM input'!$F$24</definedName>
    <definedName name="Asset19">'[1]RFM input'!$F$25</definedName>
    <definedName name="Asset2">'[1]RFM input'!$F$8</definedName>
    <definedName name="Asset20">'[1]RFM input'!$F$26</definedName>
    <definedName name="Asset21">'[1]RFM input'!$F$27</definedName>
    <definedName name="Asset22">'[1]RFM input'!$F$28</definedName>
    <definedName name="Asset23">'[1]RFM input'!$F$29</definedName>
    <definedName name="Asset24" localSheetId="1">'[1]RFM input'!$F$30</definedName>
    <definedName name="Asset25" localSheetId="1">'[1]RFM input'!$F$31</definedName>
    <definedName name="Asset26" localSheetId="1">'[1]RFM input'!$F$32</definedName>
    <definedName name="Asset27">'[1]RFM input'!$F$33</definedName>
    <definedName name="Asset28">'[1]RFM input'!$F$34</definedName>
    <definedName name="Asset29">'[1]RFM input'!$F$35</definedName>
    <definedName name="Asset3">'[1]RFM input'!$F$9</definedName>
    <definedName name="Asset30">'[1]RFM input'!$F$36</definedName>
    <definedName name="Asset31">'[1]RFM input'!$F$37</definedName>
    <definedName name="Asset32">'[1]RFM input'!$F$38</definedName>
    <definedName name="Asset33">'[1]RFM input'!$F$39</definedName>
    <definedName name="Asset34">'[1]RFM input'!$F$40</definedName>
    <definedName name="Asset35">'[1]RFM input'!$F$41</definedName>
    <definedName name="Asset36">'[1]RFM input'!$F$42</definedName>
    <definedName name="Asset37">'[1]RFM input'!$F$43</definedName>
    <definedName name="Asset38">'[1]RFM input'!$F$44</definedName>
    <definedName name="Asset39">'[1]RFM input'!$F$45</definedName>
    <definedName name="Asset4">'[1]RFM input'!$F$10</definedName>
    <definedName name="Asset40">'[1]RFM input'!$F$46</definedName>
    <definedName name="Asset41">'[1]RFM input'!$F$47</definedName>
    <definedName name="Asset42">'[1]RFM input'!$F$48</definedName>
    <definedName name="Asset43">'[1]RFM input'!$F$49</definedName>
    <definedName name="Asset44">'[1]RFM input'!$F$50</definedName>
    <definedName name="Asset45">'[1]RFM input'!$F$51</definedName>
    <definedName name="Asset46">'[1]RFM input'!$F$52</definedName>
    <definedName name="Asset47">'[1]RFM input'!$F$53</definedName>
    <definedName name="Asset48">'[1]RFM input'!$F$54</definedName>
    <definedName name="Asset49">'[1]RFM input'!$F$55</definedName>
    <definedName name="Asset5">'[1]RFM input'!$F$11</definedName>
    <definedName name="Asset50">'[1]RFM input'!$F$56</definedName>
    <definedName name="Asset6">'[1]RFM input'!$F$12</definedName>
    <definedName name="Asset7">'[1]RFM input'!$F$13</definedName>
    <definedName name="Asset8">'[1]RFM input'!$F$14</definedName>
    <definedName name="Asset9">'[1]RFM input'!$F$15</definedName>
    <definedName name="CRCP_final_year">'[1]AER ETL'!$C$47</definedName>
    <definedName name="CRCP_span" comment="Generic cover sheet">CONCATENATE(CRCP_y1, " to ",CRCP_y5)</definedName>
    <definedName name="CRCP_y1">'[1]AER lookups'!$G$54</definedName>
    <definedName name="CRCP_y10">'[1]AER lookups'!$G$63</definedName>
    <definedName name="CRCP_y11">'[1]AER lookups'!$G$64</definedName>
    <definedName name="CRCP_y12">'[1]AER lookups'!$G$65</definedName>
    <definedName name="CRCP_y13">'[1]AER lookups'!$G$66</definedName>
    <definedName name="CRCP_y14">'[1]AER lookups'!$G$67</definedName>
    <definedName name="CRCP_y15">'[1]AER lookups'!$G$68</definedName>
    <definedName name="CRCP_y2">'[1]AER lookups'!$G$55</definedName>
    <definedName name="CRCP_y3">'[1]AER lookups'!$G$56</definedName>
    <definedName name="CRCP_y4">'[1]AER lookups'!$G$57</definedName>
    <definedName name="CRCP_y5">'[1]AER lookups'!$G$58</definedName>
    <definedName name="CRCP_y6">'[1]AER lookups'!$G$59</definedName>
    <definedName name="CRCP_y7">'[1]AER lookups'!$G$60</definedName>
    <definedName name="CRCP_y8">'[1]AER lookups'!$G$61</definedName>
    <definedName name="CRCP_y9">'[1]AER lookups'!$G$62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663_List">'[1]AER lookups'!$N$16:$N$33</definedName>
    <definedName name="dms_AAD_AC_VALUES">'[1]RFM input'!#REF!</definedName>
    <definedName name="dms_ABN_List">'[1]AER lookups'!$D$16:$D$33</definedName>
    <definedName name="dms_ACE_AC_VALUES">'[1]RFM input'!#REF!</definedName>
    <definedName name="dms_Addr1_List">'[1]AER lookups'!$P$16:$P$33</definedName>
    <definedName name="dms_Addr2_List">'[1]AER lookups'!$Q$16:$Q$33</definedName>
    <definedName name="dms_Amendment_Text">'[1]Business &amp; other details'!$AL$64</definedName>
    <definedName name="dms_Cal_Year_B4_CRY">'[1]AER ETL'!$C$29</definedName>
    <definedName name="dms_CBD_flag">'[1]AER lookups'!$Z$16:$Z$33</definedName>
    <definedName name="dms_CF_8.1_Neg">#REF!</definedName>
    <definedName name="dms_CF_TradingName">#REF!</definedName>
    <definedName name="dms_Confid_status_List">'[1]AER NRs'!$D$6:$D$8</definedName>
    <definedName name="dms_CRCP_start_row">'[1]AER ETL'!$C$40</definedName>
    <definedName name="dms_CRCPlength_List">'[1]AER lookups'!$K$16:$K$33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lookups'!$O$16:$O$33</definedName>
    <definedName name="dms_DollarReal_year">'[1]AER ETL'!$C$51</definedName>
    <definedName name="dms_FeederName_1">'[1]AER lookups'!$AE$16:$AE$33</definedName>
    <definedName name="dms_FeederName_2">'[1]AER lookups'!$AF$16:$AF$33</definedName>
    <definedName name="dms_FeederName_3">'[1]AER lookups'!$AG$16:$AG$33</definedName>
    <definedName name="dms_FeederName_4">'[1]AER lookups'!$AH$16:$AH$33</definedName>
    <definedName name="dms_FeederName_5">'[1]AER lookups'!$AI$16:$AI$33</definedName>
    <definedName name="dms_FeederType_5_flag">'[1]AER lookups'!$AD$16:$AD$33</definedName>
    <definedName name="dms_FifthFeeder_flag_NSP">'[1]AER ETL'!$C$125</definedName>
    <definedName name="dms_FormControl_List">'[1]AER lookups'!$H$16:$H$33</definedName>
    <definedName name="dms_FRCP_start_row">'[1]AER ETL'!$C$39</definedName>
    <definedName name="dms_FRCPlength_List">'[1]AER lookups'!$L$16:$L$33</definedName>
    <definedName name="dms_FRCPlength_Num">'[1]AER ETL'!$C$70</definedName>
    <definedName name="dms_Header_Span">'[1]AER ETL'!$C$60</definedName>
    <definedName name="dms_JurisdictionList">'[1]AER lookups'!$E$16:$E$33</definedName>
    <definedName name="dms_LeapYear_Result">'[1]AER ETL'!$C$98</definedName>
    <definedName name="dms_LongRural_flag">'[1]AER lookups'!$AC$16:$AC$33</definedName>
    <definedName name="dms_Model">'[1]AER ETL'!$C$11</definedName>
    <definedName name="dms_Model_List">'[1]AER lookups'!$B$40:$B$49</definedName>
    <definedName name="dms_Model_Span">'[1]AER ETL'!$C$56</definedName>
    <definedName name="dms_Model_Span_List">'[1]AER lookups'!$E$40:$E$49</definedName>
    <definedName name="dms_MultiYear_Flag">'[1]AER ETL'!$C$63</definedName>
    <definedName name="dms_MultiYear_ResponseFlag">'[1]AER ETL'!$C$62</definedName>
    <definedName name="dms_PAddr1_List">'[1]AER lookups'!$U$16:$U$33</definedName>
    <definedName name="dms_PAddr2_List">'[1]AER lookups'!$V$16:$V$33</definedName>
    <definedName name="dms_PRCP_start_row">'[1]AER ETL'!$C$41</definedName>
    <definedName name="dms_PRCPlength_List">'[1]AER lookups'!$M$16:$M$33</definedName>
    <definedName name="dms_PRCPlength_Num">'[1]AER ETL'!$C$68</definedName>
    <definedName name="dms_Previous_DollarReal_year">'[1]AER ETL'!$C$52</definedName>
    <definedName name="dms_PState_List">'[1]AER lookups'!$X$16:$X$33</definedName>
    <definedName name="dms_PSuburb_List">'[1]AER lookups'!$W$16:$W$33</definedName>
    <definedName name="dms_Public_Lighting_List">'[1]AER lookups'!$AJ$16:$AJ$33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lookups'!$I$16:$I$33</definedName>
    <definedName name="dms_RPTMonth">'[1]AER ETL'!$C$30</definedName>
    <definedName name="dms_RPTMonth_List">'[1]AER lookups'!$J$16:$J$33</definedName>
    <definedName name="dms_RYE_result">'[1]AER ETL'!$C$57</definedName>
    <definedName name="dms_RYE_start_row">'[1]AER ETL'!$C$42</definedName>
    <definedName name="dms_Sector_List">'[1]AER lookups'!$F$16:$F$33</definedName>
    <definedName name="dms_Segment">'[1]AER ETL'!$C$21</definedName>
    <definedName name="dms_Segment_List">'[1]AER lookups'!$G$16:$G$33</definedName>
    <definedName name="dms_Selected_Source">'[1]Business &amp; other details'!$AL$58</definedName>
    <definedName name="dms_ShortRural_flag">'[1]AER lookups'!$AB$16:$AB$33</definedName>
    <definedName name="dms_SingleYear_Model">'[1]AER ETL'!$C$72:$C$74</definedName>
    <definedName name="dms_SingleYearModel">'[1]AER ETL'!$C$75</definedName>
    <definedName name="dms_SourceList">'[1]AER NRs'!$C$14:$C$19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lookups'!$S$16:$S$33</definedName>
    <definedName name="dms_Suburb_List">'[1]AER lookups'!$R$16:$R$33</definedName>
    <definedName name="dms_TradingName">'[1]Business &amp; other details'!$AL$16</definedName>
    <definedName name="dms_TradingName_List">'[1]AER lookups'!$B$16:$B$33</definedName>
    <definedName name="dms_TradingNameFull_List">'[1]AER lookups'!$C$16:$C$33</definedName>
    <definedName name="dms_Typed_Submission_Date">'[1]Business &amp; other details'!$AL$68</definedName>
    <definedName name="dms_Urban_flag">'[1]AER lookups'!$AA$16:$AA$33</definedName>
    <definedName name="dms_Worksheet_List">'[1]AER lookups'!$D$40:$D$49</definedName>
    <definedName name="dms_y1">'[1]AER lookups'!$E$73</definedName>
    <definedName name="dollars" localSheetId="1">#REF!</definedName>
    <definedName name="dollars">#REF!</definedName>
    <definedName name="factor" localSheetId="1">'[2]Lookup | Tables'!#REF!</definedName>
    <definedName name="factor">#REF!</definedName>
    <definedName name="FRCP_final_year">'[1]AER ETL'!$C$46</definedName>
    <definedName name="FRCP_y1">'[1]Business &amp; other details'!$AL$42</definedName>
    <definedName name="FRCP_y10">'[1]AER lookups'!$I$63</definedName>
    <definedName name="FRCP_y11">'[1]AER lookups'!$I$64</definedName>
    <definedName name="FRCP_y12">'[1]AER lookups'!$I$65</definedName>
    <definedName name="FRCP_y13">'[1]AER lookups'!$I$66</definedName>
    <definedName name="FRCP_y14">'[1]AER lookups'!$I$67</definedName>
    <definedName name="FRCP_y15">'[1]AER lookups'!$I$68</definedName>
    <definedName name="FRCP_y2">'[1]AER lookups'!$I$55</definedName>
    <definedName name="FRCP_y3">'[1]AER lookups'!$I$56</definedName>
    <definedName name="FRCP_y4">'[1]AER lookups'!$I$57</definedName>
    <definedName name="FRCP_y5">'[1]AER lookups'!$I$58</definedName>
    <definedName name="FRCP_y6">'[1]AER lookups'!$I$59</definedName>
    <definedName name="FRCP_y7">'[1]AER lookups'!$I$60</definedName>
    <definedName name="FRCP_y8">'[1]AER lookups'!$I$61</definedName>
    <definedName name="FRCP_y9">'[1]AER lookups'!$I$62</definedName>
    <definedName name="millions" localSheetId="1">#REF!</definedName>
    <definedName name="millions">#REF!</definedName>
    <definedName name="Nominal_to_Real" localSheetId="1">#REF!</definedName>
    <definedName name="Nominal_to_Real">'[3]Input|Rate of change'!$C$23:$C$26</definedName>
    <definedName name="number" localSheetId="1">'[2]Lookup | Tables'!#REF!</definedName>
    <definedName name="number">#REF!</definedName>
    <definedName name="percent" localSheetId="1">'[2]Lookup | Tables'!#REF!</definedName>
    <definedName name="percent" localSheetId="6">'[3]Lookup|Tables'!$G$14</definedName>
    <definedName name="percent">#REF!</definedName>
    <definedName name="PRCP_final_year">'[1]AER ETL'!$C$48</definedName>
    <definedName name="PRCP_y1">'[1]AER lookups'!$E$54</definedName>
    <definedName name="PRCP_y10">'[1]AER lookups'!$E$63</definedName>
    <definedName name="PRCP_y2">'[1]AER lookups'!$E$55</definedName>
    <definedName name="PRCP_y3">'[1]AER lookups'!$E$56</definedName>
    <definedName name="PRCP_y4">'[1]AER lookups'!$E$57</definedName>
    <definedName name="PRCP_y5">'[1]AER lookups'!$E$58</definedName>
    <definedName name="PRCP_y6">'[1]AER lookups'!$E$59</definedName>
    <definedName name="PRCP_y7">'[1]AER lookups'!$E$60</definedName>
    <definedName name="PRCP_y8">'[1]AER lookups'!$E$61</definedName>
    <definedName name="PRCP_y9">'[1]AER lookups'!$E$62</definedName>
    <definedName name="previous_vanilla">'[1]RFM input'!$G$289</definedName>
    <definedName name="RAB">'[1]RFM input'!#REF!</definedName>
    <definedName name="thousands" localSheetId="1">#REF!</definedName>
    <definedName name="thousands">#REF!</definedName>
    <definedName name="unit" localSheetId="1">'[2]Lookup | Tables'!#REF!</definedName>
    <definedName name="unit">#REF!</definedName>
    <definedName name="vanilla1">'[1]RFM input'!$H$289</definedName>
    <definedName name="vanilla10">'[1]RFM input'!$Q$289</definedName>
    <definedName name="vanilla2">'[1]RFM input'!$I$289</definedName>
    <definedName name="vanilla3">'[1]RFM input'!$J$289</definedName>
    <definedName name="vanilla4">'[1]RFM input'!$K$289</definedName>
    <definedName name="vanilla5">'[1]RFM input'!$L$289</definedName>
    <definedName name="vanilla6">'[1]RFM input'!$M$289</definedName>
    <definedName name="vanilla7">'[1]RFM input'!$N$289</definedName>
    <definedName name="vanilla8">'[1]RFM input'!$O$289</definedName>
    <definedName name="vanilla9">'[1]RFM input'!$P$289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3" l="1"/>
  <c r="H13" i="13"/>
  <c r="I13" i="13"/>
  <c r="M9" i="13" l="1"/>
  <c r="N9" i="13" s="1"/>
  <c r="O9" i="13" s="1"/>
  <c r="P9" i="13" s="1"/>
  <c r="K22" i="13"/>
  <c r="H9" i="4" s="1"/>
  <c r="J22" i="13"/>
  <c r="G9" i="4" s="1"/>
  <c r="I22" i="13"/>
  <c r="F9" i="4" s="1"/>
  <c r="H22" i="13"/>
  <c r="E9" i="4" s="1"/>
  <c r="H13" i="2"/>
  <c r="G13" i="2"/>
  <c r="F13" i="2"/>
  <c r="E13" i="2"/>
  <c r="D13" i="2"/>
  <c r="D18" i="2"/>
  <c r="E18" i="2"/>
  <c r="F18" i="2"/>
  <c r="G18" i="2"/>
  <c r="H18" i="2"/>
  <c r="G7" i="13"/>
  <c r="F7" i="13" s="1"/>
  <c r="M7" i="13"/>
  <c r="N7" i="13"/>
  <c r="N19" i="13" s="1"/>
  <c r="O7" i="13"/>
  <c r="P7" i="13"/>
  <c r="L7" i="13"/>
  <c r="L19" i="13" s="1"/>
  <c r="H7" i="13"/>
  <c r="I7" i="13"/>
  <c r="I19" i="13" s="1"/>
  <c r="J7" i="13"/>
  <c r="J19" i="13" s="1"/>
  <c r="K7" i="13"/>
  <c r="D18" i="4"/>
  <c r="D8" i="4"/>
  <c r="E7" i="4"/>
  <c r="F7" i="4"/>
  <c r="G7" i="4"/>
  <c r="H7" i="4"/>
  <c r="D7" i="4"/>
  <c r="M19" i="13"/>
  <c r="P19" i="13"/>
  <c r="O19" i="13"/>
  <c r="H19" i="13"/>
  <c r="K19" i="13"/>
  <c r="H8" i="4"/>
  <c r="G8" i="4"/>
  <c r="F8" i="4"/>
  <c r="E8" i="4"/>
  <c r="B1" i="2"/>
  <c r="B1" i="4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C42" i="4"/>
  <c r="C44" i="4"/>
  <c r="C15" i="13" l="1"/>
  <c r="C10" i="13"/>
  <c r="G19" i="13"/>
  <c r="B1" i="5"/>
  <c r="B1" i="10"/>
  <c r="B1" i="13"/>
  <c r="G10" i="13"/>
  <c r="H10" i="13" s="1"/>
  <c r="I10" i="13" s="1"/>
  <c r="J10" i="13" s="1"/>
  <c r="K10" i="13" s="1"/>
  <c r="L10" i="13" s="1"/>
  <c r="G19" i="4"/>
  <c r="F19" i="4" s="1"/>
  <c r="E19" i="4" s="1"/>
  <c r="D19" i="4" s="1"/>
  <c r="D21" i="4" s="1"/>
  <c r="M14" i="13" l="1"/>
  <c r="G15" i="13"/>
  <c r="G22" i="13"/>
  <c r="D9" i="4" s="1"/>
  <c r="M10" i="13"/>
  <c r="D10" i="4" l="1"/>
  <c r="H15" i="13"/>
  <c r="N14" i="13"/>
  <c r="N10" i="13"/>
  <c r="I15" i="13" l="1"/>
  <c r="E10" i="4"/>
  <c r="O14" i="13"/>
  <c r="O10" i="13"/>
  <c r="P14" i="13" l="1"/>
  <c r="F10" i="4"/>
  <c r="J15" i="13"/>
  <c r="P10" i="13"/>
  <c r="G10" i="4" l="1"/>
  <c r="K15" i="13"/>
  <c r="D26" i="4" l="1"/>
  <c r="H10" i="4"/>
  <c r="L15" i="13"/>
  <c r="M15" i="13" l="1"/>
  <c r="E26" i="4"/>
  <c r="N15" i="13" l="1"/>
  <c r="F26" i="4"/>
  <c r="O15" i="13" l="1"/>
  <c r="G26" i="4"/>
  <c r="P15" i="13" l="1"/>
  <c r="H26" i="4"/>
  <c r="H11" i="4" l="1"/>
  <c r="H12" i="4" s="1"/>
  <c r="H20" i="4" s="1"/>
  <c r="G11" i="4" l="1"/>
  <c r="G12" i="4" s="1"/>
  <c r="H16" i="4" l="1"/>
  <c r="G20" i="4"/>
  <c r="E11" i="4" l="1"/>
  <c r="E12" i="4" s="1"/>
  <c r="F11" i="4"/>
  <c r="F12" i="4" s="1"/>
  <c r="D11" i="4"/>
  <c r="D12" i="4" s="1"/>
  <c r="E13" i="4" l="1"/>
  <c r="E18" i="4" s="1"/>
  <c r="E21" i="4" s="1"/>
  <c r="F13" i="4"/>
  <c r="G13" i="4"/>
  <c r="H13" i="4"/>
  <c r="D20" i="4"/>
  <c r="H15" i="4"/>
  <c r="G15" i="4"/>
  <c r="F20" i="4"/>
  <c r="G14" i="4"/>
  <c r="F14" i="4"/>
  <c r="H14" i="4"/>
  <c r="E20" i="4"/>
  <c r="F18" i="4" l="1"/>
  <c r="F21" i="4" s="1"/>
  <c r="H18" i="4"/>
  <c r="H21" i="4" s="1"/>
  <c r="G18" i="4"/>
  <c r="G21" i="4" s="1"/>
  <c r="D35" i="4" l="1"/>
  <c r="M21" i="13"/>
  <c r="M22" i="13" s="1"/>
  <c r="E25" i="4" s="1"/>
  <c r="O21" i="13"/>
  <c r="O22" i="13" s="1"/>
  <c r="G25" i="4" s="1"/>
  <c r="P21" i="13"/>
  <c r="P22" i="13" s="1"/>
  <c r="H25" i="4" s="1"/>
  <c r="L21" i="13"/>
  <c r="N21" i="13"/>
  <c r="N22" i="13" s="1"/>
  <c r="F25" i="4" s="1"/>
  <c r="L22" i="13" l="1"/>
  <c r="D25" i="4" s="1"/>
  <c r="D27" i="4" s="1"/>
  <c r="D28" i="4" s="1"/>
  <c r="D41" i="4"/>
  <c r="E41" i="4" s="1"/>
  <c r="F41" i="4" s="1"/>
  <c r="G41" i="4" s="1"/>
  <c r="H41" i="4" s="1"/>
  <c r="E27" i="4" l="1"/>
  <c r="E28" i="4" s="1"/>
  <c r="H27" i="4"/>
  <c r="H28" i="4" s="1"/>
  <c r="F27" i="4"/>
  <c r="F28" i="4" s="1"/>
  <c r="G27" i="4"/>
  <c r="G28" i="4" s="1"/>
  <c r="D31" i="4" l="1"/>
  <c r="D34" i="4" s="1"/>
  <c r="D36" i="4" s="1"/>
  <c r="D42" i="4" s="1"/>
  <c r="D33" i="4" l="1"/>
  <c r="J8" i="10"/>
  <c r="E42" i="4"/>
  <c r="K8" i="10" l="1"/>
  <c r="F42" i="4"/>
  <c r="L8" i="10" l="1"/>
  <c r="G42" i="4"/>
  <c r="M8" i="10" l="1"/>
  <c r="H42" i="4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tc={D6856467-DAF3-4C66-8A18-87B03A01A205}</author>
    <author>tc={C2240DE7-4D64-4E0C-9230-915BEC5C794C}</author>
    <author>tc={5B4BD455-1F0B-4C2C-87AA-7A223441B07E}</author>
  </authors>
  <commentList>
    <comment ref="H18" authorId="0" shapeId="0" xr:uid="{D6856467-DAF3-4C66-8A18-87B03A01A205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$103.55
ICT Exclusion 45.62</t>
      </text>
    </comment>
    <comment ref="I18" authorId="1" shapeId="0" xr:uid="{C2240DE7-4D64-4E0C-9230-915BEC5C794C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$122.69
ICT Exclusion 35.46</t>
      </text>
    </comment>
    <comment ref="J18" authorId="2" shapeId="0" xr:uid="{5B4BD455-1F0B-4C2C-87AA-7A223441B07E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$131.74
ICT Exclusion 21.12</t>
      </text>
    </comment>
  </commentList>
</comments>
</file>

<file path=xl/sharedStrings.xml><?xml version="1.0" encoding="utf-8"?>
<sst xmlns="http://schemas.openxmlformats.org/spreadsheetml/2006/main" count="258" uniqueCount="142">
  <si>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</si>
  <si>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</si>
  <si>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</si>
  <si>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</si>
  <si>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</si>
  <si>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</si>
  <si>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</si>
  <si>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</si>
  <si>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</si>
  <si>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</si>
  <si>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</si>
  <si>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</si>
  <si>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</si>
  <si>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</si>
  <si>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</si>
  <si>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</si>
  <si>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</si>
  <si>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</si>
  <si>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</si>
  <si>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</si>
  <si>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</si>
  <si>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</si>
  <si>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</si>
  <si>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</si>
  <si>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</si>
  <si>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</si>
  <si>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</si>
  <si>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</si>
  <si>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</si>
  <si>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</si>
  <si>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</si>
  <si>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</si>
  <si>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</si>
  <si>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</si>
  <si>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</si>
  <si>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</si>
  <si>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</si>
  <si>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</si>
  <si>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</si>
  <si>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</si>
  <si>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</si>
  <si>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</si>
  <si>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</si>
  <si>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</si>
  <si>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</si>
  <si>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</si>
  <si>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</si>
  <si>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</si>
  <si>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</si>
  <si>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</si>
  <si>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</si>
  <si>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</si>
  <si>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</si>
  <si>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</si>
  <si>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</si>
  <si>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</si>
  <si>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</si>
  <si>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</si>
  <si>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</si>
  <si>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</si>
  <si>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</si>
  <si>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</si>
  <si>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</si>
  <si>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</si>
  <si>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</si>
  <si>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</si>
  <si>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</si>
  <si>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</si>
  <si>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</si>
  <si>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</si>
  <si>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</si>
  <si>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</si>
  <si>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</si>
  <si>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</si>
  <si>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</si>
  <si>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</si>
  <si>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</si>
  <si>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</si>
  <si>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</si>
  <si>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</si>
  <si>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</si>
  <si>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</si>
  <si>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</si>
  <si>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</si>
  <si>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</si>
  <si>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</si>
  <si>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</si>
  <si>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</si>
  <si>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</si>
  <si>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</si>
  <si>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</si>
  <si>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</si>
  <si>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</si>
  <si>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</si>
  <si>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</si>
  <si>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</si>
  <si>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</si>
  <si>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</si>
  <si>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</si>
  <si>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</si>
  <si>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</si>
  <si>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2025-26</t>
  </si>
  <si>
    <t>Ergon</t>
  </si>
  <si>
    <t>Draft Decision</t>
  </si>
  <si>
    <t>2025-30</t>
  </si>
  <si>
    <t>AER draft decision amendments</t>
  </si>
  <si>
    <t>#</t>
  </si>
  <si>
    <t>Sheet</t>
  </si>
  <si>
    <t>Reference</t>
  </si>
  <si>
    <t>Note</t>
  </si>
  <si>
    <t>the AER's draft decision amendments are highlighted in green</t>
  </si>
  <si>
    <t>D8</t>
  </si>
  <si>
    <t>Amended year label to be consistent with our standard format</t>
  </si>
  <si>
    <t>J13, K13</t>
  </si>
  <si>
    <t>Updated actual and estimated CPI</t>
  </si>
  <si>
    <t>L14</t>
  </si>
  <si>
    <t>Updated forecast CPI for 2025-30 period</t>
  </si>
  <si>
    <t>L21:P21</t>
  </si>
  <si>
    <t>Updated 25-30 real vanilla WACC</t>
  </si>
  <si>
    <t>H18:J18</t>
  </si>
  <si>
    <t>Set consistent with the RFM inputs</t>
  </si>
  <si>
    <t>Amended to be consistent with annual reporting RIN</t>
  </si>
  <si>
    <t>K20, L20</t>
  </si>
  <si>
    <t>Reflects fleet disposal amendments</t>
  </si>
  <si>
    <t>H21:J21</t>
  </si>
  <si>
    <t>D7</t>
  </si>
  <si>
    <t>Amended label to draft decision</t>
  </si>
  <si>
    <t>Updated 24-25 real vanilla WACC to be consistent with our latest return on debt PTRM</t>
  </si>
  <si>
    <t>K20</t>
  </si>
  <si>
    <t>H19:J20</t>
  </si>
  <si>
    <t>Reflected the ICT exclusion and ex post review impact directly into the RFM inputs (amendment #7)</t>
  </si>
  <si>
    <t>Ergon 2025-30 Draft Decision - Capital expenditure sharing scheme model</t>
  </si>
  <si>
    <t>2020–21</t>
  </si>
  <si>
    <t>2021–22</t>
  </si>
  <si>
    <t>2022–23</t>
  </si>
  <si>
    <t>2023–24</t>
  </si>
  <si>
    <t>2024–25</t>
  </si>
  <si>
    <t>2019–20</t>
  </si>
  <si>
    <t>2026–27</t>
  </si>
  <si>
    <t>2027–28</t>
  </si>
  <si>
    <t>2028–29</t>
  </si>
  <si>
    <t>2029–30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</si>
</sst>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8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7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5" fillId="50" borderId="0" applyBorder="0" applyAlignment="0"/>
    <xf numFmtId="192" fontId="96" fillId="28" borderId="35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7" fontId="107" fillId="0" borderId="0" applyFont="0" applyFill="0" applyBorder="0" applyAlignment="0" applyProtection="0"/>
    <xf numFmtId="0" fontId="107" fillId="0" borderId="0"/>
    <xf numFmtId="0" fontId="23" fillId="0" borderId="0"/>
  </cellStyleXfs>
  <cellXfs count="21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91" fillId="3" borderId="0" xfId="0" applyNumberFormat="1" applyFont="1" applyFill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0" fontId="24" fillId="58" borderId="26" xfId="0" applyNumberFormat="1" applyFont="1" applyFill="1" applyBorder="1" applyAlignment="1">
      <alignment horizontal="center" vertical="center"/>
    </xf>
    <xf numFmtId="2" fontId="24" fillId="59" borderId="24" xfId="1" applyNumberFormat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24" fillId="58" borderId="24" xfId="1" applyFont="1" applyFill="1" applyBorder="1" applyAlignment="1">
      <alignment horizontal="center" vertical="center"/>
    </xf>
    <xf numFmtId="0" fontId="100" fillId="58" borderId="0" xfId="265" applyFont="1" applyFill="1" applyBorder="1" applyAlignment="1" applyProtection="1">
      <alignment horizontal="center" vertical="center" wrapText="1"/>
    </xf>
    <xf numFmtId="0" fontId="23" fillId="0" borderId="0" xfId="358" applyAlignment="1">
      <alignment vertical="top"/>
    </xf>
    <xf numFmtId="0" fontId="23" fillId="0" borderId="0" xfId="147"/>
    <xf numFmtId="0" fontId="23" fillId="0" borderId="0" xfId="358" applyAlignment="1">
      <alignment vertical="top" wrapText="1"/>
    </xf>
    <xf numFmtId="0" fontId="23" fillId="58" borderId="0" xfId="147" applyFill="1"/>
    <xf numFmtId="0" fontId="23" fillId="0" borderId="20" xfId="358" applyBorder="1" applyAlignment="1">
      <alignment vertical="top"/>
    </xf>
    <xf numFmtId="0" fontId="23" fillId="0" borderId="0" xfId="358" applyBorder="1" applyAlignment="1">
      <alignment vertical="top"/>
    </xf>
    <xf numFmtId="0" fontId="88" fillId="3" borderId="23" xfId="3" applyNumberFormat="1" applyFont="1" applyFill="1" applyBorder="1" applyAlignment="1" applyProtection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45" xfId="358" xr:uid="{F8D4BA5D-290A-4D15-ABE3-F19A332CA63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2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RFM%20-%20Preliminary.xlsm" TargetMode="External"/><Relationship Id="rId1" Type="http://schemas.openxmlformats.org/officeDocument/2006/relationships/externalLinkPath" Target="/AER/AER%20modelling%20team/Reset%20models/2025-30%20SAPN/03%20Draft%20Decision/AER%20-%20Draft%20Decision%20-%20SAPN%20-%202025-30%20-%20RFM%20-%20Preliminar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SCS%20CESS%20Model.xlsx" TargetMode="External"/><Relationship Id="rId1" Type="http://schemas.openxmlformats.org/officeDocument/2006/relationships/externalLinkPath" Target="/AER/AER%20modelling%20team/Reset%20models/2025-30%20SAPN/03%20Draft%20Decision/AER%20-%20Draft%20Decision%20-%20SAPN%20-%202025-30%20-%20SCS%20CESS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Ergon\03%20Draft%20Decision\AER%20-%20Draft%20Decision%20-%20Ergon%20Energy%20-%202025-30%20-%20PTRM%20-%20Preliminary%20-%20V2.xlsm" TargetMode="External"/><Relationship Id="rId1" Type="http://schemas.openxmlformats.org/officeDocument/2006/relationships/externalLinkPath" Target="/Users/cthai/AppData/Local/Microsoft/Windows/INetCache/Content.Outlook/9U273K8P/AER%20-%20Draft%20Decision%20-%20Ergon%20Energy%20-%202025-30%20-%20PTRM%20-%20Preliminary%20-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Issues tracker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Regulatory proposal</v>
          </cell>
        </row>
        <row r="19">
          <cell r="C19" t="str">
            <v>Revised regulatory proposal</v>
          </cell>
        </row>
      </sheetData>
      <sheetData sheetId="1">
        <row r="16">
          <cell r="B16" t="str">
            <v>Ausgrid</v>
          </cell>
          <cell r="C16" t="str">
            <v>Ausgrid</v>
          </cell>
          <cell r="D16">
            <v>67505337385</v>
          </cell>
          <cell r="E16" t="str">
            <v>NSW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2014-19 Distribution Determination</v>
          </cell>
          <cell r="P16" t="str">
            <v>570 George St</v>
          </cell>
          <cell r="R16" t="str">
            <v>SYDNEY</v>
          </cell>
          <cell r="S16" t="str">
            <v>NSW</v>
          </cell>
          <cell r="U16" t="str">
            <v>GPO Box 4009</v>
          </cell>
          <cell r="W16" t="str">
            <v>SYDNEY</v>
          </cell>
          <cell r="X16" t="str">
            <v>NSW</v>
          </cell>
          <cell r="Z16" t="str">
            <v>YES</v>
          </cell>
          <cell r="AA16" t="str">
            <v>YES</v>
          </cell>
          <cell r="AB16" t="str">
            <v>YES</v>
          </cell>
          <cell r="AC16" t="str">
            <v>YES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J16" t="str">
            <v>YES</v>
          </cell>
        </row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U19" t="str">
            <v>PO Box 123</v>
          </cell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R20" t="str">
            <v>MELBOURNE</v>
          </cell>
          <cell r="S20" t="str">
            <v>Vic</v>
          </cell>
          <cell r="U20" t="str">
            <v>PO Box 123</v>
          </cell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R22" t="str">
            <v>HUNTINGWOOD</v>
          </cell>
          <cell r="S22" t="str">
            <v>NSW</v>
          </cell>
          <cell r="U22" t="str">
            <v>PO Box 811</v>
          </cell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R23" t="str">
            <v>NEWSTEAD</v>
          </cell>
          <cell r="S23" t="str">
            <v>Qld</v>
          </cell>
          <cell r="U23" t="str">
            <v>26 Reddacliff Street</v>
          </cell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R24" t="str">
            <v>TOWNSVILLE</v>
          </cell>
          <cell r="S24" t="str">
            <v>Qld</v>
          </cell>
          <cell r="U24" t="str">
            <v>Po Box 264</v>
          </cell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R25" t="str">
            <v>PORT MACQUARIE</v>
          </cell>
          <cell r="S25" t="str">
            <v>NSW</v>
          </cell>
          <cell r="U25" t="str">
            <v>PO Box 5730</v>
          </cell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R26" t="str">
            <v>CANBERRA</v>
          </cell>
          <cell r="S26" t="str">
            <v>ACT</v>
          </cell>
          <cell r="U26" t="str">
            <v>GPO BOX 366</v>
          </cell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R27" t="str">
            <v>CANBERRA</v>
          </cell>
          <cell r="S27" t="str">
            <v>ACT</v>
          </cell>
          <cell r="U27" t="str">
            <v>GPO BOX 366</v>
          </cell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Calendar</v>
          </cell>
          <cell r="J28" t="str">
            <v>December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R29" t="str">
            <v>DARWIN</v>
          </cell>
          <cell r="S29" t="str">
            <v>NT</v>
          </cell>
          <cell r="U29" t="str">
            <v>GPO Box 1921</v>
          </cell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R30" t="str">
            <v>MELBOURNE</v>
          </cell>
          <cell r="S30" t="str">
            <v>Vic</v>
          </cell>
          <cell r="U30" t="str">
            <v>Locked bag 14090</v>
          </cell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R31" t="str">
            <v>KESWICK</v>
          </cell>
          <cell r="S31" t="str">
            <v>SA</v>
          </cell>
          <cell r="U31" t="str">
            <v>GPO Box 77</v>
          </cell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R32" t="str">
            <v>LENAH VALLEY</v>
          </cell>
          <cell r="S32" t="str">
            <v>Tas</v>
          </cell>
          <cell r="U32" t="str">
            <v>PO Box 606</v>
          </cell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R33" t="str">
            <v>MOUNT WAVERLEY</v>
          </cell>
          <cell r="S33" t="str">
            <v>Vic</v>
          </cell>
          <cell r="U33" t="str">
            <v>PO Box 449</v>
          </cell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e">
            <v>#N/A</v>
          </cell>
          <cell r="G54" t="e">
            <v>#N/A</v>
          </cell>
        </row>
        <row r="55">
          <cell r="E55" t="e">
            <v>#N/A</v>
          </cell>
          <cell r="G55" t="e">
            <v>#N/A</v>
          </cell>
          <cell r="I55" t="e">
            <v>#N/A</v>
          </cell>
        </row>
        <row r="56">
          <cell r="E56" t="e">
            <v>#N/A</v>
          </cell>
          <cell r="G56" t="e">
            <v>#N/A</v>
          </cell>
          <cell r="I56" t="e">
            <v>#N/A</v>
          </cell>
        </row>
        <row r="57">
          <cell r="E57" t="e">
            <v>#N/A</v>
          </cell>
          <cell r="G57" t="e">
            <v>#N/A</v>
          </cell>
          <cell r="I57" t="e">
            <v>#N/A</v>
          </cell>
        </row>
        <row r="58">
          <cell r="E58" t="e">
            <v>#N/A</v>
          </cell>
          <cell r="G58" t="e">
            <v>#N/A</v>
          </cell>
          <cell r="I58" t="e">
            <v>#N/A</v>
          </cell>
        </row>
        <row r="59">
          <cell r="E59" t="e">
            <v>#N/A</v>
          </cell>
          <cell r="G59" t="e">
            <v>#N/A</v>
          </cell>
          <cell r="I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G64" t="e">
            <v>#N/A</v>
          </cell>
          <cell r="I64" t="e">
            <v>#N/A</v>
          </cell>
        </row>
        <row r="65">
          <cell r="G65" t="e">
            <v>#N/A</v>
          </cell>
          <cell r="I65" t="e">
            <v>#N/A</v>
          </cell>
        </row>
        <row r="66">
          <cell r="G66" t="e">
            <v>#N/A</v>
          </cell>
          <cell r="I66" t="e">
            <v>#N/A</v>
          </cell>
        </row>
        <row r="67">
          <cell r="G67" t="e">
            <v>#N/A</v>
          </cell>
          <cell r="I67" t="e">
            <v>#N/A</v>
          </cell>
        </row>
        <row r="68">
          <cell r="G68" t="e">
            <v>#N/A</v>
          </cell>
          <cell r="I68" t="e">
            <v>#N/A</v>
          </cell>
        </row>
        <row r="73">
          <cell r="E73" t="str">
            <v>2006-07</v>
          </cell>
        </row>
      </sheetData>
      <sheetData sheetId="2">
        <row r="11">
          <cell r="C11" t="str">
            <v>RFM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>
            <v>2021</v>
          </cell>
        </row>
        <row r="37">
          <cell r="C37" t="e">
            <v>#N/A</v>
          </cell>
        </row>
        <row r="38">
          <cell r="C38">
            <v>0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2">
          <cell r="C42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49">
          <cell r="C49" t="e">
            <v>#N/A</v>
          </cell>
        </row>
        <row r="51">
          <cell r="C51" t="e">
            <v>#N/A</v>
          </cell>
        </row>
        <row r="52">
          <cell r="C52" t="e">
            <v>#N/A</v>
          </cell>
        </row>
        <row r="53">
          <cell r="C53">
            <v>0</v>
          </cell>
        </row>
        <row r="54">
          <cell r="C54" t="e">
            <v>#N/A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e">
            <v>#N/A</v>
          </cell>
        </row>
        <row r="59">
          <cell r="C59">
            <v>0</v>
          </cell>
        </row>
        <row r="60">
          <cell r="C60" t="e">
            <v>#N/A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e">
            <v>#N/A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SA Power Networks</v>
          </cell>
        </row>
        <row r="42">
          <cell r="AL42">
            <v>2021</v>
          </cell>
        </row>
        <row r="58">
          <cell r="AL58" t="str">
            <v>Regulatory proposal</v>
          </cell>
        </row>
        <row r="64">
          <cell r="AL64" t="str">
            <v>.</v>
          </cell>
        </row>
        <row r="68">
          <cell r="AL68" t="str">
            <v>dd/mm/yy</v>
          </cell>
        </row>
      </sheetData>
      <sheetData sheetId="4" refreshError="1"/>
      <sheetData sheetId="5" refreshError="1"/>
      <sheetData sheetId="6" refreshError="1"/>
      <sheetData sheetId="7">
        <row r="7">
          <cell r="F7" t="str">
            <v>Sub-transmission lines</v>
          </cell>
          <cell r="J7" t="str">
            <v>n/a</v>
          </cell>
          <cell r="K7">
            <v>55</v>
          </cell>
          <cell r="S7" t="str">
            <v>n/a</v>
          </cell>
          <cell r="T7">
            <v>47.5</v>
          </cell>
        </row>
        <row r="8">
          <cell r="F8" t="str">
            <v>Distribution lines</v>
          </cell>
          <cell r="J8" t="str">
            <v>n/a</v>
          </cell>
          <cell r="K8">
            <v>55</v>
          </cell>
          <cell r="S8" t="str">
            <v>n/a</v>
          </cell>
          <cell r="T8">
            <v>47.5</v>
          </cell>
        </row>
        <row r="9">
          <cell r="F9" t="str">
            <v>Substations</v>
          </cell>
          <cell r="J9" t="str">
            <v>n/a</v>
          </cell>
          <cell r="K9">
            <v>45</v>
          </cell>
          <cell r="S9" t="str">
            <v>n/a</v>
          </cell>
          <cell r="T9">
            <v>40</v>
          </cell>
        </row>
        <row r="10">
          <cell r="F10" t="str">
            <v>Distribution Transformers</v>
          </cell>
          <cell r="J10" t="str">
            <v>n/a</v>
          </cell>
          <cell r="K10">
            <v>45</v>
          </cell>
          <cell r="S10" t="str">
            <v>n/a</v>
          </cell>
          <cell r="T10">
            <v>40</v>
          </cell>
        </row>
        <row r="11">
          <cell r="F11" t="str">
            <v>LVS</v>
          </cell>
          <cell r="J11" t="str">
            <v>n/a</v>
          </cell>
          <cell r="K11">
            <v>55</v>
          </cell>
          <cell r="S11" t="str">
            <v>n/a</v>
          </cell>
          <cell r="T11">
            <v>47.5</v>
          </cell>
        </row>
        <row r="12">
          <cell r="F12" t="str">
            <v>Communications</v>
          </cell>
          <cell r="J12" t="str">
            <v>n/a</v>
          </cell>
          <cell r="K12">
            <v>15</v>
          </cell>
          <cell r="S12" t="str">
            <v>n/a</v>
          </cell>
          <cell r="T12">
            <v>10</v>
          </cell>
        </row>
        <row r="13">
          <cell r="F13" t="str">
            <v>Contributions</v>
          </cell>
          <cell r="J13" t="str">
            <v>n/a</v>
          </cell>
          <cell r="K13" t="str">
            <v>n/a</v>
          </cell>
          <cell r="S13" t="str">
            <v>n/a</v>
          </cell>
          <cell r="T13" t="str">
            <v>n/a</v>
          </cell>
        </row>
        <row r="14">
          <cell r="F14" t="str">
            <v>Land</v>
          </cell>
          <cell r="J14" t="str">
            <v>n/a</v>
          </cell>
          <cell r="K14" t="str">
            <v>n/a</v>
          </cell>
          <cell r="S14" t="str">
            <v>n/a</v>
          </cell>
          <cell r="T14" t="str">
            <v>n/a</v>
          </cell>
        </row>
        <row r="15">
          <cell r="F15" t="str">
            <v>Substation Land</v>
          </cell>
          <cell r="J15" t="str">
            <v>n/a</v>
          </cell>
          <cell r="K15" t="str">
            <v>n/a</v>
          </cell>
          <cell r="S15" t="str">
            <v>n/a</v>
          </cell>
          <cell r="T15" t="str">
            <v>n/a</v>
          </cell>
        </row>
        <row r="16">
          <cell r="F16" t="str">
            <v>Easements</v>
          </cell>
          <cell r="J16" t="str">
            <v>n/a</v>
          </cell>
          <cell r="K16" t="str">
            <v>n/a</v>
          </cell>
          <cell r="S16" t="str">
            <v>n/a</v>
          </cell>
          <cell r="T16" t="str">
            <v>n/a</v>
          </cell>
        </row>
        <row r="17">
          <cell r="F17" t="str">
            <v>Buildings - Pre 2020</v>
          </cell>
          <cell r="J17" t="str">
            <v>n/a</v>
          </cell>
          <cell r="K17">
            <v>40</v>
          </cell>
          <cell r="S17" t="str">
            <v>n/a</v>
          </cell>
          <cell r="T17">
            <v>40</v>
          </cell>
        </row>
        <row r="18">
          <cell r="F18" t="str">
            <v>Heavy Vehicles - 15 year</v>
          </cell>
          <cell r="J18" t="str">
            <v>n/a</v>
          </cell>
          <cell r="K18">
            <v>15</v>
          </cell>
          <cell r="S18" t="str">
            <v>n/a</v>
          </cell>
          <cell r="T18">
            <v>15</v>
          </cell>
        </row>
        <row r="19">
          <cell r="F19" t="str">
            <v>Heavy Vehicles - 10 year</v>
          </cell>
          <cell r="J19" t="str">
            <v>n/a</v>
          </cell>
          <cell r="K19">
            <v>10</v>
          </cell>
          <cell r="S19" t="str">
            <v>n/a</v>
          </cell>
          <cell r="T19">
            <v>15</v>
          </cell>
        </row>
        <row r="20">
          <cell r="F20" t="str">
            <v>Light Vehicles</v>
          </cell>
          <cell r="J20" t="str">
            <v>n/a</v>
          </cell>
          <cell r="K20">
            <v>5</v>
          </cell>
          <cell r="S20" t="str">
            <v>n/a</v>
          </cell>
          <cell r="T20">
            <v>6.7</v>
          </cell>
        </row>
        <row r="21">
          <cell r="F21" t="str">
            <v>IT Assets</v>
          </cell>
          <cell r="J21" t="str">
            <v>n/a</v>
          </cell>
          <cell r="K21">
            <v>5</v>
          </cell>
          <cell r="S21" t="str">
            <v>n/a</v>
          </cell>
          <cell r="T21">
            <v>4</v>
          </cell>
        </row>
        <row r="22">
          <cell r="F22" t="str">
            <v>Plant &amp; Tools/Office Furniture</v>
          </cell>
          <cell r="J22" t="str">
            <v>n/a</v>
          </cell>
          <cell r="K22">
            <v>10</v>
          </cell>
          <cell r="S22" t="str">
            <v>n/a</v>
          </cell>
          <cell r="T22">
            <v>10</v>
          </cell>
        </row>
        <row r="23">
          <cell r="F23" t="str">
            <v xml:space="preserve">Sub-transmission and distribution lines - short life </v>
          </cell>
          <cell r="J23" t="str">
            <v>n/a</v>
          </cell>
          <cell r="K23">
            <v>25</v>
          </cell>
          <cell r="S23" t="str">
            <v>n/a</v>
          </cell>
          <cell r="T23">
            <v>25</v>
          </cell>
        </row>
        <row r="24">
          <cell r="F24" t="str">
            <v xml:space="preserve">Substations and transformers - short life </v>
          </cell>
          <cell r="J24" t="str">
            <v>n/a</v>
          </cell>
          <cell r="K24">
            <v>20</v>
          </cell>
          <cell r="S24" t="str">
            <v>n/a</v>
          </cell>
          <cell r="T24">
            <v>20</v>
          </cell>
        </row>
        <row r="25">
          <cell r="F25" t="str">
            <v xml:space="preserve">Electronic network assets </v>
          </cell>
          <cell r="J25" t="str">
            <v>n/a</v>
          </cell>
          <cell r="K25">
            <v>15</v>
          </cell>
          <cell r="S25" t="str">
            <v>n/a</v>
          </cell>
          <cell r="T25">
            <v>15</v>
          </cell>
        </row>
        <row r="53">
          <cell r="F53" t="str">
            <v>Spare straight-line tax asset class</v>
          </cell>
        </row>
        <row r="54">
          <cell r="F54" t="str">
            <v>Buildings - capital works</v>
          </cell>
          <cell r="J54" t="str">
            <v>n/a</v>
          </cell>
          <cell r="K54">
            <v>40</v>
          </cell>
          <cell r="S54" t="str">
            <v>n/a</v>
          </cell>
          <cell r="T54">
            <v>40</v>
          </cell>
        </row>
        <row r="55">
          <cell r="F55" t="str">
            <v>In-house software</v>
          </cell>
          <cell r="J55" t="str">
            <v>n/a</v>
          </cell>
          <cell r="K55">
            <v>5</v>
          </cell>
          <cell r="S55" t="str">
            <v>n/a</v>
          </cell>
          <cell r="T55">
            <v>4</v>
          </cell>
        </row>
        <row r="56">
          <cell r="F56" t="str">
            <v>Equity raising costs</v>
          </cell>
          <cell r="J56" t="str">
            <v>n/a</v>
          </cell>
          <cell r="K56" t="str">
            <v>n/a</v>
          </cell>
          <cell r="S56" t="str">
            <v>n/a</v>
          </cell>
          <cell r="T56" t="str">
            <v>n/a</v>
          </cell>
        </row>
        <row r="289">
          <cell r="G289">
            <v>5.4030979733082019E-2</v>
          </cell>
          <cell r="H289">
            <v>3.2979945755177154E-2</v>
          </cell>
          <cell r="I289">
            <v>5.8171882419040255E-2</v>
          </cell>
          <cell r="J289">
            <v>0.10163412970798102</v>
          </cell>
          <cell r="K289">
            <v>6.3640555771956153E-2</v>
          </cell>
          <cell r="L289">
            <v>5.3223417894460612E-2</v>
          </cell>
          <cell r="M289">
            <v>-2.2234295228945489E-2</v>
          </cell>
          <cell r="N289">
            <v>-2.2234295228945489E-2</v>
          </cell>
          <cell r="O289">
            <v>-2.2234295228945489E-2</v>
          </cell>
          <cell r="P289">
            <v>-2.2234295228945489E-2</v>
          </cell>
          <cell r="Q289">
            <v>-2.2234295228945489E-2</v>
          </cell>
        </row>
      </sheetData>
      <sheetData sheetId="8" refreshError="1"/>
      <sheetData sheetId="9">
        <row r="718">
          <cell r="H718">
            <v>226.62115994084897</v>
          </cell>
        </row>
        <row r="719">
          <cell r="H719">
            <v>1802.2125062654463</v>
          </cell>
        </row>
        <row r="720">
          <cell r="H720">
            <v>1323.4741937586239</v>
          </cell>
        </row>
        <row r="721">
          <cell r="H721">
            <v>368.51950333823447</v>
          </cell>
        </row>
        <row r="722">
          <cell r="H722">
            <v>1008.1281538280646</v>
          </cell>
        </row>
        <row r="723">
          <cell r="H723">
            <v>74.569821876246749</v>
          </cell>
        </row>
        <row r="724">
          <cell r="H724">
            <v>-1119.3016541191344</v>
          </cell>
        </row>
        <row r="725">
          <cell r="H725">
            <v>236.5662302712326</v>
          </cell>
        </row>
        <row r="726">
          <cell r="H726">
            <v>14.421094609984982</v>
          </cell>
        </row>
        <row r="727">
          <cell r="H727">
            <v>7.6563488807668811</v>
          </cell>
        </row>
        <row r="728">
          <cell r="H728">
            <v>28.028954587241962</v>
          </cell>
        </row>
        <row r="729">
          <cell r="H729">
            <v>63.911568385655329</v>
          </cell>
        </row>
        <row r="730">
          <cell r="H730">
            <v>19.891848271890005</v>
          </cell>
        </row>
        <row r="731">
          <cell r="H731">
            <v>14.990876485072084</v>
          </cell>
        </row>
        <row r="732">
          <cell r="H732">
            <v>200.12175025312121</v>
          </cell>
        </row>
        <row r="733">
          <cell r="H733">
            <v>74.649719956023077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0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0</v>
          </cell>
        </row>
        <row r="741">
          <cell r="H741">
            <v>0</v>
          </cell>
        </row>
        <row r="742">
          <cell r="H742">
            <v>0</v>
          </cell>
        </row>
        <row r="743">
          <cell r="H743">
            <v>0</v>
          </cell>
        </row>
        <row r="744">
          <cell r="H744">
            <v>0</v>
          </cell>
        </row>
        <row r="745">
          <cell r="H745">
            <v>0</v>
          </cell>
        </row>
        <row r="746">
          <cell r="H746">
            <v>0</v>
          </cell>
        </row>
        <row r="747">
          <cell r="H747">
            <v>0</v>
          </cell>
        </row>
        <row r="748">
          <cell r="H748">
            <v>0</v>
          </cell>
        </row>
        <row r="749">
          <cell r="H749">
            <v>0</v>
          </cell>
        </row>
        <row r="750">
          <cell r="H750">
            <v>0</v>
          </cell>
        </row>
        <row r="751">
          <cell r="H751">
            <v>0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0</v>
          </cell>
        </row>
        <row r="757">
          <cell r="H757">
            <v>0</v>
          </cell>
        </row>
        <row r="758">
          <cell r="H758">
            <v>0</v>
          </cell>
        </row>
        <row r="759">
          <cell r="H759">
            <v>0</v>
          </cell>
        </row>
        <row r="760">
          <cell r="H760">
            <v>0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0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16.520945161629651</v>
          </cell>
        </row>
      </sheetData>
      <sheetData sheetId="10" refreshError="1"/>
      <sheetData sheetId="11">
        <row r="8">
          <cell r="H8">
            <v>158.66326960081375</v>
          </cell>
        </row>
        <row r="9">
          <cell r="H9">
            <v>1046.7491563823774</v>
          </cell>
        </row>
        <row r="10">
          <cell r="H10">
            <v>1052.8652795791052</v>
          </cell>
        </row>
        <row r="11">
          <cell r="H11">
            <v>164.5399679222987</v>
          </cell>
        </row>
        <row r="12">
          <cell r="H12">
            <v>1003.5365113089613</v>
          </cell>
        </row>
        <row r="13">
          <cell r="H13">
            <v>57.931238551916294</v>
          </cell>
        </row>
        <row r="14">
          <cell r="H14">
            <v>-466.34188130260327</v>
          </cell>
        </row>
        <row r="15">
          <cell r="H15">
            <v>2.0715172985634411</v>
          </cell>
        </row>
        <row r="16">
          <cell r="H16">
            <v>7.8422123459752013</v>
          </cell>
        </row>
        <row r="17">
          <cell r="H17">
            <v>6.7738110526018165</v>
          </cell>
        </row>
        <row r="18">
          <cell r="H18">
            <v>20.164313440025296</v>
          </cell>
        </row>
        <row r="19">
          <cell r="H19">
            <v>53.744380406472914</v>
          </cell>
        </row>
        <row r="20">
          <cell r="H20">
            <v>28.728338926588886</v>
          </cell>
        </row>
        <row r="21">
          <cell r="H21">
            <v>22.932227909965636</v>
          </cell>
        </row>
        <row r="22">
          <cell r="H22">
            <v>167.58668018886527</v>
          </cell>
        </row>
        <row r="23">
          <cell r="H23">
            <v>61.312549474483234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2.7222213022062203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AER draft decision amendments"/>
      <sheetName val="Input | General"/>
      <sheetName val="Input | Inflation and Disc Rate"/>
      <sheetName val="Input | Reported Capex"/>
      <sheetName val="Calc | CESS Revenue Increments"/>
      <sheetName val="Output | Models"/>
      <sheetName val="Lookup |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ebt Raising Costs"/>
      <sheetName val="DMS input"/>
      <sheetName val="Issues tracker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G19">
            <v>3.1014646184694294E-2</v>
          </cell>
          <cell r="H19">
            <v>3.1222393488294919E-2</v>
          </cell>
          <cell r="I19">
            <v>3.1673981432531445E-2</v>
          </cell>
          <cell r="J19">
            <v>3.2474583349917423E-2</v>
          </cell>
          <cell r="K19">
            <v>3.329784033429966E-2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4-09-02T03:41:13.03" personId="{00000000-0000-0000-0000-000000000000}" id="{D6856467-DAF3-4C66-8A18-87B03A01A205}">
    <text>Ex-post adjustments $103.55
ICT Exclusion 45.62</text>
  </threadedComment>
  <threadedComment ref="I18" dT="2024-09-02T03:41:00.97" personId="{00000000-0000-0000-0000-000000000000}" id="{C2240DE7-4D64-4E0C-9230-915BEC5C794C}">
    <text>Ex-post adjustments $122.69
ICT Exclusion 35.46</text>
  </threadedComment>
  <threadedComment ref="J18" dT="2024-09-02T03:41:37.47" personId="{00000000-0000-0000-0000-000000000000}" id="{5B4BD455-1F0B-4C2C-87AA-7A223441B07E}">
    <text>Ex-post adjustments $131.74
ICT Exclusion 21.12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Ergon 2025-30 Draft Decision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6B19-41C3-42C5-9355-6F925788EB93}">
  <sheetPr codeName="Sheet8">
    <tabColor rgb="FF92D050"/>
  </sheetPr>
  <dimension ref="A1:D13"/>
  <sheetViews>
    <sheetView workbookViewId="0">
      <selection activeCell="D17" sqref="D17"/>
    </sheetView>
  </sheetViews>
  <sheetFormatPr defaultRowHeight="12.75"/>
  <cols>
    <col min="1" max="1" width="3" style="210" bestFit="1" customWidth="1"/>
    <col min="2" max="2" width="25.7109375" style="210" bestFit="1" customWidth="1"/>
    <col min="3" max="3" width="20.42578125" style="210" customWidth="1"/>
    <col min="4" max="4" width="104.5703125" style="210" customWidth="1"/>
    <col min="5" max="5" width="86" style="210" bestFit="1" customWidth="1"/>
    <col min="6" max="16384" width="9.140625" style="210"/>
  </cols>
  <sheetData>
    <row r="1" spans="1:4">
      <c r="A1" s="213" t="s">
        <v>106</v>
      </c>
      <c r="B1" s="213" t="s">
        <v>107</v>
      </c>
      <c r="C1" s="213" t="s">
        <v>108</v>
      </c>
      <c r="D1" s="213" t="s">
        <v>109</v>
      </c>
    </row>
    <row r="2" spans="1:4">
      <c r="A2" s="209">
        <v>1</v>
      </c>
      <c r="B2" s="209" t="s">
        <v>35</v>
      </c>
      <c r="C2" s="214" t="s">
        <v>125</v>
      </c>
      <c r="D2" s="214" t="s">
        <v>126</v>
      </c>
    </row>
    <row r="3" spans="1:4">
      <c r="A3" s="209">
        <v>2</v>
      </c>
      <c r="B3" s="209" t="s">
        <v>35</v>
      </c>
      <c r="C3" s="210" t="s">
        <v>111</v>
      </c>
      <c r="D3" s="210" t="s">
        <v>112</v>
      </c>
    </row>
    <row r="4" spans="1:4">
      <c r="A4" s="209">
        <v>3</v>
      </c>
      <c r="B4" s="209" t="s">
        <v>79</v>
      </c>
      <c r="C4" s="211" t="s">
        <v>113</v>
      </c>
      <c r="D4" s="210" t="s">
        <v>114</v>
      </c>
    </row>
    <row r="5" spans="1:4">
      <c r="A5" s="209">
        <v>4</v>
      </c>
      <c r="B5" s="209" t="s">
        <v>79</v>
      </c>
      <c r="C5" s="211" t="s">
        <v>115</v>
      </c>
      <c r="D5" s="209" t="s">
        <v>116</v>
      </c>
    </row>
    <row r="6" spans="1:4">
      <c r="A6" s="209">
        <v>5</v>
      </c>
      <c r="B6" s="209" t="s">
        <v>79</v>
      </c>
      <c r="C6" s="210" t="s">
        <v>128</v>
      </c>
      <c r="D6" s="210" t="s">
        <v>127</v>
      </c>
    </row>
    <row r="7" spans="1:4">
      <c r="A7" s="209">
        <v>6</v>
      </c>
      <c r="B7" s="209" t="s">
        <v>79</v>
      </c>
      <c r="C7" s="210" t="s">
        <v>117</v>
      </c>
      <c r="D7" s="210" t="s">
        <v>118</v>
      </c>
    </row>
    <row r="8" spans="1:4">
      <c r="A8" s="209">
        <v>7</v>
      </c>
      <c r="B8" s="209" t="s">
        <v>55</v>
      </c>
      <c r="C8" s="209" t="s">
        <v>119</v>
      </c>
      <c r="D8" s="209" t="s">
        <v>120</v>
      </c>
    </row>
    <row r="9" spans="1:4">
      <c r="A9" s="209">
        <v>8</v>
      </c>
      <c r="B9" s="209" t="s">
        <v>55</v>
      </c>
      <c r="C9" s="210" t="s">
        <v>129</v>
      </c>
      <c r="D9" s="209" t="s">
        <v>121</v>
      </c>
    </row>
    <row r="10" spans="1:4">
      <c r="A10" s="209">
        <v>9</v>
      </c>
      <c r="B10" s="209" t="s">
        <v>55</v>
      </c>
      <c r="C10" s="209" t="s">
        <v>122</v>
      </c>
      <c r="D10" s="209" t="s">
        <v>123</v>
      </c>
    </row>
    <row r="11" spans="1:4">
      <c r="A11" s="209">
        <v>10</v>
      </c>
      <c r="B11" s="209" t="s">
        <v>55</v>
      </c>
      <c r="C11" s="209" t="s">
        <v>124</v>
      </c>
      <c r="D11" s="209" t="s">
        <v>130</v>
      </c>
    </row>
    <row r="13" spans="1:4">
      <c r="A13" s="212" t="s">
        <v>110</v>
      </c>
      <c r="B13" s="212"/>
      <c r="C13" s="212"/>
      <c r="D13" s="2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J1" sqref="J1"/>
    </sheetView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1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Ergon 2025-30 Draft Decision - Capital expenditure sharing scheme model</v>
      </c>
      <c r="F1" s="104"/>
      <c r="G1" s="105" t="s">
        <v>47</v>
      </c>
      <c r="H1" s="157" t="s">
        <v>48</v>
      </c>
      <c r="I1" s="161" t="s">
        <v>36</v>
      </c>
      <c r="J1" s="208" t="s">
        <v>105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8" t="s">
        <v>102</v>
      </c>
      <c r="J6" s="79"/>
      <c r="K6" s="79"/>
      <c r="L6" s="79"/>
    </row>
    <row r="7" spans="1:12" s="70" customFormat="1" ht="11.25" customHeight="1">
      <c r="C7" s="69" t="s">
        <v>88</v>
      </c>
      <c r="D7" s="207" t="s">
        <v>103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207" t="s">
        <v>104</v>
      </c>
      <c r="J8" s="79"/>
      <c r="K8" s="79"/>
      <c r="L8" s="79"/>
    </row>
    <row r="9" spans="1:12" s="70" customFormat="1" ht="11.25" customHeight="1">
      <c r="C9" s="188" t="s">
        <v>99</v>
      </c>
      <c r="D9" s="158" t="s">
        <v>101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7" t="str">
        <f t="shared" ref="D13:F13" si="0">IF(LEN(E13)&gt;4,CONCATENATE(LEFT(E13,4)-1&amp;"–"&amp;IF(RIGHT(E13,2)="00","99",IF(RIGHT(E13,2)-1&lt;10,"0","")&amp;RIGHT(E13,2)-1)),E13-1)</f>
        <v>2020–21</v>
      </c>
      <c r="E13" s="187" t="str">
        <f t="shared" si="0"/>
        <v>2021–22</v>
      </c>
      <c r="F13" s="187" t="str">
        <f t="shared" si="0"/>
        <v>2022–23</v>
      </c>
      <c r="G13" s="187" t="str">
        <f>IF(LEN(H13)&gt;4,CONCATENATE(LEFT(H13,4)-1&amp;"–"&amp;IF(RIGHT(H13,2)="00","99",IF(RIGHT(H13,2)-1&lt;10,"0","")&amp;RIGHT(H13,2)-1)),H13-1)</f>
        <v>2023–24</v>
      </c>
      <c r="H13" s="187" t="str">
        <f>IF(LEN(D9)&gt;4,CONCATENATE(LEFT(D9,4)-1&amp;"–"&amp;IF(RIGHT(D9,2)="00","99",IF(RIGHT(D9,2)-1&lt;10,"0","")&amp;RIGHT(D9,2)-1)),D9-1)</f>
        <v>2024–25</v>
      </c>
      <c r="J13" s="79"/>
      <c r="K13" s="79"/>
      <c r="L13" s="79"/>
    </row>
    <row r="14" spans="1:12" s="70" customFormat="1" ht="11.25" customHeight="1">
      <c r="C14" s="69" t="s">
        <v>1</v>
      </c>
      <c r="D14" s="158" t="s">
        <v>8</v>
      </c>
      <c r="E14" s="158" t="s">
        <v>8</v>
      </c>
      <c r="F14" s="158" t="s">
        <v>8</v>
      </c>
      <c r="G14" s="158" t="s">
        <v>8</v>
      </c>
      <c r="H14" s="158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8" t="s">
        <v>7</v>
      </c>
      <c r="E15" s="158" t="s">
        <v>7</v>
      </c>
      <c r="F15" s="158" t="s">
        <v>7</v>
      </c>
      <c r="G15" s="158" t="s">
        <v>7</v>
      </c>
      <c r="H15" s="158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7" t="str">
        <f>D9</f>
        <v>2025-26</v>
      </c>
      <c r="E18" s="187" t="str">
        <f>IF(LEN(D18)&gt;4,CONCATENATE(LEFT(D18,4)+1&amp;"–"&amp;IF(RIGHT(D18,2)+1&gt;9,"","0")&amp;RIGHT(D18,2)+1),D18+1)</f>
        <v>2026–27</v>
      </c>
      <c r="F18" s="187" t="str">
        <f t="shared" ref="F18:H18" si="1">IF(LEN(E18)&gt;4,CONCATENATE(LEFT(E18,4)+1&amp;"–"&amp;IF(RIGHT(E18,2)+1&gt;9,"","0")&amp;RIGHT(E18,2)+1),E18+1)</f>
        <v>2027–28</v>
      </c>
      <c r="G18" s="187" t="str">
        <f t="shared" si="1"/>
        <v>2028–29</v>
      </c>
      <c r="H18" s="187" t="str">
        <f t="shared" si="1"/>
        <v>2029–30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="85" zoomScaleNormal="85" workbookViewId="0">
      <selection activeCell="I34" sqref="I3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6.140625" style="24" bestFit="1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Ergon 2025-30 Draft Decision - Capital expenditure sharing scheme model</v>
      </c>
      <c r="D1" s="12"/>
      <c r="E1" s="12"/>
      <c r="F1" s="12"/>
      <c r="G1" s="104"/>
      <c r="H1" s="105" t="s">
        <v>47</v>
      </c>
      <c r="I1" s="157" t="s">
        <v>48</v>
      </c>
      <c r="J1" s="161" t="s">
        <v>36</v>
      </c>
      <c r="K1" s="208" t="s">
        <v>105</v>
      </c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2019–20</v>
      </c>
      <c r="G7" s="173" t="str">
        <f>'Input | General'!D13</f>
        <v>2020–21</v>
      </c>
      <c r="H7" s="173" t="str">
        <f>'Input | General'!E13</f>
        <v>2021–22</v>
      </c>
      <c r="I7" s="173" t="str">
        <f>'Input | General'!F13</f>
        <v>2022–23</v>
      </c>
      <c r="J7" s="173" t="str">
        <f>'Input | General'!G13</f>
        <v>2023–24</v>
      </c>
      <c r="K7" s="173" t="str">
        <f>'Input | General'!H13</f>
        <v>2024–25</v>
      </c>
      <c r="L7" s="173" t="str">
        <f>'Input | General'!D18</f>
        <v>2025-26</v>
      </c>
      <c r="M7" s="173" t="str">
        <f>'Input | General'!E18</f>
        <v>2026–27</v>
      </c>
      <c r="N7" s="173" t="str">
        <f>'Input | General'!F18</f>
        <v>2027–28</v>
      </c>
      <c r="O7" s="173" t="str">
        <f>'Input | General'!G18</f>
        <v>2028–29</v>
      </c>
      <c r="P7" s="173" t="str">
        <f>'Input | General'!H18</f>
        <v>2029–30</v>
      </c>
    </row>
    <row r="8" spans="1:18" ht="11.25" customHeight="1">
      <c r="A8" s="11"/>
      <c r="B8" s="11"/>
      <c r="C8" s="80" t="s">
        <v>81</v>
      </c>
      <c r="D8" s="78" t="s">
        <v>100</v>
      </c>
      <c r="E8" s="78" t="s">
        <v>51</v>
      </c>
      <c r="F8" s="78"/>
      <c r="G8" s="201">
        <v>8.6058519793459354E-3</v>
      </c>
      <c r="H8" s="201">
        <v>3.4982935153583528E-2</v>
      </c>
      <c r="I8" s="201">
        <v>7.8318219291014124E-2</v>
      </c>
      <c r="J8" s="201">
        <v>4.1000000000000002E-2</v>
      </c>
      <c r="K8" s="201">
        <v>3.3000000000000002E-2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100</v>
      </c>
      <c r="E9" s="78" t="s">
        <v>51</v>
      </c>
      <c r="F9" s="78"/>
      <c r="G9" s="129"/>
      <c r="H9" s="129"/>
      <c r="I9" s="129"/>
      <c r="J9" s="129"/>
      <c r="K9" s="129"/>
      <c r="L9" s="201">
        <v>2.7997811278454687E-2</v>
      </c>
      <c r="M9" s="141">
        <f t="shared" ref="M9:P9" si="0">L9</f>
        <v>2.7997811278454687E-2</v>
      </c>
      <c r="N9" s="141">
        <f t="shared" si="0"/>
        <v>2.7997811278454687E-2</v>
      </c>
      <c r="O9" s="141">
        <f t="shared" si="0"/>
        <v>2.7997811278454687E-2</v>
      </c>
      <c r="P9" s="141">
        <f t="shared" si="0"/>
        <v>2.7997811278454687E-2</v>
      </c>
    </row>
    <row r="10" spans="1:18" ht="11.25" customHeight="1">
      <c r="A10" s="11"/>
      <c r="B10" s="11"/>
      <c r="C10" s="138" t="str">
        <f>"CPI Index (base year "&amp;F7&amp;")"</f>
        <v>CPI Index (base year 2019–20)</v>
      </c>
      <c r="D10" s="78" t="s">
        <v>100</v>
      </c>
      <c r="E10" s="78" t="s">
        <v>30</v>
      </c>
      <c r="F10" s="136">
        <v>1</v>
      </c>
      <c r="G10" s="122">
        <f>IF(G7&lt;&gt;"",(F10*(1+G8)),"")</f>
        <v>1.0086058519793459</v>
      </c>
      <c r="H10" s="122">
        <f>IF(H7&lt;&gt;"",(G10*(1+H8)),"")</f>
        <v>1.0438898450946643</v>
      </c>
      <c r="I10" s="122">
        <f>IF(I7&lt;&gt;"",(H10*(1+I8)),"")</f>
        <v>1.1256454388984509</v>
      </c>
      <c r="J10" s="122">
        <f>IF(J7&lt;&gt;"",(I10*(1+J8)),"")</f>
        <v>1.1717969018932872</v>
      </c>
      <c r="K10" s="122">
        <f>IF(K7&lt;&gt;"",(J10*(1+K8)),"")</f>
        <v>1.2104661996557655</v>
      </c>
      <c r="L10" s="86">
        <f t="shared" ref="L10:P10" si="1">IF(L7&lt;&gt;"",(K10*(1+L9)),"")</f>
        <v>1.2443566038726759</v>
      </c>
      <c r="M10" s="86">
        <f t="shared" si="1"/>
        <v>1.2791958652310018</v>
      </c>
      <c r="N10" s="86">
        <f t="shared" si="1"/>
        <v>1.3150105496539191</v>
      </c>
      <c r="O10" s="86">
        <f t="shared" si="1"/>
        <v>1.3518279668523066</v>
      </c>
      <c r="P10" s="86">
        <f t="shared" si="1"/>
        <v>1.3896761911491746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0"/>
      <c r="J12" s="190"/>
      <c r="K12" s="191"/>
      <c r="L12" s="191"/>
      <c r="M12" s="191"/>
      <c r="N12" s="191"/>
      <c r="O12" s="191"/>
      <c r="P12" s="191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1">
        <f>G8</f>
        <v>8.6058519793459354E-3</v>
      </c>
      <c r="H13" s="201">
        <f>H8</f>
        <v>3.4982935153583528E-2</v>
      </c>
      <c r="I13" s="201">
        <f>I8</f>
        <v>7.8318219291014124E-2</v>
      </c>
      <c r="J13" s="204">
        <v>4.0519877675840865E-2</v>
      </c>
      <c r="K13" s="204">
        <v>0.03</v>
      </c>
      <c r="L13" s="190"/>
      <c r="M13" s="190"/>
      <c r="N13" s="190"/>
      <c r="O13" s="190"/>
      <c r="P13" s="190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04">
        <v>2.8497022352319323E-2</v>
      </c>
      <c r="M14" s="141">
        <f t="shared" ref="M14:P14" si="2">L14</f>
        <v>2.8497022352319323E-2</v>
      </c>
      <c r="N14" s="141">
        <f t="shared" si="2"/>
        <v>2.8497022352319323E-2</v>
      </c>
      <c r="O14" s="141">
        <f t="shared" si="2"/>
        <v>2.8497022352319323E-2</v>
      </c>
      <c r="P14" s="141">
        <f t="shared" si="2"/>
        <v>2.8497022352319323E-2</v>
      </c>
    </row>
    <row r="15" spans="1:18" ht="11.25" customHeight="1">
      <c r="A15" s="11"/>
      <c r="B15" s="11"/>
      <c r="C15" s="138" t="str">
        <f>"CPI Index (base year "&amp;F7&amp;")"</f>
        <v>CPI Index (base year 2019–20)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1.0086058519793459</v>
      </c>
      <c r="H15" s="122">
        <f>IF(H7&lt;&gt;"",(G15*(1+H13)),"")</f>
        <v>1.0438898450946643</v>
      </c>
      <c r="I15" s="192">
        <f>IF(I7&lt;&gt;"",(H15*(1+I13)),"")</f>
        <v>1.1256454388984509</v>
      </c>
      <c r="J15" s="192">
        <f>IF(J7&lt;&gt;"",(I15*(1+J13)),"")</f>
        <v>1.1712564543889843</v>
      </c>
      <c r="K15" s="193">
        <f>IF(K7&lt;&gt;"",(J15*(1+K13)),"")</f>
        <v>1.2063941480206539</v>
      </c>
      <c r="L15" s="193">
        <f t="shared" ref="L15:P15" si="3">IF(L7&lt;&gt;"",(K15*(1+L14)),"")</f>
        <v>1.2407727890225058</v>
      </c>
      <c r="M15" s="193">
        <f t="shared" si="3"/>
        <v>1.2761311189254296</v>
      </c>
      <c r="N15" s="193">
        <f t="shared" si="3"/>
        <v>1.3124970559459379</v>
      </c>
      <c r="O15" s="193">
        <f t="shared" si="3"/>
        <v>1.3498993138865827</v>
      </c>
      <c r="P15" s="193">
        <f t="shared" si="3"/>
        <v>1.3883674248077891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4"/>
      <c r="L16" s="194"/>
      <c r="M16" s="194"/>
      <c r="N16" s="194"/>
      <c r="O16" s="194"/>
      <c r="P16" s="194"/>
    </row>
    <row r="17" spans="1:16" s="81" customFormat="1" ht="12.75" customHeight="1">
      <c r="C17" s="29" t="s">
        <v>68</v>
      </c>
      <c r="D17" s="82"/>
      <c r="E17" s="82"/>
      <c r="F17" s="82"/>
      <c r="I17" s="195"/>
      <c r="J17" s="195"/>
      <c r="K17" s="195"/>
      <c r="L17" s="195"/>
      <c r="M17" s="196"/>
      <c r="N17" s="195"/>
      <c r="O17" s="195"/>
      <c r="P17" s="195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7"/>
      <c r="N18" s="14"/>
      <c r="O18" s="191"/>
      <c r="P18" s="19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2020–21</v>
      </c>
      <c r="H19" s="173" t="str">
        <f t="shared" ref="H19:P19" si="4">H7</f>
        <v>2021–22</v>
      </c>
      <c r="I19" s="198" t="str">
        <f t="shared" si="4"/>
        <v>2022–23</v>
      </c>
      <c r="J19" s="198" t="str">
        <f t="shared" si="4"/>
        <v>2023–24</v>
      </c>
      <c r="K19" s="198" t="str">
        <f t="shared" si="4"/>
        <v>2024–25</v>
      </c>
      <c r="L19" s="198" t="str">
        <f t="shared" si="4"/>
        <v>2025-26</v>
      </c>
      <c r="M19" s="198" t="str">
        <f t="shared" si="4"/>
        <v>2026–27</v>
      </c>
      <c r="N19" s="198" t="str">
        <f t="shared" si="4"/>
        <v>2027–28</v>
      </c>
      <c r="O19" s="198" t="str">
        <f t="shared" si="4"/>
        <v>2028–29</v>
      </c>
      <c r="P19" s="198" t="str">
        <f t="shared" si="4"/>
        <v>2029–30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1">
        <v>2.3998445239976629E-2</v>
      </c>
      <c r="H20" s="201">
        <v>2.2429515237719189E-2</v>
      </c>
      <c r="I20" s="201">
        <v>2.1803719524386755E-2</v>
      </c>
      <c r="J20" s="201">
        <v>2.2573324923264249E-2</v>
      </c>
      <c r="K20" s="204">
        <v>2.3056871865892781E-2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199"/>
      <c r="J21" s="199"/>
      <c r="K21" s="199"/>
      <c r="L21" s="204">
        <f>[4]WACC!G19</f>
        <v>3.1014646184694294E-2</v>
      </c>
      <c r="M21" s="204">
        <f>[4]WACC!H19</f>
        <v>3.1222393488294919E-2</v>
      </c>
      <c r="N21" s="204">
        <f>[4]WACC!I19</f>
        <v>3.1673981432531445E-2</v>
      </c>
      <c r="O21" s="204">
        <f>[4]WACC!J19</f>
        <v>3.2474583349917423E-2</v>
      </c>
      <c r="P21" s="204">
        <f>[4]WACC!K19</f>
        <v>3.329784033429966E-2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3.2810824286792162E-2</v>
      </c>
      <c r="H22" s="142">
        <f>IF(AND(H13&lt;&gt;"",H20&lt;&gt;""),((1+H20)*(1+H13)-1),"")</f>
        <v>5.8197100668390123E-2</v>
      </c>
      <c r="I22" s="141">
        <f>IF(AND(I13&lt;&gt;"",I20&lt;&gt;""),((1+I20)*(1+I13)-1),"")</f>
        <v>0.10182956730247161</v>
      </c>
      <c r="J22" s="141">
        <f>IF(AND(J13&lt;&gt;"",J20&lt;&gt;""),((1+J20)*(1+J13)-1),"")</f>
        <v>6.4007870963732838E-2</v>
      </c>
      <c r="K22" s="141">
        <f>IF(AND(K13&lt;&gt;"",K20&lt;&gt;""),((1+K20)*(1+K13)-1),"")</f>
        <v>5.3748578021869609E-2</v>
      </c>
      <c r="L22" s="141">
        <f>IF(AND(L14&lt;&gt;"",L21&lt;&gt;""),((1+L21)*(1+L14)-1),"")</f>
        <v>6.0395493602588113E-2</v>
      </c>
      <c r="M22" s="141">
        <f t="shared" ref="M22:P22" si="5">IF(AND(M14&lt;&gt;"",M21&lt;&gt;""),((1+M21)*(1+M14)-1),"")</f>
        <v>6.0609161085743102E-2</v>
      </c>
      <c r="N22" s="141">
        <f t="shared" si="5"/>
        <v>6.1073617941720615E-2</v>
      </c>
      <c r="O22" s="141">
        <f t="shared" si="5"/>
        <v>6.189703462984153E-2</v>
      </c>
      <c r="P22" s="141">
        <f t="shared" si="5"/>
        <v>6.2743751986909402E-2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200"/>
      <c r="J23" s="200"/>
      <c r="K23" s="200"/>
      <c r="L23" s="14"/>
      <c r="M23" s="197"/>
      <c r="N23" s="14"/>
      <c r="O23" s="191"/>
      <c r="P23" s="19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zoomScale="85" zoomScaleNormal="85" workbookViewId="0">
      <selection activeCell="I42" sqref="I42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7.85546875" style="11" bestFit="1" customWidth="1"/>
    <col min="14" max="14" width="2.85546875" style="11" customWidth="1"/>
    <col min="15" max="23" width="9.140625" style="11" customWidth="1"/>
    <col min="24" max="16384" width="12.7109375" style="11" hidden="1"/>
  </cols>
  <sheetData>
    <row r="1" spans="2:16" ht="18" customHeight="1">
      <c r="B1" s="3" t="s">
        <v>131</v>
      </c>
      <c r="D1" s="12"/>
      <c r="E1" s="12"/>
      <c r="F1" s="12"/>
      <c r="G1" s="12"/>
      <c r="H1" s="104"/>
      <c r="I1" s="105" t="s">
        <v>47</v>
      </c>
      <c r="J1" s="157" t="s">
        <v>48</v>
      </c>
      <c r="K1" s="161" t="s">
        <v>36</v>
      </c>
      <c r="L1" s="208" t="s">
        <v>105</v>
      </c>
    </row>
    <row r="2" spans="2:16" ht="18" customHeight="1">
      <c r="B2" s="13" t="s">
        <v>37</v>
      </c>
      <c r="D2" s="13"/>
      <c r="E2" s="13"/>
      <c r="F2" s="13"/>
      <c r="G2" s="13"/>
    </row>
    <row r="3" spans="2:16" ht="3" customHeight="1">
      <c r="C3" s="10"/>
      <c r="D3" s="10"/>
      <c r="E3" s="10"/>
      <c r="F3" s="10"/>
      <c r="G3" s="10"/>
    </row>
    <row r="4" spans="2:16" s="8" customFormat="1" ht="12.75" customHeight="1">
      <c r="B4" s="29" t="s">
        <v>40</v>
      </c>
      <c r="D4" s="6"/>
      <c r="E4" s="6"/>
      <c r="F4" s="6"/>
      <c r="G4" s="6"/>
    </row>
    <row r="5" spans="2:16" ht="10.5" customHeight="1">
      <c r="D5" s="68"/>
      <c r="E5" s="68"/>
      <c r="F5" s="68"/>
      <c r="G5" s="68"/>
    </row>
    <row r="6" spans="2:16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">
        <v>132</v>
      </c>
      <c r="I6" s="175" t="s">
        <v>133</v>
      </c>
      <c r="J6" s="175" t="s">
        <v>134</v>
      </c>
      <c r="K6" s="175" t="s">
        <v>135</v>
      </c>
      <c r="L6" s="175" t="s">
        <v>136</v>
      </c>
      <c r="M6" s="107"/>
      <c r="N6" s="107"/>
    </row>
    <row r="7" spans="2:16" s="68" customFormat="1" ht="10.5" customHeight="1">
      <c r="M7" s="107"/>
      <c r="N7" s="107"/>
    </row>
    <row r="8" spans="2:16" ht="10.5" customHeight="1">
      <c r="C8" s="80" t="s">
        <v>3</v>
      </c>
      <c r="D8" s="78" t="s">
        <v>49</v>
      </c>
      <c r="E8" s="78" t="s">
        <v>50</v>
      </c>
      <c r="F8" s="178" t="s">
        <v>137</v>
      </c>
      <c r="G8" s="68"/>
      <c r="H8" s="159">
        <v>499.57330236783298</v>
      </c>
      <c r="I8" s="159">
        <v>500.94030935378782</v>
      </c>
      <c r="J8" s="159">
        <v>498.52996940778246</v>
      </c>
      <c r="K8" s="159">
        <v>479.54779857003473</v>
      </c>
      <c r="L8" s="159">
        <v>487.69904585849412</v>
      </c>
      <c r="M8" s="2"/>
      <c r="N8" s="2"/>
    </row>
    <row r="9" spans="2:16" ht="10.5" customHeight="1">
      <c r="C9" s="80" t="s">
        <v>97</v>
      </c>
      <c r="D9" s="78" t="s">
        <v>49</v>
      </c>
      <c r="E9" s="78" t="s">
        <v>50</v>
      </c>
      <c r="F9" s="178" t="s">
        <v>137</v>
      </c>
      <c r="G9" s="68"/>
      <c r="H9" s="159">
        <v>38.11520213443314</v>
      </c>
      <c r="I9" s="159">
        <v>35.334801478226616</v>
      </c>
      <c r="J9" s="159">
        <v>31.880516414772917</v>
      </c>
      <c r="K9" s="159">
        <v>31.911876667193404</v>
      </c>
      <c r="L9" s="159">
        <v>31.947470454619687</v>
      </c>
      <c r="M9" s="2"/>
      <c r="N9" s="2"/>
    </row>
    <row r="10" spans="2:16" ht="10.5" customHeight="1">
      <c r="C10" s="80" t="s">
        <v>91</v>
      </c>
      <c r="D10" s="78" t="s">
        <v>49</v>
      </c>
      <c r="E10" s="78" t="s">
        <v>50</v>
      </c>
      <c r="F10" s="178" t="s">
        <v>137</v>
      </c>
      <c r="G10" s="68"/>
      <c r="H10" s="159">
        <v>3.9967786876243099</v>
      </c>
      <c r="I10" s="159">
        <v>3.9967786876243099</v>
      </c>
      <c r="J10" s="159">
        <v>3.9967786876243099</v>
      </c>
      <c r="K10" s="159">
        <v>4.9112087729676608</v>
      </c>
      <c r="L10" s="159">
        <v>3.9967786876243099</v>
      </c>
      <c r="M10" s="2"/>
      <c r="N10" s="2"/>
    </row>
    <row r="11" spans="2:16" s="68" customFormat="1" ht="10.5" customHeight="1">
      <c r="H11" s="67"/>
      <c r="I11" s="67"/>
      <c r="J11" s="67"/>
      <c r="K11" s="67"/>
      <c r="L11" s="67"/>
      <c r="M11" s="107"/>
      <c r="N11" s="107"/>
    </row>
    <row r="12" spans="2:16" ht="10.5" customHeight="1">
      <c r="C12" s="77" t="s">
        <v>5</v>
      </c>
      <c r="D12" s="76" t="s">
        <v>60</v>
      </c>
      <c r="E12" s="176" t="s">
        <v>50</v>
      </c>
      <c r="F12" s="177" t="s">
        <v>137</v>
      </c>
      <c r="G12" s="68"/>
      <c r="H12" s="66">
        <v>457.46132154577549</v>
      </c>
      <c r="I12" s="66">
        <v>461.60872918793689</v>
      </c>
      <c r="J12" s="66">
        <v>462.65267430538523</v>
      </c>
      <c r="K12" s="66">
        <v>442.72471312987369</v>
      </c>
      <c r="L12" s="66">
        <v>451.7547967162501</v>
      </c>
      <c r="M12" s="2"/>
      <c r="N12" s="2"/>
    </row>
    <row r="13" spans="2:16" ht="10.5" customHeight="1">
      <c r="D13" s="68"/>
      <c r="E13" s="68"/>
      <c r="F13" s="68"/>
      <c r="G13" s="68"/>
      <c r="M13" s="72"/>
      <c r="N13" s="72"/>
    </row>
    <row r="14" spans="2:16" s="8" customFormat="1" ht="12.75" customHeight="1">
      <c r="B14" s="74" t="s">
        <v>41</v>
      </c>
      <c r="D14" s="18"/>
      <c r="E14" s="18"/>
      <c r="F14" s="18"/>
      <c r="G14" s="18"/>
    </row>
    <row r="15" spans="2:16" s="2" customFormat="1" ht="10.5" customHeight="1">
      <c r="B15" s="73"/>
      <c r="D15" s="21"/>
      <c r="E15" s="21"/>
      <c r="F15" s="21"/>
      <c r="G15" s="21"/>
    </row>
    <row r="16" spans="2:16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">
        <v>132</v>
      </c>
      <c r="I16" s="175" t="s">
        <v>133</v>
      </c>
      <c r="J16" s="175" t="s">
        <v>134</v>
      </c>
      <c r="K16" s="175" t="s">
        <v>135</v>
      </c>
      <c r="L16" s="175" t="s">
        <v>136</v>
      </c>
      <c r="O16" s="107"/>
      <c r="P16" s="107"/>
    </row>
    <row r="17" spans="2:19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O17" s="107"/>
      <c r="P17" s="107"/>
      <c r="S17" s="203"/>
    </row>
    <row r="18" spans="2:19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205">
        <v>596.68393502974061</v>
      </c>
      <c r="I18" s="205">
        <v>636.25655630452081</v>
      </c>
      <c r="J18" s="205">
        <v>765.66870899550122</v>
      </c>
      <c r="K18" s="159">
        <v>981.30245990365313</v>
      </c>
      <c r="L18" s="159">
        <v>1053.0871652377703</v>
      </c>
      <c r="S18" s="203"/>
    </row>
    <row r="19" spans="2:19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205">
        <v>25.67517710985604</v>
      </c>
      <c r="I19" s="205">
        <v>40.670312819999999</v>
      </c>
      <c r="J19" s="205">
        <v>29.494277919999998</v>
      </c>
      <c r="K19" s="160">
        <v>21.457010950233336</v>
      </c>
      <c r="L19" s="160">
        <v>23.247956010416075</v>
      </c>
    </row>
    <row r="20" spans="2:19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205">
        <v>9.3859678700000018</v>
      </c>
      <c r="I20" s="205">
        <v>3.5672515099999997</v>
      </c>
      <c r="J20" s="205">
        <v>1.1169302999999999</v>
      </c>
      <c r="K20" s="205">
        <v>3.6599827112603354</v>
      </c>
      <c r="L20" s="205">
        <v>7.5994000151279781</v>
      </c>
    </row>
    <row r="21" spans="2:19" s="2" customFormat="1" ht="10.5" customHeight="1">
      <c r="B21" s="73"/>
      <c r="C21" s="154" t="s">
        <v>96</v>
      </c>
      <c r="D21" s="78" t="s">
        <v>49</v>
      </c>
      <c r="E21" s="78" t="s">
        <v>50</v>
      </c>
      <c r="F21" s="78" t="s">
        <v>53</v>
      </c>
      <c r="G21" s="68"/>
      <c r="H21" s="206"/>
      <c r="I21" s="206"/>
      <c r="J21" s="206"/>
      <c r="K21" s="159"/>
      <c r="L21" s="159"/>
    </row>
    <row r="22" spans="2:19" s="2" customFormat="1" ht="10.5" customHeight="1">
      <c r="B22" s="73"/>
      <c r="C22" s="68"/>
      <c r="D22" s="68"/>
      <c r="E22" s="68"/>
      <c r="F22" s="68"/>
      <c r="G22" s="68"/>
      <c r="H22" s="202"/>
      <c r="I22" s="202"/>
      <c r="J22" s="202"/>
      <c r="K22" s="67"/>
      <c r="L22" s="67"/>
      <c r="O22" s="107"/>
      <c r="P22" s="107"/>
    </row>
    <row r="23" spans="2:19" s="2" customFormat="1" ht="10.5" customHeight="1">
      <c r="B23" s="73"/>
      <c r="C23" s="77" t="s">
        <v>76</v>
      </c>
      <c r="D23" s="76" t="s">
        <v>60</v>
      </c>
      <c r="E23" s="179" t="s">
        <v>50</v>
      </c>
      <c r="F23" s="179" t="s">
        <v>53</v>
      </c>
      <c r="G23" s="68"/>
      <c r="H23" s="66">
        <v>560.90496823404487</v>
      </c>
      <c r="I23" s="66">
        <v>599.15811729794518</v>
      </c>
      <c r="J23" s="66">
        <v>741.6037089130856</v>
      </c>
      <c r="K23" s="66">
        <v>956.18546624215946</v>
      </c>
      <c r="L23" s="66">
        <v>1022.2398092122261</v>
      </c>
    </row>
    <row r="24" spans="2:19" s="2" customFormat="1" ht="10.5" customHeight="1">
      <c r="B24" s="73"/>
      <c r="D24" s="21"/>
      <c r="E24" s="21"/>
      <c r="F24" s="21"/>
      <c r="G24" s="21"/>
      <c r="M24" s="72"/>
      <c r="N24" s="72"/>
    </row>
    <row r="25" spans="2:19" s="8" customFormat="1" ht="12.75" customHeight="1">
      <c r="B25" s="74" t="s">
        <v>42</v>
      </c>
      <c r="D25" s="18"/>
      <c r="E25" s="18"/>
      <c r="F25" s="18"/>
      <c r="G25" s="18"/>
    </row>
    <row r="26" spans="2:19" ht="10.5" customHeight="1">
      <c r="D26" s="68"/>
      <c r="E26" s="68"/>
      <c r="F26" s="68"/>
      <c r="G26" s="68"/>
      <c r="M26" s="2"/>
      <c r="N26" s="2"/>
    </row>
    <row r="27" spans="2:19" ht="10.5" customHeight="1">
      <c r="D27" s="68"/>
      <c r="E27" s="68"/>
      <c r="F27" s="68"/>
      <c r="G27" s="68"/>
      <c r="H27" s="175" t="s">
        <v>101</v>
      </c>
      <c r="I27" s="175" t="s">
        <v>138</v>
      </c>
      <c r="J27" s="175" t="s">
        <v>139</v>
      </c>
      <c r="K27" s="175" t="s">
        <v>140</v>
      </c>
      <c r="L27" s="175" t="s">
        <v>141</v>
      </c>
      <c r="M27" s="2"/>
      <c r="N27" s="2"/>
    </row>
    <row r="28" spans="2:19" s="17" customFormat="1" ht="10.5" customHeight="1">
      <c r="C28" s="16"/>
      <c r="D28" s="68"/>
      <c r="E28" s="68"/>
      <c r="F28" s="68"/>
      <c r="G28" s="68"/>
      <c r="M28" s="19"/>
      <c r="N28" s="19"/>
    </row>
    <row r="29" spans="2:19" ht="11.25" customHeight="1">
      <c r="C29" s="84" t="s">
        <v>85</v>
      </c>
      <c r="D29" s="65" t="s">
        <v>100</v>
      </c>
      <c r="E29" s="78" t="s">
        <v>50</v>
      </c>
      <c r="F29" s="78" t="s">
        <v>53</v>
      </c>
      <c r="G29" s="68"/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2"/>
      <c r="N29" s="2"/>
    </row>
    <row r="30" spans="2:19" ht="11.25" customHeight="1">
      <c r="C30" s="84" t="s">
        <v>85</v>
      </c>
      <c r="D30" s="65" t="s">
        <v>60</v>
      </c>
      <c r="E30" s="78" t="s">
        <v>50</v>
      </c>
      <c r="F30" s="78" t="s">
        <v>137</v>
      </c>
      <c r="G30" s="68"/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2"/>
      <c r="N30" s="2"/>
    </row>
    <row r="31" spans="2:19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2"/>
      <c r="N31" s="2"/>
    </row>
    <row r="32" spans="2:19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ht="18" customHeight="1"/>
    <row r="37" spans="1:14" s="2" customFormat="1" ht="18" customHeight="1">
      <c r="A37" s="11"/>
      <c r="B37" s="11"/>
      <c r="C37" s="16"/>
      <c r="D37" s="16"/>
      <c r="E37" s="16"/>
      <c r="F37" s="16"/>
      <c r="G37" s="16"/>
      <c r="H37" s="11"/>
      <c r="I37" s="11"/>
      <c r="J37" s="11"/>
      <c r="K37" s="11"/>
      <c r="L37" s="11"/>
      <c r="M37" s="11"/>
      <c r="N37" s="11"/>
    </row>
    <row r="38" spans="1:14" ht="18" customHeight="1"/>
    <row r="39" spans="1:14" ht="18" customHeight="1"/>
    <row r="40" spans="1:14" ht="18" customHeight="1"/>
    <row r="41" spans="1:14" s="17" customFormat="1" ht="18" customHeight="1">
      <c r="A41" s="11"/>
      <c r="B41" s="11"/>
      <c r="C41" s="16"/>
      <c r="D41" s="16"/>
      <c r="E41" s="16"/>
      <c r="F41" s="16"/>
      <c r="G41" s="16"/>
      <c r="H41" s="11"/>
      <c r="I41" s="11"/>
      <c r="J41" s="11"/>
      <c r="K41" s="11"/>
      <c r="L41" s="11"/>
      <c r="M41" s="11"/>
      <c r="N41" s="11"/>
    </row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11" priority="32">
      <formula>IF($H$6&lt;&gt;"","FALSE","TRUE")</formula>
    </cfRule>
  </conditionalFormatting>
  <conditionalFormatting sqref="K18:L18">
    <cfRule type="expression" dxfId="10" priority="27">
      <formula>IF($H$6&lt;&gt;"","FALSE","TRUE")</formula>
    </cfRule>
  </conditionalFormatting>
  <conditionalFormatting sqref="H18:H20 I18:J18">
    <cfRule type="expression" dxfId="9" priority="22">
      <formula>IF($H$6&lt;&gt;"","FALSE","TRUE")</formula>
    </cfRule>
  </conditionalFormatting>
  <conditionalFormatting sqref="H29:L29">
    <cfRule type="expression" dxfId="8" priority="16">
      <formula>IF($H$6&lt;&gt;"","FALSE","TRUE")</formula>
    </cfRule>
  </conditionalFormatting>
  <conditionalFormatting sqref="H21:L21">
    <cfRule type="expression" dxfId="7" priority="14">
      <formula>IF($H$6&lt;&gt;"","FALSE","TRUE")</formula>
    </cfRule>
  </conditionalFormatting>
  <conditionalFormatting sqref="I10">
    <cfRule type="expression" dxfId="6" priority="13">
      <formula>IF($H$6&lt;&gt;"","FALSE","TRUE")</formula>
    </cfRule>
  </conditionalFormatting>
  <conditionalFormatting sqref="J10">
    <cfRule type="expression" dxfId="5" priority="12">
      <formula>IF($H$6&lt;&gt;"","FALSE","TRUE")</formula>
    </cfRule>
  </conditionalFormatting>
  <conditionalFormatting sqref="K10">
    <cfRule type="expression" dxfId="4" priority="11">
      <formula>IF($H$6&lt;&gt;"","FALSE","TRUE")</formula>
    </cfRule>
  </conditionalFormatting>
  <conditionalFormatting sqref="L10">
    <cfRule type="expression" dxfId="3" priority="10">
      <formula>IF($H$6&lt;&gt;"","FALSE","TRUE")</formula>
    </cfRule>
  </conditionalFormatting>
  <conditionalFormatting sqref="I19:I20">
    <cfRule type="expression" dxfId="2" priority="9">
      <formula>IF($H$6&lt;&gt;"","FALSE","TRUE")</formula>
    </cfRule>
  </conditionalFormatting>
  <conditionalFormatting sqref="J19:L19 J20">
    <cfRule type="expression" dxfId="1" priority="8">
      <formula>IF($H$6&lt;&gt;"","FALSE","TRUE")</formula>
    </cfRule>
  </conditionalFormatting>
  <conditionalFormatting sqref="K20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>
      <selection activeCell="E41" sqref="E41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Ergon 2025-30 Draft Decision - Capital expenditure sharing scheme model</v>
      </c>
      <c r="J1" s="121"/>
      <c r="K1" s="105" t="s">
        <v>47</v>
      </c>
      <c r="L1" s="157" t="s">
        <v>48</v>
      </c>
      <c r="M1" s="161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5" t="str">
        <f>IF('Input | General'!D14="Yes",'Input | General'!D13,"n/a")</f>
        <v>2020–21</v>
      </c>
      <c r="E7" s="175" t="str">
        <f>IF('Input | General'!E14="Yes",'Input | General'!E13,"n/a")</f>
        <v>2021–22</v>
      </c>
      <c r="F7" s="175" t="str">
        <f>IF('Input | General'!F14="Yes",'Input | General'!F13,"n/a")</f>
        <v>2022–23</v>
      </c>
      <c r="G7" s="175" t="str">
        <f>IF('Input | General'!G14="Yes",'Input | General'!G13,"n/a")</f>
        <v>2023–24</v>
      </c>
      <c r="H7" s="180" t="str">
        <f>IF('Input | General'!H14="Yes",'Input | General'!H13,"n/a")</f>
        <v>2024–25</v>
      </c>
      <c r="I7" s="96"/>
    </row>
    <row r="8" spans="2:23" ht="11.25" customHeight="1">
      <c r="C8" s="143" t="s">
        <v>93</v>
      </c>
      <c r="D8" s="162">
        <f>'Input | Inflation and Disc Rate'!G20</f>
        <v>2.3998445239976629E-2</v>
      </c>
      <c r="E8" s="163">
        <f>'Input | Inflation and Disc Rate'!H20</f>
        <v>2.2429515237719189E-2</v>
      </c>
      <c r="F8" s="163">
        <f>'Input | Inflation and Disc Rate'!I20</f>
        <v>2.1803719524386755E-2</v>
      </c>
      <c r="G8" s="163">
        <f>'Input | Inflation and Disc Rate'!J20</f>
        <v>2.2573324923264249E-2</v>
      </c>
      <c r="H8" s="164">
        <f>'Input | Inflation and Disc Rate'!K20</f>
        <v>2.3056871865892781E-2</v>
      </c>
      <c r="I8" s="96"/>
      <c r="J8" s="79"/>
      <c r="K8" s="79"/>
    </row>
    <row r="9" spans="2:23" ht="11.25" customHeight="1">
      <c r="C9" s="146" t="s">
        <v>94</v>
      </c>
      <c r="D9" s="163">
        <f>'Input | Inflation and Disc Rate'!G22</f>
        <v>3.2810824286792162E-2</v>
      </c>
      <c r="E9" s="163">
        <f>'Input | Inflation and Disc Rate'!H22</f>
        <v>5.8197100668390123E-2</v>
      </c>
      <c r="F9" s="163">
        <f>'Input | Inflation and Disc Rate'!I22</f>
        <v>0.10182956730247161</v>
      </c>
      <c r="G9" s="163">
        <f>'Input | Inflation and Disc Rate'!J22</f>
        <v>6.4007870963732838E-2</v>
      </c>
      <c r="H9" s="164">
        <f>'Input | Inflation and Disc Rate'!K22</f>
        <v>5.3748578021869609E-2</v>
      </c>
      <c r="I9" s="96"/>
      <c r="J9" s="79"/>
      <c r="K9" s="79"/>
    </row>
    <row r="10" spans="2:23" ht="11.25" customHeight="1">
      <c r="C10" s="112" t="s">
        <v>13</v>
      </c>
      <c r="D10" s="165">
        <f>'Input | Reported Capex'!H$12*'Input | Inflation and Disc Rate'!G$15*(1+'Input | Inflation and Disc Rate'!G$20)^0.5</f>
        <v>466.90176160226463</v>
      </c>
      <c r="E10" s="166">
        <f>'Input | Reported Capex'!I$12*'Input | Inflation and Disc Rate'!H$15*(1+'Input | Inflation and Disc Rate'!H$20)^0.5</f>
        <v>487.24273773011839</v>
      </c>
      <c r="F10" s="166">
        <f>'Input | Reported Capex'!J$12*'Input | Inflation and Disc Rate'!I$15*(1+'Input | Inflation and Disc Rate'!I$20)^0.5</f>
        <v>526.42975966395636</v>
      </c>
      <c r="G10" s="166">
        <f>'Input | Reported Capex'!K$12*'Input | Inflation and Disc Rate'!J$15*(1+'Input | Inflation and Disc Rate'!J$20)^0.5</f>
        <v>524.36415013185933</v>
      </c>
      <c r="H10" s="167">
        <f>'Input | Reported Capex'!L$12*'Input | Inflation and Disc Rate'!K$15*(1+'Input | Inflation and Disc Rate'!K$20)^0.5</f>
        <v>551.24147087020651</v>
      </c>
      <c r="I10" s="96"/>
      <c r="J10" s="79"/>
      <c r="K10" s="79"/>
      <c r="N10" s="137"/>
    </row>
    <row r="11" spans="2:23" ht="11.25" customHeight="1">
      <c r="C11" s="112" t="s">
        <v>15</v>
      </c>
      <c r="D11" s="168">
        <f>'Input | Reported Capex'!H23*(1+D$9)^0.5</f>
        <v>570.032578578742</v>
      </c>
      <c r="E11" s="166">
        <f>'Input | Reported Capex'!I23*(1+E$9)^0.5</f>
        <v>616.34621184360196</v>
      </c>
      <c r="F11" s="166">
        <f>'Input | Reported Capex'!J23*(1+F$9)^0.5</f>
        <v>778.44709865185541</v>
      </c>
      <c r="G11" s="166">
        <f>'Input | Reported Capex'!K23*(1+G$9)^0.5</f>
        <v>986.31254860506863</v>
      </c>
      <c r="H11" s="167">
        <f>'Input | Reported Capex'!L23*(1+H$9)^0.5</f>
        <v>1049.3522317782199</v>
      </c>
      <c r="I11" s="96"/>
      <c r="J11" s="79"/>
      <c r="K11" s="79"/>
    </row>
    <row r="12" spans="2:23" s="19" customFormat="1" ht="11.25" customHeight="1">
      <c r="C12" s="112" t="s">
        <v>17</v>
      </c>
      <c r="D12" s="156">
        <f>(D10-D11)</f>
        <v>-103.13081697647738</v>
      </c>
      <c r="E12" s="144">
        <f>(E10-E11)</f>
        <v>-129.10347411348357</v>
      </c>
      <c r="F12" s="144">
        <f t="shared" ref="F12:H12" si="0">(F10-F11)</f>
        <v>-252.01733898789905</v>
      </c>
      <c r="G12" s="144">
        <f t="shared" si="0"/>
        <v>-461.94839847320929</v>
      </c>
      <c r="H12" s="149">
        <f t="shared" si="0"/>
        <v>-498.11076090801339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-2.313174230852328</v>
      </c>
      <c r="F13" s="144">
        <f>$D$12*$F$8*(1+'Input | Inflation and Disc Rate'!H13)</f>
        <v>-2.3272992743267573</v>
      </c>
      <c r="G13" s="144">
        <f>$D$12*$G$8*(1+'Input | Inflation and Disc Rate'!H13)*(1+'Input | Inflation and Disc Rate'!I13)</f>
        <v>-2.5981494173250259</v>
      </c>
      <c r="H13" s="149">
        <f>$D$12*$H$8*(1+'Input | Inflation and Disc Rate'!H13)*(1+'Input | Inflation and Disc Rate'!I13)*(1+'Input | Inflation and Disc Rate'!J13)</f>
        <v>-2.7613366537256505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-2.8149359391943216</v>
      </c>
      <c r="G14" s="144">
        <f>$E$12*G$8*(1+'Input | Inflation and Disc Rate'!I13)</f>
        <v>-3.1425370389206573</v>
      </c>
      <c r="H14" s="149">
        <f>$E$12*H$8*(1+'Input | Inflation and Disc Rate'!I13)*(1+'Input | Inflation and Disc Rate'!J13)</f>
        <v>-3.3399167320393266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-5.6888692792702766</v>
      </c>
      <c r="H15" s="149">
        <f>$F$12*$H$8*(1+'Input | Inflation and Disc Rate'!J13)</f>
        <v>-6.0461816223318738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-10.651085032251167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-2.313174230852328</v>
      </c>
      <c r="F18" s="150">
        <f t="shared" ref="F18:H18" si="1">SUM(F13:F17)</f>
        <v>-5.1422352135210794</v>
      </c>
      <c r="G18" s="150">
        <f t="shared" si="1"/>
        <v>-11.42955573551596</v>
      </c>
      <c r="H18" s="151">
        <f t="shared" si="1"/>
        <v>-22.798520040348016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1.3072625862356682</v>
      </c>
      <c r="E19" s="150">
        <f>F19*(1+F$9)</f>
        <v>1.2353677641055343</v>
      </c>
      <c r="F19" s="150">
        <f>G19*(1+G$9)</f>
        <v>1.1211967810321104</v>
      </c>
      <c r="G19" s="150">
        <f>H19*(1+H$9)</f>
        <v>1.0537485780218696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-134.81905852126715</v>
      </c>
      <c r="E20" s="144">
        <f>E12*E19</f>
        <v>-159.49027015383092</v>
      </c>
      <c r="F20" s="144">
        <f t="shared" ref="F20:H20" si="2">F12*F19</f>
        <v>-282.56102923751058</v>
      </c>
      <c r="G20" s="144">
        <f t="shared" si="2"/>
        <v>-486.77746801062432</v>
      </c>
      <c r="H20" s="149">
        <f t="shared" si="2"/>
        <v>-498.11076090801339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-2.8576208775545795</v>
      </c>
      <c r="F21" s="150">
        <f t="shared" ref="F21:H21" si="3">F18*F19</f>
        <v>-5.7654575687098015</v>
      </c>
      <c r="G21" s="150">
        <f t="shared" si="3"/>
        <v>-12.043878103721646</v>
      </c>
      <c r="H21" s="151">
        <f t="shared" si="3"/>
        <v>-22.798520040348016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1" t="str">
        <f>'Input | General'!$D$18</f>
        <v>2025-26</v>
      </c>
      <c r="E24" s="181" t="str">
        <f>'Input | General'!$E$18</f>
        <v>2026–27</v>
      </c>
      <c r="F24" s="181" t="str">
        <f>'Input | General'!$F$18</f>
        <v>2027–28</v>
      </c>
      <c r="G24" s="181" t="str">
        <f>'Input | General'!$G$18</f>
        <v>2028–29</v>
      </c>
      <c r="H24" s="182" t="str">
        <f>'Input | General'!$H$18</f>
        <v>2029–30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69">
        <f>'Input | Inflation and Disc Rate'!L$22</f>
        <v>6.0395493602588113E-2</v>
      </c>
      <c r="E25" s="169">
        <f>'Input | Inflation and Disc Rate'!M$22</f>
        <v>6.0609161085743102E-2</v>
      </c>
      <c r="F25" s="169">
        <f>'Input | Inflation and Disc Rate'!N$22</f>
        <v>6.1073617941720615E-2</v>
      </c>
      <c r="G25" s="169">
        <f>'Input | Inflation and Disc Rate'!O$22</f>
        <v>6.189703462984153E-2</v>
      </c>
      <c r="H25" s="170">
        <f>'Input | Inflation and Disc Rate'!P$22</f>
        <v>6.2743751986909402E-2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6">
        <f>'Input | Reported Capex'!H31</f>
        <v>0</v>
      </c>
      <c r="E26" s="166">
        <f>'Input | Reported Capex'!I31</f>
        <v>0</v>
      </c>
      <c r="F26" s="166">
        <f>'Input | Reported Capex'!J31</f>
        <v>0</v>
      </c>
      <c r="G26" s="166">
        <f>'Input | Reported Capex'!K31</f>
        <v>0</v>
      </c>
      <c r="H26" s="167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0.97110471618511385</v>
      </c>
      <c r="E27" s="123">
        <f>1/((1+E25)^(0.5)*(1+D25))</f>
        <v>0.9157025836469429</v>
      </c>
      <c r="F27" s="123">
        <f>1/((1+F25)^(0.5)*(1+E25)*(1+D25))</f>
        <v>0.86318521754470401</v>
      </c>
      <c r="G27" s="123">
        <f>1/((1+G25)^(0.5)*(1+F25)*(1+E25)*(1+D25))</f>
        <v>0.81318625994771354</v>
      </c>
      <c r="H27" s="124">
        <f>1/((1+H25)^(0.5)*(1+G25)*(1+F25)*(1+E25)*(1+D25))</f>
        <v>0.76548123301149074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-1561.7585868312462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-1093.2310107818723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-468.52757604937386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-43.465476590334042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-425.06209945903981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3" t="str">
        <f>'Input | General'!D18</f>
        <v>2025-26</v>
      </c>
      <c r="E40" s="183" t="str">
        <f>'Input | General'!E18</f>
        <v>2026–27</v>
      </c>
      <c r="F40" s="183" t="str">
        <f>'Input | General'!F18</f>
        <v>2027–28</v>
      </c>
      <c r="G40" s="183" t="str">
        <f>'Input | General'!G18</f>
        <v>2028–29</v>
      </c>
      <c r="H40" s="183" t="str">
        <f>'Input | General'!H18</f>
        <v>2029–30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1">
        <f>1/(1+'Input | Inflation and Disc Rate'!L21)</f>
        <v>0.96991832628230346</v>
      </c>
      <c r="E41" s="171">
        <f>D41/(1+'Input | Inflation and Disc Rate'!M21)</f>
        <v>0.94055204038129991</v>
      </c>
      <c r="F41" s="171">
        <f>E41/(1+'Input | Inflation and Disc Rate'!N21)</f>
        <v>0.91167564299265913</v>
      </c>
      <c r="G41" s="171">
        <f>F41/(1+'Input | Inflation and Disc Rate'!O21)</f>
        <v>0.88300056746644573</v>
      </c>
      <c r="H41" s="172">
        <f>G41/(1+'Input | Inflation and Disc Rate'!P21)</f>
        <v>0.85454603019471265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89" t="str">
        <f>CONCATENATE("CESS Payment Per Year ($", 'Output | Models'!$F$8," million)")</f>
        <v>CESS Payment Per Year ($2024–25 million)</v>
      </c>
      <c r="D42" s="109">
        <f>D36/(SUM(D41:H41))</f>
        <v>-93.221656823290601</v>
      </c>
      <c r="E42" s="109">
        <f>D42</f>
        <v>-93.221656823290601</v>
      </c>
      <c r="F42" s="109">
        <f t="shared" ref="F42:H42" si="5">E42</f>
        <v>-93.221656823290601</v>
      </c>
      <c r="G42" s="109">
        <f t="shared" si="5"/>
        <v>-93.221656823290601</v>
      </c>
      <c r="H42" s="147">
        <f t="shared" si="5"/>
        <v>-93.221656823290601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89" t="str">
        <f>CONCATENATE("Total CESS Payment ($", 'Output | Models'!$F$8," million)")</f>
        <v>Total CESS Payment ($2024–25 million)</v>
      </c>
      <c r="D44" s="155">
        <f>SUM(D42:H42)</f>
        <v>-466.10828411645298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9" sqref="J9:O10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2025-30 Draft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7" t="s">
        <v>48</v>
      </c>
      <c r="M1" s="161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15"/>
      <c r="K3" s="215"/>
      <c r="L3" s="215"/>
      <c r="M3" s="42"/>
      <c r="N3" s="215"/>
      <c r="O3" s="215"/>
      <c r="P3" s="215"/>
      <c r="Q3" s="215"/>
      <c r="R3" s="215"/>
      <c r="S3" s="215"/>
      <c r="T3" s="215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2025-26</v>
      </c>
      <c r="K6" s="184" t="str">
        <f>'Calc | CESS Revenue Increments'!E40</f>
        <v>2026–27</v>
      </c>
      <c r="L6" s="184" t="str">
        <f>'Calc | CESS Revenue Increments'!F40</f>
        <v>2027–28</v>
      </c>
      <c r="M6" s="184" t="str">
        <f>'Calc | CESS Revenue Increments'!G40</f>
        <v>2028–29</v>
      </c>
      <c r="N6" s="184" t="str">
        <f>'Calc | CESS Revenue Increments'!H40</f>
        <v>2029–30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2024–25</v>
      </c>
      <c r="H8" s="55"/>
      <c r="I8" s="55"/>
      <c r="J8" s="131">
        <f>'Calc | CESS Revenue Increments'!D42</f>
        <v>-93.221656823290601</v>
      </c>
      <c r="K8" s="131">
        <f>'Calc | CESS Revenue Increments'!E42</f>
        <v>-93.221656823290601</v>
      </c>
      <c r="L8" s="131">
        <f>'Calc | CESS Revenue Increments'!F42</f>
        <v>-93.221656823290601</v>
      </c>
      <c r="M8" s="131">
        <f>'Calc | CESS Revenue Increments'!G42</f>
        <v>-93.221656823290601</v>
      </c>
      <c r="N8" s="131">
        <f>'Calc | CESS Revenue Increments'!H42</f>
        <v>-93.221656823290601</v>
      </c>
      <c r="O8" s="60">
        <f>SUM(J8:N8)</f>
        <v>-466.10828411645298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O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pplication xmlns="http://www.sap.com/cof/excel/application">
  <Version>2</Version>
  <Revision>2.8.000.92058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561F7A-B0EC-4737-A864-E524527B3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5884D8-7DC9-4C20-BE22-06EF5A51B64F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E01BB6AC-C2B1-4EF4-97F0-605901742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AER draft decision amendments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2024-01-27T04:12:45Z</dcterms:created>
  <dcterms:modified xsi:type="dcterms:W3CDTF">2024-09-16T03:58:55Z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2024-05-29T01:21:13Z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dc0ad041-b4d9-4b7d-a417-8859ed69da60</vt:lpwstr>
  </property>
  <property fmtid="{D5CDD505-2E9C-101B-9397-08002B2CF9AE}" pid="8" name="MSIP_Label_d9d5a995-dfdf-4407-9a97-edbbc68c9f53_ContentBits">
    <vt:lpwstr>0</vt:lpwstr>
  </property>
</Properties>
</file>