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uy\AppData\Roaming\iManage\Work\Recent\AER22005454 - Qld_SA Determinations - ACS - 2025-30\"/>
    </mc:Choice>
  </mc:AlternateContent>
  <xr:revisionPtr revIDLastSave="0" documentId="13_ncr:1_{F5FF7483-2AEF-48AF-AE99-BAE63354FE13}" xr6:coauthVersionLast="47" xr6:coauthVersionMax="47" xr10:uidLastSave="{00000000-0000-0000-0000-000000000000}"/>
  <bookViews>
    <workbookView xWindow="47310" yWindow="-3345" windowWidth="19170" windowHeight="20925" activeTab="4" xr2:uid="{9D5CC8F2-428B-4BA9-979B-199F5ABA8A27}"/>
  </bookViews>
  <sheets>
    <sheet name="Draft Decision changes" sheetId="7" r:id="rId1"/>
    <sheet name="Purpose" sheetId="4" r:id="rId2"/>
    <sheet name="Allocations" sheetId="1" r:id="rId3"/>
    <sheet name="CPI" sheetId="5" r:id="rId4"/>
    <sheet name="PTRM output" sheetId="3" r:id="rId5"/>
    <sheet name="Pricing Input" sheetId="2" r:id="rId6"/>
    <sheet name="Table for reg proposals" sheetId="6" r:id="rId7"/>
  </sheets>
  <externalReferences>
    <externalReference r:id="rId8"/>
    <externalReference r:id="rId9"/>
    <externalReference r:id="rId10"/>
    <externalReference r:id="rId11"/>
  </externalReferences>
  <definedNames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CRCP_final_year">'[1]AER ETL'!$C$47</definedName>
    <definedName name="CRCP_span">CONCATENATE([0]!CRCP_y1, " to ",[0]!CRCP_y5)</definedName>
    <definedName name="CRCP_y1">'[1]AER lookups'!$G$54</definedName>
    <definedName name="CRCP_y10">'[1]AER lookups'!$G$63</definedName>
    <definedName name="CRCP_y11">'[1]AER lookups'!$G$64</definedName>
    <definedName name="CRCP_y12">'[1]AER lookups'!$G$65</definedName>
    <definedName name="CRCP_y13">'[1]AER lookups'!$G$66</definedName>
    <definedName name="CRCP_y14">'[1]AER lookups'!$G$67</definedName>
    <definedName name="CRCP_y15">'[1]AER lookups'!$G$68</definedName>
    <definedName name="CRCP_y2">'[1]AER lookups'!$G$55</definedName>
    <definedName name="CRCP_y3">'[1]AER lookups'!$G$56</definedName>
    <definedName name="CRCP_y4">'[1]AER lookups'!$G$57</definedName>
    <definedName name="CRCP_y5">'[1]AER lookups'!$G$58</definedName>
    <definedName name="CRCP_y6">'[1]AER lookups'!$G$59</definedName>
    <definedName name="CRCP_y7">'[1]AER lookups'!$G$60</definedName>
    <definedName name="CRCP_y8">'[1]AER lookups'!$G$61</definedName>
    <definedName name="CRCP_y9">'[1]AER lookups'!$G$62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060801_StartCell">'[2]6'!$B$13</definedName>
    <definedName name="dms_663_List">'[1]AER lookups'!$N$17:$N$33</definedName>
    <definedName name="dms_ABN">'[1]Business &amp; other details'!$AL$17</definedName>
    <definedName name="dms_ABN_List">'[1]AER lookups'!$D$17:$D$33</definedName>
    <definedName name="dms_Addr1_List">'[1]AER lookups'!$P$17:$P$33</definedName>
    <definedName name="dms_Addr2_List">'[1]AER lookups'!$Q$17:$Q$33</definedName>
    <definedName name="dms_Amendment_Text">'[1]Business &amp; other details'!$AL$70</definedName>
    <definedName name="dms_Cal_Year_B4_CRY">'[1]AER ETL'!$C$29</definedName>
    <definedName name="dms_CBD_flag">'[1]AER lookups'!$Z$17:$Z$33</definedName>
    <definedName name="dms_CFinalYear_List">'[3]AER only'!$E$89:$E$103</definedName>
    <definedName name="dms_Confid_status_List">'[1]AER NRs'!$D$6:$D$8</definedName>
    <definedName name="dms_CRCP_index">'[3]AER only'!$J$89:$J$103</definedName>
    <definedName name="dms_CRCP_start_row">'[1]AER ETL'!$C$40</definedName>
    <definedName name="dms_CRCP_years">'[3]AER only'!$H$89:$H$103</definedName>
    <definedName name="dms_CRCP_yM">'[3]AER only'!$H$102</definedName>
    <definedName name="dms_CRCP_yN">'[3]AER only'!$H$101</definedName>
    <definedName name="dms_CRCP_yO">'[3]AER only'!$H$100</definedName>
    <definedName name="dms_CRCP_yP">'[3]AER only'!$H$99</definedName>
    <definedName name="dms_CRCP_yQ">'[3]AER only'!$H$98</definedName>
    <definedName name="dms_CRCP_yR">'[3]AER only'!$H$97</definedName>
    <definedName name="dms_CRCP_yS">'[3]AER only'!$H$96</definedName>
    <definedName name="dms_CRCP_yT">'[3]AER only'!$H$95</definedName>
    <definedName name="dms_CRCP_yU">'[3]AER only'!$H$94</definedName>
    <definedName name="dms_CRCP_yV">'[3]AER only'!$H$93</definedName>
    <definedName name="dms_CRCP_yW">'[3]AER only'!$H$92</definedName>
    <definedName name="dms_CRCP_yX">'[3]AER only'!$H$91</definedName>
    <definedName name="dms_CRCP_yY">'[3]AER only'!$H$90</definedName>
    <definedName name="dms_CRCP_yZ">'[3]AER only'!$H$89</definedName>
    <definedName name="dms_CRCPlength_List">'[1]AER lookups'!$K$17:$K$33</definedName>
    <definedName name="dms_CRCPlength_Num">'[1]AER ETL'!$C$69</definedName>
    <definedName name="dms_CRCPlength_Num_List">'[3]AER only'!$D$89:$D$103</definedName>
    <definedName name="dms_CRY_ListC">'[3]AER only'!$D$107:$D$126</definedName>
    <definedName name="dms_CRY_ListF">'[3]AER only'!$C$107:$C$126</definedName>
    <definedName name="dms_CRY_RYE">'[1]AER ETL'!$C$53</definedName>
    <definedName name="dms_CRY_start_row">'[1]AER ETL'!$C$38</definedName>
    <definedName name="dms_CRY_start_year">'[1]AER ETL'!$C$37</definedName>
    <definedName name="dms_CRYc_y1">'[3]AER only'!$O$89</definedName>
    <definedName name="dms_CRYc_y10">'[3]AER only'!$O$98</definedName>
    <definedName name="dms_CRYc_y11">'[3]AER only'!$O$99</definedName>
    <definedName name="dms_CRYc_y12">'[3]AER only'!$O$100</definedName>
    <definedName name="dms_CRYc_y13">'[3]AER only'!$O$101</definedName>
    <definedName name="dms_CRYc_y14">'[3]AER only'!$O$102</definedName>
    <definedName name="dms_CRYc_y15">'[3]AER only'!$O$103</definedName>
    <definedName name="dms_CRYc_y16">'[3]AER only'!$O$104</definedName>
    <definedName name="dms_CRYc_y17">'[3]AER only'!$O$105</definedName>
    <definedName name="dms_CRYc_y18">'[3]AER only'!$O$106</definedName>
    <definedName name="dms_CRYc_y19">'[3]AER only'!$O$107</definedName>
    <definedName name="dms_CRYc_y2">'[3]AER only'!$O$90</definedName>
    <definedName name="dms_CRYc_y3">'[3]AER only'!$O$91</definedName>
    <definedName name="dms_CRYc_y4">'[3]AER only'!$O$92</definedName>
    <definedName name="dms_CRYc_y5">'[3]AER only'!$O$93</definedName>
    <definedName name="dms_CRYc_y6">'[3]AER only'!$O$94</definedName>
    <definedName name="dms_CRYc_y7">'[3]AER only'!$O$95</definedName>
    <definedName name="dms_CRYc_y8">'[3]AER only'!$O$96</definedName>
    <definedName name="dms_CRYc_y9">'[3]AER only'!$O$97</definedName>
    <definedName name="dms_CRYf_y1">'[3]AER only'!$M$89</definedName>
    <definedName name="dms_CRYf_y10">'[3]AER only'!$M$98</definedName>
    <definedName name="dms_CRYf_y11">'[3]AER only'!$M$99</definedName>
    <definedName name="dms_CRYf_y12">'[3]AER only'!$M$100</definedName>
    <definedName name="dms_CRYf_y13">'[3]AER only'!$M$101</definedName>
    <definedName name="dms_CRYf_y14">'[3]AER only'!$M$102</definedName>
    <definedName name="dms_CRYf_y15">'[3]AER only'!$M$103</definedName>
    <definedName name="dms_CRYf_y16">'[3]AER only'!$M$104</definedName>
    <definedName name="dms_CRYf_y17">'[3]AER only'!$M$105</definedName>
    <definedName name="dms_CRYf_y18">'[3]AER only'!$M$106</definedName>
    <definedName name="dms_CRYf_y19">'[3]AER only'!$M$107</definedName>
    <definedName name="dms_CRYf_y2">'[3]AER only'!$M$90</definedName>
    <definedName name="dms_CRYf_y3">'[3]AER only'!$M$91</definedName>
    <definedName name="dms_CRYf_y4">'[3]AER only'!$M$92</definedName>
    <definedName name="dms_CRYf_y5">'[3]AER only'!$M$93</definedName>
    <definedName name="dms_CRYf_y6">'[3]AER only'!$M$94</definedName>
    <definedName name="dms_CRYf_y7">'[3]AER only'!$M$95</definedName>
    <definedName name="dms_CRYf_y8">'[3]AER only'!$M$96</definedName>
    <definedName name="dms_CRYf_y9">'[3]AER only'!$M$97</definedName>
    <definedName name="dms_DataQuality_List">'[1]AER NRs'!$C$6:$C$9</definedName>
    <definedName name="dms_DeterminationRef_List">'[1]AER lookups'!$O$17:$O$33</definedName>
    <definedName name="dms_DollarReal_year">'[1]AER ETL'!$C$51</definedName>
    <definedName name="dms_FeederName_1">'[1]AER lookups'!$AE$17:$AE$33</definedName>
    <definedName name="dms_FeederName_2">'[1]AER lookups'!$AF$17:$AF$33</definedName>
    <definedName name="dms_FeederName_3">'[1]AER lookups'!$AG$17:$AG$33</definedName>
    <definedName name="dms_FeederName_4">'[1]AER lookups'!$AH$17:$AH$33</definedName>
    <definedName name="dms_FeederName_5">'[1]AER lookups'!$AI$17:$AI$33</definedName>
    <definedName name="dms_FeederType_5_flag">'[1]AER lookups'!$AD$17:$AD$33</definedName>
    <definedName name="dms_FifthFeeder_flag_NSP">'[1]AER ETL'!$C$125</definedName>
    <definedName name="dms_FinalYear_List">'[3]AER only'!$C$89:$C$103</definedName>
    <definedName name="dms_FormControl_Choices">'[1]AER NRs'!$D$14:$D$16</definedName>
    <definedName name="dms_FormControl_List">'[1]AER lookups'!$H$17:$H$33</definedName>
    <definedName name="dms_FRCP_ListC">'[3]AER only'!$H$107:$H$121</definedName>
    <definedName name="dms_FRCP_ListF">'[3]AER only'!$G$107:$G$121</definedName>
    <definedName name="dms_FRCP_start_row">'[1]AER ETL'!$C$39</definedName>
    <definedName name="dms_FRCP_y10">'[3]AER only'!$F$98</definedName>
    <definedName name="dms_FRCP_y11">'[3]AER only'!$F$99</definedName>
    <definedName name="dms_FRCP_y12">'[3]AER only'!$F$100</definedName>
    <definedName name="dms_FRCP_y13">'[3]AER only'!$F$101</definedName>
    <definedName name="dms_FRCP_y14">'[3]AER only'!$F$102</definedName>
    <definedName name="dms_FRCP_y2">'[3]AER only'!$F$90</definedName>
    <definedName name="dms_FRCP_y3">'[3]AER only'!$F$91</definedName>
    <definedName name="dms_FRCP_y4">'[3]AER only'!$F$92</definedName>
    <definedName name="dms_FRCP_y5">'[3]AER only'!$F$93</definedName>
    <definedName name="dms_FRCP_y6">'[3]AER only'!$F$94</definedName>
    <definedName name="dms_FRCP_y7">'[3]AER only'!$F$95</definedName>
    <definedName name="dms_FRCP_y8">'[3]AER only'!$F$96</definedName>
    <definedName name="dms_FRCP_y9">'[3]AER only'!$F$97</definedName>
    <definedName name="dms_FRCPlength_List">'[1]AER lookups'!$L$17:$L$33</definedName>
    <definedName name="dms_FRCPlength_Num">'[1]AER ETL'!$C$70</definedName>
    <definedName name="dms_FRCPlength_Num_List">'[3]AER only'!$B$89:$B$103</definedName>
    <definedName name="dms_Header_Span">'[1]AER ETL'!$C$60</definedName>
    <definedName name="dms_InputSource">'[1]DMS input'!$C$33</definedName>
    <definedName name="dms_InputTradingName">'[1]DMS input'!$C$14</definedName>
    <definedName name="dms_JurisdictionList">'[1]AER lookups'!$E$17:$E$33</definedName>
    <definedName name="dms_LeapYear_Result">'[1]AER ETL'!$C$98</definedName>
    <definedName name="dms_LongRural_flag">'[1]AER lookups'!$AC$17:$AC$33</definedName>
    <definedName name="dms_Model">'[1]AER ETL'!$C$11</definedName>
    <definedName name="dms_Model_List">'[1]AER lookups'!$B$40:$B$49</definedName>
    <definedName name="dms_Model_Span">'[1]AER ETL'!$C$56</definedName>
    <definedName name="dms_Model_Span_List">'[1]AER lookups'!$E$40:$E$49</definedName>
    <definedName name="dms_MultiYear_Flag">'[1]AER ETL'!$C$63</definedName>
    <definedName name="dms_MultiYear_ResponseFlag">'[1]AER ETL'!$C$62</definedName>
    <definedName name="dms_PAddr1_List">'[1]AER lookups'!$U$17:$U$33</definedName>
    <definedName name="dms_PAddr2_List">'[1]AER lookups'!$V$17:$V$33</definedName>
    <definedName name="dms_PRCP_start_row">'[1]AER ETL'!$C$41</definedName>
    <definedName name="dms_PRCPlength_List">'[1]AER lookups'!$M$17:$M$33</definedName>
    <definedName name="dms_PRCPlength_Num">'[1]AER ETL'!$C$68</definedName>
    <definedName name="dms_Previous_DollarReal_year">'[1]AER ETL'!$C$52</definedName>
    <definedName name="dms_PState_List">'[1]AER lookups'!$X$17:$X$33</definedName>
    <definedName name="dms_PSuburb_List">'[1]AER lookups'!$W$17:$W$33</definedName>
    <definedName name="dms_Public_Lighting_List">'[1]AER lookups'!$AJ$17:$AJ$33</definedName>
    <definedName name="dms_Reset_final_year">'[1]AER ETL'!$C$49</definedName>
    <definedName name="dms_Reset_RYE">'[1]AER ETL'!$C$54</definedName>
    <definedName name="dms_RPT">'[1]AER ETL'!$C$23</definedName>
    <definedName name="dms_RPT_List">'[1]AER lookups'!$I$17:$I$33</definedName>
    <definedName name="dms_RPTMonth">'[1]AER ETL'!$C$30</definedName>
    <definedName name="dms_RPTMonth_List">'[1]AER lookups'!$J$17:$J$33</definedName>
    <definedName name="dms_RYE_Formula_Result">'[3]AER only'!$E$51:$E$58</definedName>
    <definedName name="dms_RYE_result">'[1]AER ETL'!$C$57</definedName>
    <definedName name="dms_RYE_start_row">'[1]AER ETL'!$C$42</definedName>
    <definedName name="dms_Sector_List">'[1]AER lookups'!$F$17:$F$33</definedName>
    <definedName name="dms_Segment">'[1]AER ETL'!$C$21</definedName>
    <definedName name="dms_Segment_List">'[1]AER lookups'!$G$17:$G$33</definedName>
    <definedName name="dms_Selected_Source">'[1]Business &amp; other details'!$AL$64</definedName>
    <definedName name="dms_ShortRural_flag">'[1]AER lookups'!$AB$17:$AB$33</definedName>
    <definedName name="dms_SingleYear_Model">'[1]AER ETL'!$C$72:$C$74</definedName>
    <definedName name="dms_SingleYearModel">'[1]AER ETL'!$C$75</definedName>
    <definedName name="dms_SourceList">'[1]AER NRs'!$C$14:$C$27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lookups'!$S$17:$S$33</definedName>
    <definedName name="dms_Suburb_List">'[1]AER lookups'!$R$17:$R$33</definedName>
    <definedName name="dms_TradingName">'[1]Business &amp; other details'!$AL$16</definedName>
    <definedName name="dms_TradingName_List">'[1]AER lookups'!$B$17:$B$33</definedName>
    <definedName name="dms_TradingNameFull_List">'[1]AER lookups'!$C$17:$C$33</definedName>
    <definedName name="dms_Typed_Submission_Date">'[1]Business &amp; other details'!$AL$74</definedName>
    <definedName name="dms_Urban_flag">'[1]AER lookups'!$AA$17:$AA$33</definedName>
    <definedName name="dms_Worksheet_List">'[1]AER lookups'!$D$40:$D$49</definedName>
    <definedName name="dms_y1">'[1]AER lookups'!$E$73</definedName>
    <definedName name="Drc">'[1]PTRM input'!$G$399</definedName>
    <definedName name="Drpc">'[1]PTRM input'!$G$397</definedName>
    <definedName name="Drpt">'[1]PTRM input'!$G$398</definedName>
    <definedName name="Dv">'[1]PTRM input'!$G$385</definedName>
    <definedName name="ERC_Final_Calc">'[1]Equity raising costs'!$Q$54</definedName>
    <definedName name="ERC_Yr01_Inc">'[1]PTRM input'!$G$110</definedName>
    <definedName name="f">'[1]PTRM input'!$G$377</definedName>
    <definedName name="FRCP_1to5">"2015-16 to 2019-20"</definedName>
    <definedName name="FRCP_final_year">'[1]AER ETL'!$C$46</definedName>
    <definedName name="FRCP_span">CONCATENATE([0]!FRCP_y1, " to ", [0]!FRCP_y5)</definedName>
    <definedName name="FRCP_y1">'[1]Business &amp; other details'!$AL$42</definedName>
    <definedName name="FRCP_y10">'[1]AER lookups'!$I$63</definedName>
    <definedName name="FRCP_y11">'[1]AER lookups'!$I$64</definedName>
    <definedName name="FRCP_y12">'[1]AER lookups'!$I$65</definedName>
    <definedName name="FRCP_y13">'[1]AER lookups'!$I$66</definedName>
    <definedName name="FRCP_y14">'[1]AER lookups'!$I$67</definedName>
    <definedName name="FRCP_y15">'[1]AER lookups'!$I$68</definedName>
    <definedName name="FRCP_y2">'[1]AER lookups'!$I$55</definedName>
    <definedName name="FRCP_y3">'[1]AER lookups'!$I$56</definedName>
    <definedName name="FRCP_y4">'[1]AER lookups'!$I$57</definedName>
    <definedName name="FRCP_y5">'[1]AER lookups'!$I$58</definedName>
    <definedName name="FRCP_y6">'[1]AER lookups'!$I$59</definedName>
    <definedName name="FRCP_y7">'[1]AER lookups'!$I$60</definedName>
    <definedName name="FRCP_y8">'[1]AER lookups'!$I$61</definedName>
    <definedName name="FRCP_y9">'[1]AER lookups'!$I$62</definedName>
    <definedName name="g">'[1]PTRM input'!$G$384</definedName>
    <definedName name="Icpr">'[1]PTRM input'!$G$395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P_0_RevCap">'[1]X factors'!$G$63</definedName>
    <definedName name="P_0_RevYld">'[1]X factors'!$G$83</definedName>
    <definedName name="P_0_WAPC">'[1]X factors'!$G$47</definedName>
    <definedName name="PRCP_final_year">'[1]AER ETL'!$C$48</definedName>
    <definedName name="PRCP_y1">'[1]AER lookups'!$E$54</definedName>
    <definedName name="PRCP_y10">'[1]AER lookups'!$E$63</definedName>
    <definedName name="PRCP_y11">'[1]AER lookups'!$E$64</definedName>
    <definedName name="PRCP_y12">'[1]AER lookups'!$E$65</definedName>
    <definedName name="PRCP_y13">'[1]AER lookups'!$E$66</definedName>
    <definedName name="PRCP_y14">'[1]AER lookups'!$E$67</definedName>
    <definedName name="PRCP_y15">'[1]AER lookups'!$E$68</definedName>
    <definedName name="PRCP_y2">'[1]AER lookups'!$E$55</definedName>
    <definedName name="PRCP_y3">'[1]AER lookups'!$E$56</definedName>
    <definedName name="PRCP_y4">'[1]AER lookups'!$E$57</definedName>
    <definedName name="PRCP_y5">'[1]AER lookups'!$E$58</definedName>
    <definedName name="PRCP_y6">'[1]AER lookups'!$E$59</definedName>
    <definedName name="PRCP_y7">'[1]AER lookups'!$E$60</definedName>
    <definedName name="PRCP_y8">'[1]AER lookups'!$E$61</definedName>
    <definedName name="PRCP_y9">'[1]AER lookups'!$E$62</definedName>
    <definedName name="RAB">'[1]PTRM input'!$J$57</definedName>
    <definedName name="RCP_1to5">"2015-16 to 2019-20"</definedName>
    <definedName name="Reg_Period_Length">'[1]PTRM input'!$R$7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input'!$G$396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Use_Calc_Depn">[3]Depreciation_Profile!$G$8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12" i="3" s="1"/>
  <c r="D7" i="3"/>
  <c r="D12" i="3" s="1"/>
  <c r="E7" i="3"/>
  <c r="E12" i="3" s="1"/>
  <c r="F7" i="3"/>
  <c r="F12" i="3" s="1"/>
  <c r="B7" i="3"/>
  <c r="B12" i="3" l="1"/>
  <c r="B11" i="3"/>
  <c r="B13" i="3"/>
  <c r="D13" i="3"/>
  <c r="F13" i="3"/>
  <c r="F11" i="3"/>
  <c r="B14" i="3"/>
  <c r="E13" i="3"/>
  <c r="E11" i="3"/>
  <c r="D11" i="3"/>
  <c r="C13" i="3"/>
  <c r="C11" i="3"/>
  <c r="F14" i="3"/>
  <c r="E14" i="3"/>
  <c r="D14" i="3"/>
  <c r="C14" i="3"/>
  <c r="J4" i="2"/>
  <c r="I13" i="3" l="1"/>
  <c r="L23" i="2" l="1"/>
  <c r="M23" i="2" l="1"/>
  <c r="N23" i="2" l="1"/>
  <c r="O23" i="2" l="1"/>
  <c r="P23" i="2" l="1"/>
  <c r="AB13" i="3" l="1"/>
  <c r="AA13" i="3"/>
  <c r="Z13" i="3"/>
  <c r="Y13" i="3"/>
  <c r="X13" i="3" l="1"/>
  <c r="J13" i="3" l="1"/>
  <c r="K13" i="3" l="1"/>
  <c r="M13" i="3" l="1"/>
  <c r="L13" i="3"/>
  <c r="B11" i="6" l="1"/>
  <c r="B5" i="6"/>
  <c r="X19" i="3"/>
  <c r="B6" i="6" s="1"/>
  <c r="X20" i="3"/>
  <c r="B15" i="3"/>
  <c r="I19" i="3"/>
  <c r="B4" i="6" s="1"/>
  <c r="I20" i="3"/>
  <c r="B10" i="6" s="1"/>
  <c r="B7" i="6" l="1"/>
  <c r="B16" i="6"/>
  <c r="C7" i="2"/>
  <c r="L24" i="2" s="1"/>
  <c r="B12" i="6"/>
  <c r="B18" i="6" s="1"/>
  <c r="B17" i="6"/>
  <c r="Q13" i="3"/>
  <c r="I21" i="3"/>
  <c r="C5" i="2"/>
  <c r="X21" i="3"/>
  <c r="C4" i="2"/>
  <c r="C8" i="2"/>
  <c r="C9" i="2"/>
  <c r="L26" i="2" s="1"/>
  <c r="B13" i="6" l="1"/>
  <c r="B19" i="6" s="1"/>
  <c r="C10" i="2"/>
  <c r="L21" i="2"/>
  <c r="J5" i="2"/>
  <c r="J6" i="2" s="1"/>
  <c r="J8" i="2" s="1"/>
  <c r="J16" i="2" s="1"/>
  <c r="B20" i="6" l="1"/>
  <c r="J17" i="2"/>
  <c r="K16" i="2"/>
  <c r="C11" i="6"/>
  <c r="C5" i="6"/>
  <c r="J20" i="3"/>
  <c r="C10" i="6" s="1"/>
  <c r="C15" i="3"/>
  <c r="J19" i="3"/>
  <c r="C4" i="6" s="1"/>
  <c r="Y19" i="3"/>
  <c r="C6" i="6" s="1"/>
  <c r="Y20" i="3"/>
  <c r="C16" i="6" l="1"/>
  <c r="C7" i="6"/>
  <c r="D7" i="2"/>
  <c r="M24" i="2" s="1"/>
  <c r="C12" i="6"/>
  <c r="C13" i="6" s="1"/>
  <c r="C17" i="6"/>
  <c r="R13" i="3"/>
  <c r="D4" i="2"/>
  <c r="Y21" i="3"/>
  <c r="J21" i="3"/>
  <c r="D5" i="2"/>
  <c r="D9" i="2"/>
  <c r="M26" i="2" s="1"/>
  <c r="D8" i="2"/>
  <c r="K17" i="2"/>
  <c r="L16" i="2"/>
  <c r="L25" i="2"/>
  <c r="L22" i="2"/>
  <c r="C19" i="6" l="1"/>
  <c r="C18" i="6"/>
  <c r="L27" i="2"/>
  <c r="M25" i="2"/>
  <c r="M22" i="2"/>
  <c r="L17" i="2"/>
  <c r="M16" i="2"/>
  <c r="M21" i="2"/>
  <c r="D10" i="2"/>
  <c r="C20" i="6" l="1"/>
  <c r="M27" i="2"/>
  <c r="M17" i="2"/>
  <c r="N16" i="2"/>
  <c r="N17" i="2" s="1"/>
  <c r="K19" i="3" l="1"/>
  <c r="D4" i="6" s="1"/>
  <c r="D15" i="3"/>
  <c r="K20" i="3"/>
  <c r="D10" i="6" s="1"/>
  <c r="D11" i="6"/>
  <c r="D5" i="6"/>
  <c r="Z20" i="3"/>
  <c r="Z19" i="3"/>
  <c r="D6" i="6" s="1"/>
  <c r="E7" i="2" l="1"/>
  <c r="N24" i="2" s="1"/>
  <c r="D12" i="6"/>
  <c r="D13" i="6" s="1"/>
  <c r="D17" i="6"/>
  <c r="D16" i="6"/>
  <c r="D7" i="6"/>
  <c r="Z21" i="3"/>
  <c r="E4" i="2"/>
  <c r="E9" i="2"/>
  <c r="N26" i="2" s="1"/>
  <c r="E8" i="2"/>
  <c r="N25" i="2" s="1"/>
  <c r="S13" i="3"/>
  <c r="E5" i="2"/>
  <c r="N22" i="2" s="1"/>
  <c r="K21" i="3"/>
  <c r="D19" i="6" l="1"/>
  <c r="D18" i="6"/>
  <c r="N21" i="2"/>
  <c r="E10" i="2"/>
  <c r="D20" i="6" l="1"/>
  <c r="N27" i="2"/>
  <c r="AA20" i="3" l="1"/>
  <c r="AA19" i="3"/>
  <c r="E6" i="6" s="1"/>
  <c r="E11" i="6"/>
  <c r="E5" i="6"/>
  <c r="E15" i="3"/>
  <c r="L19" i="3"/>
  <c r="E4" i="6" s="1"/>
  <c r="L20" i="3"/>
  <c r="E10" i="6" s="1"/>
  <c r="E17" i="6" l="1"/>
  <c r="E16" i="6"/>
  <c r="E7" i="6"/>
  <c r="F7" i="2"/>
  <c r="O24" i="2" s="1"/>
  <c r="E12" i="6"/>
  <c r="E13" i="6" s="1"/>
  <c r="T13" i="3"/>
  <c r="F8" i="2"/>
  <c r="O25" i="2" s="1"/>
  <c r="F9" i="2"/>
  <c r="O26" i="2" s="1"/>
  <c r="AA21" i="3"/>
  <c r="F4" i="2"/>
  <c r="F5" i="2"/>
  <c r="O22" i="2" s="1"/>
  <c r="L21" i="3"/>
  <c r="E18" i="6" l="1"/>
  <c r="E19" i="6"/>
  <c r="O21" i="2"/>
  <c r="F10" i="2"/>
  <c r="E20" i="6" l="1"/>
  <c r="O27" i="2"/>
  <c r="F15" i="3" l="1"/>
  <c r="M20" i="3"/>
  <c r="F10" i="6" s="1"/>
  <c r="M19" i="3"/>
  <c r="F4" i="6" s="1"/>
  <c r="AB20" i="3"/>
  <c r="AB19" i="3"/>
  <c r="F6" i="6" s="1"/>
  <c r="F11" i="6"/>
  <c r="F5" i="6"/>
  <c r="G5" i="6" s="1"/>
  <c r="F16" i="6" l="1"/>
  <c r="G16" i="6" s="1"/>
  <c r="F7" i="6"/>
  <c r="G4" i="6"/>
  <c r="F17" i="6"/>
  <c r="G17" i="6" s="1"/>
  <c r="G11" i="6"/>
  <c r="G6" i="6"/>
  <c r="G7" i="2"/>
  <c r="P24" i="2" s="1"/>
  <c r="F12" i="6"/>
  <c r="G12" i="6" s="1"/>
  <c r="G10" i="6"/>
  <c r="U13" i="3"/>
  <c r="G9" i="2"/>
  <c r="P26" i="2" s="1"/>
  <c r="G8" i="2"/>
  <c r="P25" i="2" s="1"/>
  <c r="AB21" i="3"/>
  <c r="G4" i="2"/>
  <c r="M21" i="3"/>
  <c r="G5" i="2"/>
  <c r="P22" i="2" s="1"/>
  <c r="F13" i="6" l="1"/>
  <c r="G13" i="6" s="1"/>
  <c r="F18" i="6"/>
  <c r="G18" i="6" s="1"/>
  <c r="G7" i="6"/>
  <c r="P21" i="2"/>
  <c r="G10" i="2"/>
  <c r="F19" i="6" l="1"/>
  <c r="F20" i="6" s="1"/>
  <c r="P27" i="2"/>
  <c r="G19" i="6" l="1"/>
</calcChain>
</file>

<file path=xl/sharedStrings.xml><?xml version="1.0" encoding="utf-8"?>
<sst xmlns="http://schemas.openxmlformats.org/spreadsheetml/2006/main" count="216" uniqueCount="81">
  <si>
    <t xml:space="preserve">The purpose of this file is to breakdown the output from the PTRM for the Public Lighting Pricing Model </t>
  </si>
  <si>
    <t xml:space="preserve">Ergon Energy </t>
  </si>
  <si>
    <t>Table 1: Proportions used allocate the opex and capex between Rate 1 (Conventional and LED) and Rate 2A LED</t>
  </si>
  <si>
    <t>2025-30 regulatory period</t>
  </si>
  <si>
    <t>Tariff</t>
  </si>
  <si>
    <t>2025-26</t>
  </si>
  <si>
    <t>2026-27</t>
  </si>
  <si>
    <t>2027-28</t>
  </si>
  <si>
    <t>2028-29</t>
  </si>
  <si>
    <t>2029-30</t>
  </si>
  <si>
    <t>Rate 1</t>
  </si>
  <si>
    <t>Rate 2A</t>
  </si>
  <si>
    <t>Note:</t>
  </si>
  <si>
    <t>Rate 2A proportions % based on forecast volumes in file "EGX&amp;ERG 2025-30 Public Lighting Capex &amp; Opex Forecast Model"</t>
  </si>
  <si>
    <t>Table 1: Forecast inflation</t>
  </si>
  <si>
    <t>CPI</t>
  </si>
  <si>
    <t>Source: Ergon 2025-30 Public Lighting PTRM</t>
  </si>
  <si>
    <t xml:space="preserve">Table 2: Capex use to split revenue (return on) between Conv and LED </t>
  </si>
  <si>
    <t>Table 4: Allocation of depreciation between Conv and LED</t>
  </si>
  <si>
    <t>Table 5: Real opex from PTRM Used to allocate the $ Nominal opex between CONV and LED</t>
  </si>
  <si>
    <t>Revenue ($ Nominal)</t>
  </si>
  <si>
    <t>Value of Asset Base</t>
  </si>
  <si>
    <t>Depreciation</t>
  </si>
  <si>
    <t>Opex ($ Real)</t>
  </si>
  <si>
    <t>Return on</t>
  </si>
  <si>
    <t>Conventional</t>
  </si>
  <si>
    <t>LED</t>
  </si>
  <si>
    <t>Opex</t>
  </si>
  <si>
    <t xml:space="preserve">Total </t>
  </si>
  <si>
    <t>Total</t>
  </si>
  <si>
    <t>Tax</t>
  </si>
  <si>
    <t>Smoothed Revenue</t>
  </si>
  <si>
    <t xml:space="preserve">Table 3: Split of Revenue (Return on) between Conv and LED </t>
  </si>
  <si>
    <t>Table 6: Split of $ nominal opex between CONV and LED</t>
  </si>
  <si>
    <t>Revenue streams are upscaled to align with the smooth revenue from the PTRM</t>
  </si>
  <si>
    <t>Return on ($ Nominal)</t>
  </si>
  <si>
    <t>Opex ($ Nominal)</t>
  </si>
  <si>
    <t>Note: uses the Real opex values in Table 5 to allocate the Nominal opex values in Table 1 between LED and CONV</t>
  </si>
  <si>
    <t>Ergon Energy</t>
  </si>
  <si>
    <t xml:space="preserve">Table 1: Revenue (Return on, return of, opex) by light type </t>
  </si>
  <si>
    <t>Table 2: Unit cost of residual value of legacy CONV infrastructure</t>
  </si>
  <si>
    <t>Light type</t>
  </si>
  <si>
    <t>Revenue</t>
  </si>
  <si>
    <t>2024-25</t>
  </si>
  <si>
    <t>CONV</t>
  </si>
  <si>
    <t>Opex (inc Tax)</t>
  </si>
  <si>
    <t>Volume of Conventional - Rate 1 lights</t>
  </si>
  <si>
    <t>Source:  file "EGX&amp;ERG 2025-30 Public Lighting Capex &amp; Opex Forecast Model"</t>
  </si>
  <si>
    <t>Capital (RoA &amp; Depn) - R1</t>
  </si>
  <si>
    <t>Total capital Rate 1 CONV</t>
  </si>
  <si>
    <t>Capital (RoA &amp; Depn) - R2</t>
  </si>
  <si>
    <t>Derived unit cost</t>
  </si>
  <si>
    <t>Proportion for pole &amp; cabling</t>
  </si>
  <si>
    <t>Unit cos for pole &amp; cabling</t>
  </si>
  <si>
    <t>Capital (RoA &amp; Depn) - R2A</t>
  </si>
  <si>
    <t>Note</t>
  </si>
  <si>
    <t>This area is used to transfer the legacy residual value of legacy conventional lights to the LED asset base once the asset is converted</t>
  </si>
  <si>
    <t xml:space="preserve">Table 3: Estimated residual value from CONV to LED </t>
  </si>
  <si>
    <t>Residual value to LED</t>
  </si>
  <si>
    <t>Number of Rate 1 lights CONV converted to LED</t>
  </si>
  <si>
    <t>Nominal unit cost</t>
  </si>
  <si>
    <t xml:space="preserve">Value of CONV pole &amp; cabling </t>
  </si>
  <si>
    <t>Table 4: Modified revenue for the Public Lighting Model</t>
  </si>
  <si>
    <t>Tariffs</t>
  </si>
  <si>
    <t>Rate 1 &amp; 2</t>
  </si>
  <si>
    <t>Rate 2</t>
  </si>
  <si>
    <t>Rate 1, 2, 2A</t>
  </si>
  <si>
    <t>Return on capital</t>
  </si>
  <si>
    <t>CONV + LED combined</t>
  </si>
  <si>
    <t xml:space="preserve">Grand total </t>
  </si>
  <si>
    <t>Reconciliation</t>
  </si>
  <si>
    <t>Table 1a: Building Blocks: unsmoothed</t>
  </si>
  <si>
    <t>Table 1b: Building Blocks: Adjusted for Smoothing</t>
  </si>
  <si>
    <t>smoothed</t>
  </si>
  <si>
    <t>cell 377 of PTRM input</t>
  </si>
  <si>
    <t>Cells</t>
  </si>
  <si>
    <t>Description of changes</t>
  </si>
  <si>
    <t>CPI' - Row 4</t>
  </si>
  <si>
    <t>updated CPI forecast</t>
  </si>
  <si>
    <t>PTRM output'</t>
  </si>
  <si>
    <t>replaced values with values from draft decision public lighting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</si>
</sst>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&quot;$&quot;* #,##0.0_-;\-&quot;$&quot;* #,##0.0_-;_-&quot;$&quot;* &quot;-&quot;??_-;_-@_-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2" tint="-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2C5697"/>
        <bgColor indexed="64"/>
      </patternFill>
    </fill>
    <fill>
      <patternFill patternType="solid">
        <fgColor rgb="FF00839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3" fillId="0" borderId="0"/>
    <xf numFmtId="0" fontId="5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3" fillId="0" borderId="0" xfId="1" applyFont="1"/>
    <xf numFmtId="165" fontId="2" fillId="0" borderId="0" xfId="1" applyNumberFormat="1"/>
    <xf numFmtId="165" fontId="0" fillId="0" borderId="0" xfId="3" applyFont="1"/>
    <xf numFmtId="0" fontId="4" fillId="0" borderId="0" xfId="1" applyFont="1"/>
    <xf numFmtId="0" fontId="1" fillId="0" borderId="0" xfId="0" applyFont="1"/>
    <xf numFmtId="0" fontId="8" fillId="3" borderId="2" xfId="0" applyFont="1" applyFill="1" applyBorder="1"/>
    <xf numFmtId="0" fontId="9" fillId="4" borderId="3" xfId="0" applyFont="1" applyFill="1" applyBorder="1"/>
    <xf numFmtId="9" fontId="9" fillId="0" borderId="4" xfId="7" applyFont="1" applyFill="1" applyBorder="1" applyAlignment="1"/>
    <xf numFmtId="0" fontId="6" fillId="4" borderId="3" xfId="0" applyFont="1" applyFill="1" applyBorder="1"/>
    <xf numFmtId="166" fontId="9" fillId="0" borderId="4" xfId="6" applyNumberFormat="1" applyFont="1" applyFill="1" applyBorder="1" applyAlignment="1"/>
    <xf numFmtId="167" fontId="9" fillId="0" borderId="4" xfId="6" applyNumberFormat="1" applyFont="1" applyFill="1" applyBorder="1" applyAlignment="1"/>
    <xf numFmtId="164" fontId="9" fillId="0" borderId="4" xfId="6" applyFont="1" applyFill="1" applyBorder="1" applyAlignment="1"/>
    <xf numFmtId="164" fontId="6" fillId="0" borderId="4" xfId="6" applyFont="1" applyFill="1" applyBorder="1" applyAlignment="1"/>
    <xf numFmtId="166" fontId="6" fillId="0" borderId="4" xfId="6" applyNumberFormat="1" applyFont="1" applyFill="1" applyBorder="1" applyAlignment="1"/>
    <xf numFmtId="168" fontId="9" fillId="0" borderId="4" xfId="5" applyNumberFormat="1" applyFont="1" applyFill="1" applyBorder="1" applyAlignment="1"/>
    <xf numFmtId="166" fontId="2" fillId="0" borderId="0" xfId="1" applyNumberFormat="1"/>
    <xf numFmtId="0" fontId="8" fillId="3" borderId="0" xfId="0" applyFont="1" applyFill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164" fontId="1" fillId="0" borderId="1" xfId="0" applyNumberFormat="1" applyFont="1" applyBorder="1"/>
    <xf numFmtId="164" fontId="9" fillId="6" borderId="4" xfId="6" applyFont="1" applyFill="1" applyBorder="1" applyAlignment="1"/>
    <xf numFmtId="0" fontId="0" fillId="6" borderId="0" xfId="0" applyFill="1"/>
    <xf numFmtId="164" fontId="0" fillId="6" borderId="0" xfId="6" applyFont="1" applyFill="1"/>
    <xf numFmtId="10" fontId="9" fillId="6" borderId="4" xfId="7" applyNumberFormat="1" applyFont="1" applyFill="1" applyBorder="1" applyAlignment="1"/>
    <xf numFmtId="10" fontId="10" fillId="0" borderId="0" xfId="7" applyNumberFormat="1" applyFont="1" applyFill="1" applyBorder="1"/>
    <xf numFmtId="0" fontId="1" fillId="0" borderId="1" xfId="0" applyFont="1" applyBorder="1"/>
    <xf numFmtId="0" fontId="0" fillId="0" borderId="0" xfId="0" quotePrefix="1"/>
    <xf numFmtId="0" fontId="7" fillId="2" borderId="1" xfId="0" applyFont="1" applyFill="1" applyBorder="1" applyAlignment="1">
      <alignment horizontal="center"/>
    </xf>
  </cellXfs>
  <cellStyles count="24">
    <cellStyle name="Comma" xfId="5" builtinId="3"/>
    <cellStyle name="Comma 2" xfId="3" xr:uid="{7F91045E-5EA6-4676-ABFE-A7984B372EF2}"/>
    <cellStyle name="Comma 2 2" xfId="10" xr:uid="{B74084FD-AD9F-441B-809B-009DB0324582}"/>
    <cellStyle name="Currency" xfId="6" builtinId="4"/>
    <cellStyle name="Currency 2" xfId="2" xr:uid="{A8289BC4-EA1D-48F7-82BE-67D74FFE8748}"/>
    <cellStyle name="Currency 2 2" xfId="11" xr:uid="{01BF30E3-B002-4B52-B186-9F692610D6D6}"/>
    <cellStyle name="Hyperlink 2" xfId="19" xr:uid="{4BBF33D5-AD3C-4E9D-ADB6-AF06CD7C4831}"/>
    <cellStyle name="Hyperlink 3" xfId="14" xr:uid="{078EAA90-E780-4EB5-ACB0-8936C3B28571}"/>
    <cellStyle name="Normal" xfId="0" builtinId="0"/>
    <cellStyle name="Normal 2" xfId="1" xr:uid="{8567775A-1871-4531-8D93-368F04675F1A}"/>
    <cellStyle name="Normal 2 2" xfId="23" xr:uid="{FBF6A8B6-3D07-4A49-A3BB-CC8FC7DE9E42}"/>
    <cellStyle name="Normal 2 3" xfId="15" xr:uid="{8BCCF65C-B9FE-49A4-A467-2673B0DA4457}"/>
    <cellStyle name="Normal 3" xfId="16" xr:uid="{CD84321E-D096-4DE2-9664-AD44D0BB523A}"/>
    <cellStyle name="Normal 3 2" xfId="17" xr:uid="{A79D7978-072F-4E90-87A4-06C4278697C4}"/>
    <cellStyle name="Normal 3 3" xfId="20" xr:uid="{1718087B-2D41-4D50-A179-63042048CF02}"/>
    <cellStyle name="Normal 4" xfId="13" xr:uid="{A10CD870-6177-410A-9C67-20B44F3AEF72}"/>
    <cellStyle name="Normal 5" xfId="9" xr:uid="{2472B978-F5F1-43E0-BC2E-FABBCDD8FB4D}"/>
    <cellStyle name="Normal 6" xfId="8" xr:uid="{8E287753-4B67-4ED0-BF4F-D13B50772997}"/>
    <cellStyle name="Normal 7" xfId="21" xr:uid="{CB3B1058-C8EF-4BC4-9931-BE1B3A2D8190}"/>
    <cellStyle name="Normal 8" xfId="22" xr:uid="{520B4EA7-B67B-4B83-AEAE-1F14147047BA}"/>
    <cellStyle name="Note 2" xfId="18" xr:uid="{B94D0C94-1303-436B-87CE-4C51986B95A7}"/>
    <cellStyle name="Percent" xfId="7" builtinId="5"/>
    <cellStyle name="Percent 2" xfId="4" xr:uid="{13CDA487-2741-41E4-AB80-D12A36E7938A}"/>
    <cellStyle name="Percent 3" xfId="12" xr:uid="{22F0C176-AEA0-4DCC-A7D4-BB28F45B9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qonline.sharepoint.com/sites/AER2025PublicLighting/Shared%20Documents/Models/9%20-%20Public%20lighting%20Models%20Final%20-%201%20Nov%202023/AER%20-%20Ergon%202025-30%20Public%20Lighting%20PTR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2020%20Project\Modelling\Regulatory%20Proposal\Energex\Submitted%20Files\EGX%208.003%20PTRM%20-%20SCS%20JAN19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qonline.sharepoint.com/sites/AER2025PublicLighting/Shared%20Documents/Models/9%20-%20Public%20lighting%20Models%20Final%20-%201%20Nov%202023/EGX&amp;ERG%202025-30%20Public%20lighting%20Capex%20&amp;%20Opex%20Forecas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- Ergon 2025-30 Public Ligh"/>
    </sheetNames>
    <sheetDataSet>
      <sheetData sheetId="0" refreshError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 refreshError="1"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Q17"/>
          <cell r="R17" t="str">
            <v>SYDNEY</v>
          </cell>
          <cell r="S17" t="str">
            <v>NSW</v>
          </cell>
          <cell r="U17" t="str">
            <v>GPO Box 4009</v>
          </cell>
          <cell r="V17"/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V18"/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I18"/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Q19"/>
          <cell r="R19" t="str">
            <v>SYDNEY</v>
          </cell>
          <cell r="S19" t="str">
            <v>NSW</v>
          </cell>
          <cell r="U19" t="str">
            <v>PO Box 123</v>
          </cell>
          <cell r="V19"/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I19"/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Q20"/>
          <cell r="R20" t="str">
            <v>MELBOURNE</v>
          </cell>
          <cell r="S20" t="str">
            <v>Vic</v>
          </cell>
          <cell r="U20" t="str">
            <v>PO Box 123</v>
          </cell>
          <cell r="V20"/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I20"/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Q21"/>
          <cell r="R21" t="str">
            <v>MELBOURNE</v>
          </cell>
          <cell r="S21" t="str">
            <v>Vic</v>
          </cell>
          <cell r="U21" t="str">
            <v>Locked Bag 14090</v>
          </cell>
          <cell r="V21"/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I21"/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Q22"/>
          <cell r="R22" t="str">
            <v>HUNTINGWOOD</v>
          </cell>
          <cell r="S22" t="str">
            <v>NSW</v>
          </cell>
          <cell r="U22" t="str">
            <v>PO Box 811</v>
          </cell>
          <cell r="V22"/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I22"/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Q23"/>
          <cell r="R23" t="str">
            <v>NEWSTEAD</v>
          </cell>
          <cell r="S23" t="str">
            <v>Qld</v>
          </cell>
          <cell r="U23" t="str">
            <v>26 Reddacliff Street</v>
          </cell>
          <cell r="V23"/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I23"/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Q24"/>
          <cell r="R24" t="str">
            <v>TOWNSVILLE</v>
          </cell>
          <cell r="S24" t="str">
            <v>Qld</v>
          </cell>
          <cell r="U24" t="str">
            <v>Po Box 264</v>
          </cell>
          <cell r="V24"/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I24"/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Q25"/>
          <cell r="R25" t="str">
            <v>PORT MACQUARIE</v>
          </cell>
          <cell r="S25" t="str">
            <v>NSW</v>
          </cell>
          <cell r="U25" t="str">
            <v>PO Box 5730</v>
          </cell>
          <cell r="V25"/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I25"/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Q26"/>
          <cell r="R26" t="str">
            <v>CANBERRA</v>
          </cell>
          <cell r="S26" t="str">
            <v>ACT</v>
          </cell>
          <cell r="U26" t="str">
            <v>GPO BOX 366</v>
          </cell>
          <cell r="V26"/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I26"/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Q27"/>
          <cell r="R27" t="str">
            <v>CANBERRA</v>
          </cell>
          <cell r="S27" t="str">
            <v>ACT</v>
          </cell>
          <cell r="U27" t="str">
            <v>GPO BOX 366</v>
          </cell>
          <cell r="V27"/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I27"/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V28"/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I28"/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Q29"/>
          <cell r="R29" t="str">
            <v>DARWIN</v>
          </cell>
          <cell r="S29" t="str">
            <v>NT</v>
          </cell>
          <cell r="U29" t="str">
            <v>GPO Box 1921</v>
          </cell>
          <cell r="V29"/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I29"/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Q30"/>
          <cell r="R30" t="str">
            <v>MELBOURNE</v>
          </cell>
          <cell r="S30" t="str">
            <v>Vic</v>
          </cell>
          <cell r="U30" t="str">
            <v>Locked bag 14090</v>
          </cell>
          <cell r="V30"/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I30"/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Q31"/>
          <cell r="R31" t="str">
            <v>KESWICK</v>
          </cell>
          <cell r="S31" t="str">
            <v>SA</v>
          </cell>
          <cell r="U31" t="str">
            <v>GPO Box 77</v>
          </cell>
          <cell r="V31"/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I31"/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Q32"/>
          <cell r="R32" t="str">
            <v>LENAH VALLEY</v>
          </cell>
          <cell r="S32" t="str">
            <v>Tas</v>
          </cell>
          <cell r="U32" t="str">
            <v>PO Box 606</v>
          </cell>
          <cell r="V32"/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Q33"/>
          <cell r="R33" t="str">
            <v>MOUNT WAVERLEY</v>
          </cell>
          <cell r="S33" t="str">
            <v>Vic</v>
          </cell>
          <cell r="U33" t="str">
            <v>PO Box 449</v>
          </cell>
          <cell r="V33"/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I33"/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str">
            <v>2011-12</v>
          </cell>
          <cell r="G54" t="str">
            <v>2016-17</v>
          </cell>
        </row>
        <row r="55">
          <cell r="E55" t="str">
            <v>2012-13</v>
          </cell>
          <cell r="G55" t="str">
            <v>2017-18</v>
          </cell>
          <cell r="I55" t="str">
            <v>2022-23</v>
          </cell>
        </row>
        <row r="56">
          <cell r="E56" t="str">
            <v>2013-14</v>
          </cell>
          <cell r="G56" t="str">
            <v>2018-19</v>
          </cell>
          <cell r="I56" t="str">
            <v>2023-24</v>
          </cell>
        </row>
        <row r="57">
          <cell r="E57" t="str">
            <v>2014-15</v>
          </cell>
          <cell r="G57" t="str">
            <v>2019-20</v>
          </cell>
          <cell r="I57" t="str">
            <v>2024-25</v>
          </cell>
        </row>
        <row r="58">
          <cell r="E58" t="str">
            <v>2015-16</v>
          </cell>
          <cell r="G58" t="str">
            <v>2020-21</v>
          </cell>
          <cell r="I58" t="str">
            <v>2025-26</v>
          </cell>
        </row>
        <row r="59">
          <cell r="E59" t="str">
            <v>2016-17</v>
          </cell>
          <cell r="G59" t="str">
            <v>2021-22</v>
          </cell>
          <cell r="I59" t="str">
            <v>2026-27</v>
          </cell>
        </row>
        <row r="60">
          <cell r="E60" t="str">
            <v>2017-18</v>
          </cell>
          <cell r="G60" t="str">
            <v>2022-23</v>
          </cell>
          <cell r="I60" t="str">
            <v>2027-28</v>
          </cell>
        </row>
        <row r="61">
          <cell r="E61" t="str">
            <v>2018-19</v>
          </cell>
          <cell r="G61" t="str">
            <v>2023-24</v>
          </cell>
          <cell r="I61" t="str">
            <v>2028-29</v>
          </cell>
        </row>
        <row r="62">
          <cell r="E62" t="str">
            <v>2019-20</v>
          </cell>
          <cell r="G62" t="str">
            <v>2024-25</v>
          </cell>
          <cell r="I62" t="str">
            <v>2029-30</v>
          </cell>
        </row>
        <row r="63">
          <cell r="E63" t="str">
            <v>2020-21</v>
          </cell>
          <cell r="G63" t="str">
            <v>2025-26</v>
          </cell>
          <cell r="I63" t="str">
            <v>2030-31</v>
          </cell>
        </row>
        <row r="64">
          <cell r="E64" t="str">
            <v>2021-22</v>
          </cell>
          <cell r="G64" t="str">
            <v>2026-27</v>
          </cell>
          <cell r="I64" t="str">
            <v>2031-32</v>
          </cell>
        </row>
        <row r="65">
          <cell r="E65" t="str">
            <v>2022-23</v>
          </cell>
          <cell r="G65" t="str">
            <v>2027-28</v>
          </cell>
          <cell r="I65" t="str">
            <v>2032-33</v>
          </cell>
        </row>
        <row r="66">
          <cell r="E66" t="str">
            <v>2023-24</v>
          </cell>
          <cell r="G66" t="str">
            <v>2028-29</v>
          </cell>
          <cell r="I66" t="str">
            <v>2033-34</v>
          </cell>
        </row>
        <row r="67">
          <cell r="E67" t="str">
            <v>2024-25</v>
          </cell>
          <cell r="G67" t="str">
            <v>2029-30</v>
          </cell>
          <cell r="I67" t="str">
            <v>2034-35</v>
          </cell>
        </row>
        <row r="68">
          <cell r="E68" t="str">
            <v>2025-26</v>
          </cell>
          <cell r="G68" t="str">
            <v>2030-31</v>
          </cell>
          <cell r="I68" t="str">
            <v>2035-36</v>
          </cell>
        </row>
        <row r="73">
          <cell r="E73" t="str">
            <v>2019-20</v>
          </cell>
        </row>
      </sheetData>
      <sheetData sheetId="2" refreshError="1">
        <row r="11">
          <cell r="C11" t="str">
            <v>PTRM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 t="str">
            <v>2021-22</v>
          </cell>
        </row>
        <row r="37">
          <cell r="C37" t="str">
            <v>2019-20</v>
          </cell>
        </row>
        <row r="38">
          <cell r="C38">
            <v>33</v>
          </cell>
        </row>
        <row r="39">
          <cell r="C39">
            <v>35</v>
          </cell>
        </row>
        <row r="40">
          <cell r="C40">
            <v>30</v>
          </cell>
        </row>
        <row r="41">
          <cell r="C41">
            <v>25</v>
          </cell>
        </row>
        <row r="42">
          <cell r="C42">
            <v>39</v>
          </cell>
        </row>
        <row r="46">
          <cell r="C46" t="str">
            <v>2025-26</v>
          </cell>
        </row>
        <row r="47">
          <cell r="C47" t="str">
            <v>2020-21</v>
          </cell>
        </row>
        <row r="48">
          <cell r="C48" t="str">
            <v>2015-16</v>
          </cell>
        </row>
        <row r="49">
          <cell r="C49" t="str">
            <v>2025-26</v>
          </cell>
        </row>
        <row r="51">
          <cell r="C51" t="str">
            <v>2021</v>
          </cell>
        </row>
        <row r="52">
          <cell r="C52" t="str">
            <v>2016</v>
          </cell>
        </row>
        <row r="53">
          <cell r="C53">
            <v>0</v>
          </cell>
        </row>
        <row r="54">
          <cell r="C54" t="str">
            <v>2026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2026</v>
          </cell>
        </row>
        <row r="59">
          <cell r="C59">
            <v>0</v>
          </cell>
        </row>
        <row r="60">
          <cell r="C60" t="str">
            <v>2019-20 - 2025-26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1-Jul-2014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 refreshError="1">
        <row r="16">
          <cell r="AL16" t="str">
            <v>Ergon Energy</v>
          </cell>
        </row>
        <row r="17">
          <cell r="AL17">
            <v>50087646062</v>
          </cell>
        </row>
        <row r="42">
          <cell r="AL42" t="str">
            <v>2021-22</v>
          </cell>
        </row>
        <row r="64">
          <cell r="AL64" t="str">
            <v>Regulatory proposal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 refreshError="1"/>
      <sheetData sheetId="5" refreshError="1">
        <row r="14">
          <cell r="C14" t="str">
            <v>Ergon Energy</v>
          </cell>
        </row>
        <row r="33">
          <cell r="C33" t="str">
            <v>Regulatory proposal</v>
          </cell>
        </row>
      </sheetData>
      <sheetData sheetId="6" refreshError="1">
        <row r="7">
          <cell r="G7" t="str">
            <v>Public Lighting - CONV (Low)</v>
          </cell>
          <cell r="J7"/>
          <cell r="L7"/>
          <cell r="M7"/>
          <cell r="N7"/>
          <cell r="O7"/>
          <cell r="P7"/>
          <cell r="R7">
            <v>5</v>
          </cell>
        </row>
        <row r="8">
          <cell r="G8" t="str">
            <v>Public Lighting - LED (Low)</v>
          </cell>
          <cell r="J8"/>
          <cell r="L8"/>
          <cell r="M8"/>
          <cell r="N8"/>
          <cell r="O8"/>
          <cell r="P8"/>
        </row>
        <row r="9">
          <cell r="G9"/>
          <cell r="J9"/>
          <cell r="L9"/>
          <cell r="M9"/>
          <cell r="N9"/>
          <cell r="O9"/>
          <cell r="P9"/>
        </row>
        <row r="10">
          <cell r="G10" t="str">
            <v>Public Lighting - CONV (High)</v>
          </cell>
          <cell r="J10">
            <v>94.92</v>
          </cell>
          <cell r="L10">
            <v>10.935971746137975</v>
          </cell>
          <cell r="M10">
            <v>20</v>
          </cell>
          <cell r="N10">
            <v>93.633233623089723</v>
          </cell>
          <cell r="O10">
            <v>8.1151043909229319</v>
          </cell>
          <cell r="P10">
            <v>15</v>
          </cell>
        </row>
        <row r="11">
          <cell r="G11" t="str">
            <v>Public Lighting - LED (High)</v>
          </cell>
          <cell r="J11">
            <v>23.14</v>
          </cell>
          <cell r="L11">
            <v>13.391125413464311</v>
          </cell>
          <cell r="M11">
            <v>20</v>
          </cell>
          <cell r="N11">
            <v>26.864035268811815</v>
          </cell>
          <cell r="O11">
            <v>13.402046122443155</v>
          </cell>
          <cell r="P11">
            <v>15</v>
          </cell>
        </row>
        <row r="12">
          <cell r="G12"/>
          <cell r="J12"/>
          <cell r="L12"/>
          <cell r="M12"/>
          <cell r="N12"/>
          <cell r="O12"/>
          <cell r="P12"/>
        </row>
        <row r="13">
          <cell r="G13"/>
          <cell r="J13"/>
          <cell r="L13"/>
          <cell r="M13"/>
          <cell r="N13"/>
          <cell r="O13"/>
          <cell r="P13"/>
        </row>
        <row r="14">
          <cell r="G14"/>
          <cell r="J14"/>
          <cell r="L14"/>
          <cell r="M14"/>
          <cell r="N14"/>
          <cell r="O14"/>
          <cell r="P14"/>
        </row>
        <row r="15">
          <cell r="G15"/>
          <cell r="J15"/>
          <cell r="L15"/>
          <cell r="M15"/>
          <cell r="N15"/>
          <cell r="O15"/>
          <cell r="P15"/>
        </row>
        <row r="16">
          <cell r="G16"/>
          <cell r="J16"/>
          <cell r="L16"/>
          <cell r="M16"/>
          <cell r="N16"/>
          <cell r="O16"/>
          <cell r="P16"/>
        </row>
        <row r="17">
          <cell r="G17"/>
          <cell r="J17"/>
          <cell r="L17"/>
          <cell r="M17"/>
          <cell r="N17"/>
          <cell r="O17"/>
          <cell r="P17"/>
        </row>
        <row r="18">
          <cell r="G18"/>
          <cell r="J18"/>
          <cell r="L18"/>
          <cell r="M18"/>
          <cell r="N18"/>
          <cell r="O18"/>
          <cell r="P18"/>
        </row>
        <row r="19">
          <cell r="G19"/>
          <cell r="J19"/>
          <cell r="L19"/>
          <cell r="M19"/>
          <cell r="N19"/>
          <cell r="O19"/>
          <cell r="P19"/>
        </row>
        <row r="20">
          <cell r="G20"/>
          <cell r="J20"/>
          <cell r="L20"/>
          <cell r="M20"/>
          <cell r="N20"/>
          <cell r="O20"/>
          <cell r="P20"/>
        </row>
        <row r="21">
          <cell r="G21"/>
          <cell r="J21"/>
          <cell r="L21"/>
          <cell r="M21"/>
          <cell r="N21"/>
          <cell r="O21"/>
          <cell r="P21"/>
        </row>
        <row r="22">
          <cell r="G22"/>
          <cell r="J22"/>
          <cell r="L22"/>
          <cell r="M22"/>
          <cell r="N22"/>
          <cell r="O22"/>
          <cell r="P22"/>
        </row>
        <row r="23">
          <cell r="G23"/>
          <cell r="J23"/>
          <cell r="L23"/>
          <cell r="M23"/>
          <cell r="N23"/>
          <cell r="O23"/>
          <cell r="P23"/>
        </row>
        <row r="24">
          <cell r="G24"/>
          <cell r="J24"/>
          <cell r="L24"/>
          <cell r="M24"/>
          <cell r="N24"/>
          <cell r="O24"/>
          <cell r="P24"/>
        </row>
        <row r="25">
          <cell r="G25"/>
          <cell r="J25"/>
          <cell r="L25"/>
          <cell r="M25"/>
          <cell r="N25"/>
          <cell r="O25"/>
          <cell r="P25"/>
        </row>
        <row r="26">
          <cell r="G26"/>
          <cell r="J26"/>
          <cell r="L26"/>
          <cell r="M26"/>
          <cell r="N26"/>
          <cell r="O26"/>
          <cell r="P26"/>
        </row>
        <row r="27">
          <cell r="G27"/>
          <cell r="J27"/>
          <cell r="L27"/>
          <cell r="M27"/>
          <cell r="N27"/>
          <cell r="O27"/>
          <cell r="P27"/>
        </row>
        <row r="28">
          <cell r="G28"/>
          <cell r="J28"/>
          <cell r="L28"/>
          <cell r="M28"/>
          <cell r="N28"/>
          <cell r="O28"/>
          <cell r="P28"/>
        </row>
        <row r="29">
          <cell r="G29"/>
          <cell r="J29"/>
          <cell r="L29"/>
          <cell r="M29"/>
          <cell r="N29"/>
          <cell r="O29"/>
          <cell r="P29"/>
        </row>
        <row r="30">
          <cell r="G30"/>
          <cell r="J30"/>
          <cell r="L30"/>
          <cell r="M30"/>
          <cell r="N30"/>
          <cell r="O30"/>
          <cell r="P30"/>
        </row>
        <row r="31">
          <cell r="G31"/>
          <cell r="J31"/>
          <cell r="L31"/>
          <cell r="M31"/>
          <cell r="N31"/>
          <cell r="O31"/>
          <cell r="P31"/>
        </row>
        <row r="32">
          <cell r="G32"/>
          <cell r="J32"/>
          <cell r="L32"/>
          <cell r="M32"/>
          <cell r="N32"/>
          <cell r="O32"/>
          <cell r="P32"/>
        </row>
        <row r="33">
          <cell r="G33"/>
          <cell r="J33"/>
          <cell r="L33"/>
          <cell r="M33"/>
          <cell r="N33"/>
          <cell r="O33"/>
          <cell r="P33"/>
        </row>
        <row r="34">
          <cell r="G34"/>
          <cell r="J34"/>
          <cell r="L34"/>
          <cell r="M34"/>
          <cell r="N34"/>
          <cell r="O34"/>
          <cell r="P34"/>
        </row>
        <row r="35">
          <cell r="G35"/>
          <cell r="J35"/>
          <cell r="L35"/>
          <cell r="M35"/>
          <cell r="N35"/>
          <cell r="O35"/>
          <cell r="P35"/>
        </row>
        <row r="36">
          <cell r="G36"/>
          <cell r="J36"/>
          <cell r="L36"/>
          <cell r="M36"/>
          <cell r="N36"/>
          <cell r="O36"/>
          <cell r="P36"/>
        </row>
        <row r="37">
          <cell r="G37"/>
          <cell r="J37"/>
          <cell r="L37"/>
          <cell r="M37"/>
          <cell r="N37"/>
          <cell r="O37"/>
          <cell r="P37"/>
        </row>
        <row r="38">
          <cell r="G38"/>
          <cell r="J38"/>
          <cell r="L38"/>
          <cell r="M38"/>
          <cell r="N38"/>
          <cell r="O38"/>
          <cell r="P38"/>
        </row>
        <row r="39">
          <cell r="G39"/>
          <cell r="J39"/>
          <cell r="L39"/>
          <cell r="M39"/>
          <cell r="N39"/>
          <cell r="O39"/>
          <cell r="P39"/>
        </row>
        <row r="40">
          <cell r="G40"/>
          <cell r="J40"/>
          <cell r="L40"/>
          <cell r="M40"/>
          <cell r="N40"/>
          <cell r="O40"/>
          <cell r="P40"/>
        </row>
        <row r="41">
          <cell r="G41"/>
          <cell r="J41"/>
          <cell r="L41"/>
          <cell r="M41"/>
          <cell r="N41"/>
          <cell r="O41"/>
          <cell r="P41"/>
        </row>
        <row r="42">
          <cell r="G42"/>
          <cell r="J42"/>
          <cell r="L42"/>
          <cell r="M42"/>
          <cell r="N42"/>
          <cell r="O42"/>
          <cell r="P42"/>
        </row>
        <row r="43">
          <cell r="G43"/>
          <cell r="J43"/>
          <cell r="L43"/>
          <cell r="M43"/>
          <cell r="N43"/>
          <cell r="O43"/>
          <cell r="P43"/>
        </row>
        <row r="44">
          <cell r="G44"/>
          <cell r="J44"/>
          <cell r="L44"/>
          <cell r="M44"/>
          <cell r="N44"/>
          <cell r="O44"/>
          <cell r="P44"/>
        </row>
        <row r="45">
          <cell r="G45"/>
          <cell r="J45"/>
          <cell r="L45"/>
          <cell r="M45"/>
          <cell r="N45"/>
          <cell r="O45"/>
          <cell r="P45"/>
        </row>
        <row r="46">
          <cell r="G46"/>
          <cell r="J46"/>
          <cell r="L46"/>
          <cell r="M46"/>
          <cell r="N46"/>
          <cell r="O46"/>
          <cell r="P46"/>
        </row>
        <row r="47">
          <cell r="G47"/>
          <cell r="J47"/>
          <cell r="L47"/>
          <cell r="M47"/>
          <cell r="N47"/>
          <cell r="O47"/>
          <cell r="P47"/>
        </row>
        <row r="48">
          <cell r="G48"/>
          <cell r="J48"/>
          <cell r="L48"/>
          <cell r="M48"/>
          <cell r="N48"/>
          <cell r="O48"/>
          <cell r="P48"/>
        </row>
        <row r="49">
          <cell r="G49"/>
          <cell r="J49"/>
          <cell r="L49"/>
          <cell r="M49"/>
          <cell r="N49"/>
          <cell r="O49"/>
          <cell r="P49"/>
        </row>
        <row r="50">
          <cell r="G50"/>
          <cell r="J50"/>
          <cell r="L50"/>
          <cell r="M50"/>
          <cell r="N50"/>
          <cell r="O50"/>
          <cell r="P50"/>
        </row>
        <row r="51">
          <cell r="G51"/>
          <cell r="J51"/>
          <cell r="L51"/>
          <cell r="M51"/>
          <cell r="N51"/>
          <cell r="O51"/>
          <cell r="P51"/>
        </row>
        <row r="52">
          <cell r="G52"/>
          <cell r="J52"/>
          <cell r="L52"/>
          <cell r="M52"/>
          <cell r="N52"/>
          <cell r="O52"/>
          <cell r="P52"/>
        </row>
        <row r="53">
          <cell r="G53"/>
          <cell r="J53"/>
          <cell r="L53"/>
          <cell r="M53"/>
          <cell r="N53"/>
          <cell r="O53"/>
          <cell r="P53"/>
        </row>
        <row r="54">
          <cell r="G54"/>
          <cell r="J54"/>
          <cell r="L54"/>
          <cell r="M54"/>
          <cell r="N54"/>
          <cell r="O54"/>
          <cell r="P54"/>
        </row>
        <row r="55">
          <cell r="G55"/>
          <cell r="J55"/>
          <cell r="L55"/>
          <cell r="M55"/>
          <cell r="N55"/>
          <cell r="O55"/>
          <cell r="P55"/>
        </row>
        <row r="56">
          <cell r="G56" t="str">
            <v>Equity raising costs</v>
          </cell>
          <cell r="J56"/>
          <cell r="L56"/>
          <cell r="M56"/>
          <cell r="N56"/>
          <cell r="O56"/>
          <cell r="P56"/>
        </row>
        <row r="57">
          <cell r="J57">
            <v>118.06</v>
          </cell>
        </row>
        <row r="110">
          <cell r="G110">
            <v>0</v>
          </cell>
        </row>
        <row r="377">
          <cell r="G377">
            <v>2.8000000000000001E-2</v>
          </cell>
        </row>
        <row r="384">
          <cell r="G384">
            <v>0.56999999999999995</v>
          </cell>
        </row>
        <row r="385">
          <cell r="G385">
            <v>0.6</v>
          </cell>
        </row>
        <row r="395">
          <cell r="G395">
            <v>0.83</v>
          </cell>
        </row>
        <row r="396">
          <cell r="G396">
            <v>0.03</v>
          </cell>
        </row>
        <row r="397">
          <cell r="G397">
            <v>0.01</v>
          </cell>
        </row>
        <row r="398">
          <cell r="G398">
            <v>0.3</v>
          </cell>
        </row>
        <row r="399">
          <cell r="G399">
            <v>5.6890167454754588E-4</v>
          </cell>
        </row>
      </sheetData>
      <sheetData sheetId="7" refreshError="1">
        <row r="6">
          <cell r="G6">
            <v>2.8000000000000001E-2</v>
          </cell>
        </row>
        <row r="18">
          <cell r="G18">
            <v>6.0420005878369147E-2</v>
          </cell>
          <cell r="H18">
            <v>6.0897342057685294E-2</v>
          </cell>
          <cell r="I18">
            <v>6.1625467609823806E-2</v>
          </cell>
          <cell r="J18">
            <v>6.2712552994105969E-2</v>
          </cell>
          <cell r="K18">
            <v>6.3822939047335048E-2</v>
          </cell>
          <cell r="L18">
            <v>6.3822939047335048E-2</v>
          </cell>
          <cell r="M18">
            <v>6.3822939047335048E-2</v>
          </cell>
          <cell r="N18">
            <v>6.3822939047335048E-2</v>
          </cell>
          <cell r="O18">
            <v>6.3822939047335048E-2</v>
          </cell>
          <cell r="P18">
            <v>6.3822939047335048E-2</v>
          </cell>
        </row>
        <row r="19">
          <cell r="G19">
            <v>3.1536970698802638E-2</v>
          </cell>
          <cell r="H19">
            <v>3.2001305503584911E-2</v>
          </cell>
          <cell r="I19">
            <v>3.2709598842241054E-2</v>
          </cell>
          <cell r="J19">
            <v>3.3767074896990136E-2</v>
          </cell>
          <cell r="K19">
            <v>3.484721697211568E-2</v>
          </cell>
          <cell r="L19">
            <v>3.484721697211568E-2</v>
          </cell>
          <cell r="M19">
            <v>3.484721697211568E-2</v>
          </cell>
          <cell r="N19">
            <v>3.484721697211568E-2</v>
          </cell>
          <cell r="O19">
            <v>3.484721697211568E-2</v>
          </cell>
          <cell r="P19">
            <v>3.484721697211568E-2</v>
          </cell>
        </row>
      </sheetData>
      <sheetData sheetId="8" refreshError="1"/>
      <sheetData sheetId="9" refreshError="1"/>
      <sheetData sheetId="10" refreshError="1"/>
      <sheetData sheetId="11" refreshError="1">
        <row r="30">
          <cell r="G30">
            <v>7.1331858940002615</v>
          </cell>
        </row>
        <row r="47">
          <cell r="G47">
            <v>-1.4867946165324358E-2</v>
          </cell>
          <cell r="H47">
            <v>5.3213829243860582E-2</v>
          </cell>
          <cell r="I47">
            <v>5.3213829243860582E-2</v>
          </cell>
          <cell r="J47">
            <v>5.3213829243860582E-2</v>
          </cell>
          <cell r="K47">
            <v>5.3213829243860582E-2</v>
          </cell>
          <cell r="L47">
            <v>5.3213829243860582E-2</v>
          </cell>
          <cell r="M47">
            <v>5.3213829243860582E-2</v>
          </cell>
          <cell r="N47">
            <v>5.3213829243860582E-2</v>
          </cell>
          <cell r="O47">
            <v>5.3213829243860582E-2</v>
          </cell>
          <cell r="P47">
            <v>5.3213829243860582E-2</v>
          </cell>
        </row>
        <row r="63">
          <cell r="G63">
            <v>0.54596435335647764</v>
          </cell>
          <cell r="H63">
            <v>-2.8686374773964227E-2</v>
          </cell>
          <cell r="I63">
            <v>-2.8686374773964227E-2</v>
          </cell>
          <cell r="J63">
            <v>-2.8686374773964227E-2</v>
          </cell>
          <cell r="K63">
            <v>-2.8686374773964227E-2</v>
          </cell>
          <cell r="L63">
            <v>-2.8686374773964227E-2</v>
          </cell>
          <cell r="M63">
            <v>-2.8686374773964227E-2</v>
          </cell>
          <cell r="N63">
            <v>-2.8686374773964227E-2</v>
          </cell>
          <cell r="O63">
            <v>-2.8686374773964227E-2</v>
          </cell>
          <cell r="P63">
            <v>-2.8686374773964227E-2</v>
          </cell>
        </row>
        <row r="83">
          <cell r="G83">
            <v>-3.0410795392299333E-2</v>
          </cell>
          <cell r="H83">
            <v>3.8625093472794338E-2</v>
          </cell>
          <cell r="I83">
            <v>3.8538153253995511E-2</v>
          </cell>
          <cell r="J83">
            <v>3.8452869688403224E-2</v>
          </cell>
          <cell r="K83">
            <v>3.8369270081727191E-2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2" refreshError="1"/>
      <sheetData sheetId="13" refreshError="1">
        <row r="54">
          <cell r="Q54">
            <v>0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PTRM input"/>
      <sheetName val="WACC"/>
      <sheetName val="Assets"/>
      <sheetName val="DMIA"/>
      <sheetName val="Depreciation_Profile"/>
      <sheetName val="Analysis"/>
      <sheetName val="Forecast revenues"/>
      <sheetName val="X factors"/>
      <sheetName val="Revenue summary"/>
      <sheetName val="Equity raising costs"/>
      <sheetName val="Debt raising costs"/>
      <sheetName val="Chart 1-Revenue"/>
      <sheetName val="Chart 2-Price path"/>
      <sheetName val="Chart 3-Building blocks"/>
    </sheetNames>
    <sheetDataSet>
      <sheetData sheetId="0">
        <row r="8">
          <cell r="B8" t="str">
            <v>ActewAGL Distribution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/>
        </row>
        <row r="54">
          <cell r="E54" t="e">
            <v>#REF!</v>
          </cell>
        </row>
        <row r="55">
          <cell r="E55" t="str">
            <v>2024</v>
          </cell>
        </row>
        <row r="56">
          <cell r="E56" t="str">
            <v>2024</v>
          </cell>
        </row>
        <row r="57">
          <cell r="E57" t="str">
            <v>2019</v>
          </cell>
        </row>
        <row r="58">
          <cell r="E58" t="str">
            <v>2024</v>
          </cell>
        </row>
        <row r="89">
          <cell r="B89">
            <v>1</v>
          </cell>
          <cell r="C89" t="str">
            <v>dms_FRCP_y1</v>
          </cell>
          <cell r="D89">
            <v>1</v>
          </cell>
          <cell r="E89" t="str">
            <v>CRCP_y1</v>
          </cell>
          <cell r="H89" t="str">
            <v>2018-19</v>
          </cell>
          <cell r="J89">
            <v>1</v>
          </cell>
          <cell r="M89" t="e">
            <v>#NAME?</v>
          </cell>
          <cell r="O89" t="e">
            <v>#NAME?</v>
          </cell>
        </row>
        <row r="90">
          <cell r="B90">
            <v>2</v>
          </cell>
          <cell r="C90" t="str">
            <v>dms_FRCP_y2</v>
          </cell>
          <cell r="D90">
            <v>2</v>
          </cell>
          <cell r="E90" t="str">
            <v>CRCP_y2</v>
          </cell>
          <cell r="F90" t="str">
            <v>2020-21</v>
          </cell>
          <cell r="H90" t="str">
            <v>2017-18</v>
          </cell>
          <cell r="J90">
            <v>2</v>
          </cell>
          <cell r="M90" t="e">
            <v>#NAME?</v>
          </cell>
          <cell r="O90" t="e">
            <v>#NAME?</v>
          </cell>
        </row>
        <row r="91">
          <cell r="B91">
            <v>3</v>
          </cell>
          <cell r="C91" t="str">
            <v>dms_FRCP_y3</v>
          </cell>
          <cell r="D91">
            <v>3</v>
          </cell>
          <cell r="E91" t="str">
            <v>CRCP_y3</v>
          </cell>
          <cell r="F91" t="str">
            <v>2021-22</v>
          </cell>
          <cell r="H91" t="str">
            <v>2016-17</v>
          </cell>
          <cell r="J91">
            <v>3</v>
          </cell>
          <cell r="M91" t="e">
            <v>#NAME?</v>
          </cell>
          <cell r="O91" t="e">
            <v>#NAME?</v>
          </cell>
        </row>
        <row r="92">
          <cell r="B92">
            <v>4</v>
          </cell>
          <cell r="C92" t="str">
            <v>dms_FRCP_y4</v>
          </cell>
          <cell r="D92">
            <v>4</v>
          </cell>
          <cell r="E92" t="str">
            <v>CRCP_y4</v>
          </cell>
          <cell r="F92" t="str">
            <v>2022-23</v>
          </cell>
          <cell r="H92" t="str">
            <v>2015-16</v>
          </cell>
          <cell r="J92">
            <v>4</v>
          </cell>
          <cell r="M92" t="e">
            <v>#NAME?</v>
          </cell>
          <cell r="O92" t="e">
            <v>#NAME?</v>
          </cell>
        </row>
        <row r="93">
          <cell r="B93">
            <v>5</v>
          </cell>
          <cell r="C93" t="str">
            <v>dms_FRCP_y5</v>
          </cell>
          <cell r="D93">
            <v>5</v>
          </cell>
          <cell r="E93" t="str">
            <v>CRCP_y5</v>
          </cell>
          <cell r="F93" t="str">
            <v>2023-24</v>
          </cell>
          <cell r="H93" t="str">
            <v>2014-15</v>
          </cell>
          <cell r="J93">
            <v>5</v>
          </cell>
          <cell r="M93" t="e">
            <v>#NAME?</v>
          </cell>
          <cell r="O93" t="e">
            <v>#NAME?</v>
          </cell>
        </row>
        <row r="94">
          <cell r="B94">
            <v>6</v>
          </cell>
          <cell r="C94" t="str">
            <v>dms_FRCP_y6</v>
          </cell>
          <cell r="D94">
            <v>6</v>
          </cell>
          <cell r="E94" t="str">
            <v>CRCP_y6</v>
          </cell>
          <cell r="F94" t="str">
            <v>2024-25</v>
          </cell>
          <cell r="H94" t="str">
            <v>2013-14</v>
          </cell>
          <cell r="J94">
            <v>6</v>
          </cell>
          <cell r="M94" t="e">
            <v>#NAME?</v>
          </cell>
          <cell r="O94" t="e">
            <v>#NAME?</v>
          </cell>
        </row>
        <row r="95">
          <cell r="B95">
            <v>7</v>
          </cell>
          <cell r="C95" t="str">
            <v>dms_FRCP_y7</v>
          </cell>
          <cell r="D95">
            <v>7</v>
          </cell>
          <cell r="E95" t="str">
            <v>CRCP_y7</v>
          </cell>
          <cell r="F95" t="str">
            <v>2025-26</v>
          </cell>
          <cell r="H95" t="str">
            <v>2012-13</v>
          </cell>
          <cell r="J95">
            <v>7</v>
          </cell>
          <cell r="M95" t="e">
            <v>#NAME?</v>
          </cell>
          <cell r="O95" t="e">
            <v>#NAME?</v>
          </cell>
        </row>
        <row r="96">
          <cell r="B96">
            <v>8</v>
          </cell>
          <cell r="C96" t="str">
            <v>dms_FRCP_y8</v>
          </cell>
          <cell r="D96">
            <v>8</v>
          </cell>
          <cell r="E96" t="str">
            <v>CRCP_y8</v>
          </cell>
          <cell r="F96" t="str">
            <v>2026-27</v>
          </cell>
          <cell r="H96" t="str">
            <v>2011-12</v>
          </cell>
          <cell r="J96">
            <v>8</v>
          </cell>
          <cell r="M96" t="e">
            <v>#NAME?</v>
          </cell>
          <cell r="O96" t="e">
            <v>#NAME?</v>
          </cell>
        </row>
        <row r="97">
          <cell r="B97">
            <v>9</v>
          </cell>
          <cell r="C97" t="str">
            <v>dms_FRCP_y9</v>
          </cell>
          <cell r="D97">
            <v>9</v>
          </cell>
          <cell r="E97" t="str">
            <v>CRCP_y9</v>
          </cell>
          <cell r="F97" t="str">
            <v>2027-28</v>
          </cell>
          <cell r="H97" t="str">
            <v>2010-11</v>
          </cell>
          <cell r="J97">
            <v>9</v>
          </cell>
          <cell r="M97" t="e">
            <v>#NAME?</v>
          </cell>
          <cell r="O97" t="e">
            <v>#NAME?</v>
          </cell>
        </row>
        <row r="98">
          <cell r="B98">
            <v>10</v>
          </cell>
          <cell r="C98" t="str">
            <v>dms_FRCP_y10</v>
          </cell>
          <cell r="D98">
            <v>10</v>
          </cell>
          <cell r="E98" t="str">
            <v>CRCP_y10</v>
          </cell>
          <cell r="F98" t="str">
            <v>2028-29</v>
          </cell>
          <cell r="H98" t="str">
            <v>2009-10</v>
          </cell>
          <cell r="J98">
            <v>10</v>
          </cell>
          <cell r="M98" t="e">
            <v>#NAME?</v>
          </cell>
          <cell r="O98" t="e">
            <v>#NAME?</v>
          </cell>
        </row>
        <row r="99">
          <cell r="B99">
            <v>11</v>
          </cell>
          <cell r="C99" t="str">
            <v>dms_FRCP_y11</v>
          </cell>
          <cell r="D99">
            <v>11</v>
          </cell>
          <cell r="E99" t="str">
            <v>CRCP_y11</v>
          </cell>
          <cell r="F99" t="str">
            <v>2029-30</v>
          </cell>
          <cell r="H99" t="str">
            <v>2008-09</v>
          </cell>
          <cell r="J99">
            <v>11</v>
          </cell>
          <cell r="M99" t="e">
            <v>#NAME?</v>
          </cell>
          <cell r="O99" t="e">
            <v>#NAME?</v>
          </cell>
        </row>
        <row r="100">
          <cell r="B100">
            <v>12</v>
          </cell>
          <cell r="C100" t="str">
            <v>dms_FRCP_y12</v>
          </cell>
          <cell r="D100">
            <v>12</v>
          </cell>
          <cell r="E100" t="str">
            <v>CRCP_y12</v>
          </cell>
          <cell r="F100" t="str">
            <v>2030-31</v>
          </cell>
          <cell r="H100" t="str">
            <v>2007-08</v>
          </cell>
          <cell r="J100">
            <v>12</v>
          </cell>
          <cell r="M100" t="e">
            <v>#NAME?</v>
          </cell>
          <cell r="O100" t="e">
            <v>#NAME?</v>
          </cell>
        </row>
        <row r="101">
          <cell r="B101">
            <v>13</v>
          </cell>
          <cell r="C101" t="str">
            <v>dms_FRCP_y13</v>
          </cell>
          <cell r="D101">
            <v>13</v>
          </cell>
          <cell r="E101" t="str">
            <v>CRCP_y13</v>
          </cell>
          <cell r="F101" t="str">
            <v>2031-32</v>
          </cell>
          <cell r="H101" t="str">
            <v>2006-07</v>
          </cell>
          <cell r="J101">
            <v>13</v>
          </cell>
          <cell r="M101" t="e">
            <v>#NAME?</v>
          </cell>
          <cell r="O101" t="e">
            <v>#NAME?</v>
          </cell>
        </row>
        <row r="102">
          <cell r="B102">
            <v>14</v>
          </cell>
          <cell r="C102" t="str">
            <v>dms_FRCP_y14</v>
          </cell>
          <cell r="D102">
            <v>14</v>
          </cell>
          <cell r="E102" t="str">
            <v>CRCP_y14</v>
          </cell>
          <cell r="F102" t="str">
            <v>2032-33</v>
          </cell>
          <cell r="H102" t="str">
            <v>2005-06</v>
          </cell>
          <cell r="J102">
            <v>14</v>
          </cell>
          <cell r="M102" t="e">
            <v>#NAME?</v>
          </cell>
          <cell r="O102" t="e">
            <v>#NAME?</v>
          </cell>
        </row>
        <row r="103">
          <cell r="B103">
            <v>15</v>
          </cell>
          <cell r="C103" t="str">
            <v>dms_FRCP_y15</v>
          </cell>
          <cell r="D103">
            <v>15</v>
          </cell>
          <cell r="E103" t="str">
            <v>CRCP_y15</v>
          </cell>
          <cell r="H103" t="str">
            <v>2004-05</v>
          </cell>
          <cell r="J103">
            <v>15</v>
          </cell>
          <cell r="M103" t="e">
            <v>#NAME?</v>
          </cell>
          <cell r="O103" t="e">
            <v>#NAME?</v>
          </cell>
        </row>
        <row r="104">
          <cell r="M104" t="e">
            <v>#NAME?</v>
          </cell>
          <cell r="O104" t="e">
            <v>#NAME?</v>
          </cell>
        </row>
        <row r="105">
          <cell r="M105" t="e">
            <v>#NAME?</v>
          </cell>
          <cell r="O105" t="e">
            <v>#NAME?</v>
          </cell>
        </row>
        <row r="106">
          <cell r="M106" t="e">
            <v>#NAME?</v>
          </cell>
          <cell r="O106" t="e">
            <v>#NAME?</v>
          </cell>
        </row>
        <row r="107">
          <cell r="C107" t="str">
            <v>2006-07</v>
          </cell>
          <cell r="D107">
            <v>2007</v>
          </cell>
          <cell r="G107" t="str">
            <v>2016-17</v>
          </cell>
          <cell r="H107" t="str">
            <v>2017</v>
          </cell>
          <cell r="M107" t="e">
            <v>#NAME?</v>
          </cell>
          <cell r="O107" t="e">
            <v>#NAME?</v>
          </cell>
        </row>
        <row r="108">
          <cell r="C108" t="str">
            <v>2007-08</v>
          </cell>
          <cell r="D108" t="str">
            <v>2008</v>
          </cell>
          <cell r="G108" t="str">
            <v>2017-18</v>
          </cell>
          <cell r="H108" t="str">
            <v>2018</v>
          </cell>
        </row>
        <row r="109">
          <cell r="C109" t="str">
            <v>2008-09</v>
          </cell>
          <cell r="D109" t="str">
            <v>2009</v>
          </cell>
          <cell r="G109" t="str">
            <v>2018-19</v>
          </cell>
          <cell r="H109" t="str">
            <v>2019</v>
          </cell>
        </row>
        <row r="110">
          <cell r="C110" t="str">
            <v>2009-10</v>
          </cell>
          <cell r="D110" t="str">
            <v>2010</v>
          </cell>
          <cell r="G110" t="str">
            <v>2019-20</v>
          </cell>
          <cell r="H110" t="str">
            <v>2020</v>
          </cell>
        </row>
        <row r="111">
          <cell r="C111" t="str">
            <v>2010-11</v>
          </cell>
          <cell r="D111" t="str">
            <v>2011</v>
          </cell>
          <cell r="G111" t="str">
            <v>2020-21</v>
          </cell>
          <cell r="H111" t="str">
            <v>2021</v>
          </cell>
        </row>
        <row r="112">
          <cell r="C112" t="str">
            <v>2011-12</v>
          </cell>
          <cell r="D112" t="str">
            <v>2012</v>
          </cell>
          <cell r="G112" t="str">
            <v>2021-22</v>
          </cell>
          <cell r="H112" t="str">
            <v>2022</v>
          </cell>
        </row>
        <row r="113">
          <cell r="C113" t="str">
            <v>2012-13</v>
          </cell>
          <cell r="D113" t="str">
            <v>2013</v>
          </cell>
          <cell r="G113" t="str">
            <v>2022-23</v>
          </cell>
          <cell r="H113" t="str">
            <v>2023</v>
          </cell>
        </row>
        <row r="114">
          <cell r="C114" t="str">
            <v>2013-14</v>
          </cell>
          <cell r="D114" t="str">
            <v>2014</v>
          </cell>
          <cell r="G114" t="str">
            <v>2023-24</v>
          </cell>
          <cell r="H114" t="str">
            <v>2024</v>
          </cell>
        </row>
        <row r="115">
          <cell r="C115" t="str">
            <v>2014-15</v>
          </cell>
          <cell r="D115" t="str">
            <v>2015</v>
          </cell>
          <cell r="G115" t="str">
            <v>2024-25</v>
          </cell>
          <cell r="H115" t="str">
            <v>2025</v>
          </cell>
        </row>
        <row r="116">
          <cell r="C116" t="str">
            <v>2015-16</v>
          </cell>
          <cell r="D116" t="str">
            <v>2016</v>
          </cell>
          <cell r="G116" t="str">
            <v>2025-26</v>
          </cell>
          <cell r="H116" t="str">
            <v>2026</v>
          </cell>
        </row>
        <row r="117">
          <cell r="C117" t="str">
            <v>2016-17</v>
          </cell>
          <cell r="D117" t="str">
            <v>2017</v>
          </cell>
          <cell r="G117" t="str">
            <v>2026-27</v>
          </cell>
          <cell r="H117" t="str">
            <v>2027</v>
          </cell>
        </row>
        <row r="118">
          <cell r="C118" t="str">
            <v>2017-18</v>
          </cell>
          <cell r="D118" t="str">
            <v>2018</v>
          </cell>
          <cell r="G118" t="str">
            <v>2027-28</v>
          </cell>
          <cell r="H118" t="str">
            <v>2028</v>
          </cell>
        </row>
        <row r="119">
          <cell r="C119" t="str">
            <v>2018-19</v>
          </cell>
          <cell r="D119">
            <v>2019</v>
          </cell>
          <cell r="G119" t="str">
            <v>2028-29</v>
          </cell>
          <cell r="H119" t="str">
            <v>2029</v>
          </cell>
        </row>
        <row r="120">
          <cell r="C120" t="str">
            <v>2019-20</v>
          </cell>
          <cell r="D120" t="str">
            <v>2020</v>
          </cell>
          <cell r="G120" t="str">
            <v>2029-30</v>
          </cell>
          <cell r="H120" t="str">
            <v>2030</v>
          </cell>
        </row>
        <row r="121">
          <cell r="C121" t="str">
            <v>2019-20</v>
          </cell>
          <cell r="D121" t="str">
            <v>2020</v>
          </cell>
          <cell r="G121" t="str">
            <v>2030-31</v>
          </cell>
          <cell r="H121" t="str">
            <v>2031</v>
          </cell>
        </row>
        <row r="122">
          <cell r="C122" t="str">
            <v>2020-21</v>
          </cell>
          <cell r="D122" t="str">
            <v>2021</v>
          </cell>
        </row>
        <row r="123">
          <cell r="C123" t="str">
            <v>2021-22</v>
          </cell>
          <cell r="D123" t="str">
            <v>2022</v>
          </cell>
        </row>
        <row r="124">
          <cell r="C124" t="str">
            <v>2022-23</v>
          </cell>
          <cell r="D124" t="str">
            <v>2023</v>
          </cell>
        </row>
        <row r="125">
          <cell r="C125" t="str">
            <v>2023-24</v>
          </cell>
          <cell r="D125" t="str">
            <v>2024</v>
          </cell>
        </row>
        <row r="126">
          <cell r="C126" t="str">
            <v>2024-25</v>
          </cell>
          <cell r="D126" t="str">
            <v>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G8" t="str">
            <v>Yes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Intro"/>
      <sheetName val="&gt;&gt;General inputs"/>
      <sheetName val="CPI"/>
      <sheetName val="Cost Escalations"/>
      <sheetName val="Cost escalations 2"/>
      <sheetName val="Ratios &amp; Assumptions"/>
      <sheetName val="Overheads"/>
      <sheetName val="&gt;&gt;Volumes"/>
      <sheetName val="EGX - Yearly volume scenarios"/>
      <sheetName val="ERG - Yearly volume scenarios"/>
      <sheetName val="&gt;&gt;Unit Rates"/>
      <sheetName val="EGX Unit Rates"/>
      <sheetName val="ERG Unit Rates"/>
      <sheetName val="&gt;&gt;Forecast capex"/>
      <sheetName val="EGX - Forecast capex scenarios"/>
      <sheetName val="EGX - Gross Capex"/>
      <sheetName val="ERG - Forecast capex scenarios"/>
      <sheetName val="ERG - Gross Capex "/>
      <sheetName val="&gt;&gt;Forecast opex"/>
      <sheetName val="EGX - Opex BST"/>
      <sheetName val="EGX - Forecast Opex"/>
      <sheetName val="ERG - Opex BST"/>
      <sheetName val="ERG - Forecast opex"/>
      <sheetName val="Expenditure for Reg Proposals"/>
      <sheetName val="&gt;&gt;Actual data "/>
      <sheetName val="22-23 Actual opex"/>
      <sheetName val="ERG actual monthly volumes"/>
      <sheetName val="EGX actual monthly volumes"/>
      <sheetName val="ERG &amp; EGX Historical exp data"/>
      <sheetName val="&gt;&gt;2020-25 determination"/>
      <sheetName val="AER 2020-25 allowance"/>
      <sheetName val="PTRM"/>
      <sheetName val="EGX - Yearly volume initial "/>
      <sheetName val="Action item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E5">
            <v>39166</v>
          </cell>
        </row>
      </sheetData>
      <sheetData sheetId="11">
        <row r="5">
          <cell r="E5">
            <v>27931</v>
          </cell>
          <cell r="J5">
            <v>16465</v>
          </cell>
        </row>
        <row r="7">
          <cell r="J7">
            <v>32981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8">
          <cell r="B28">
            <v>15864568.392748855</v>
          </cell>
        </row>
      </sheetData>
      <sheetData sheetId="20"/>
      <sheetData sheetId="21"/>
      <sheetData sheetId="22"/>
      <sheetData sheetId="23"/>
      <sheetData sheetId="24">
        <row r="35">
          <cell r="D35">
            <v>5283287.0488459747</v>
          </cell>
        </row>
      </sheetData>
      <sheetData sheetId="25"/>
      <sheetData sheetId="26"/>
      <sheetData sheetId="27"/>
      <sheetData sheetId="28">
        <row r="5">
          <cell r="P5">
            <v>23</v>
          </cell>
        </row>
      </sheetData>
      <sheetData sheetId="29">
        <row r="5">
          <cell r="P5">
            <v>587</v>
          </cell>
        </row>
      </sheetData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02D4-361E-44AA-98B5-6ACCBB1675C2}">
  <dimension ref="A1:B3"/>
  <sheetViews>
    <sheetView workbookViewId="0">
      <selection activeCell="B3" sqref="B3"/>
    </sheetView>
  </sheetViews>
  <sheetFormatPr defaultRowHeight="15" x14ac:dyDescent="0.25"/>
  <cols>
    <col min="1" max="1" width="26.42578125" customWidth="1"/>
    <col min="2" max="2" width="63.85546875" customWidth="1"/>
  </cols>
  <sheetData>
    <row r="1" spans="1:2" x14ac:dyDescent="0.25">
      <c r="A1" s="28" t="s">
        <v>75</v>
      </c>
      <c r="B1" s="28" t="s">
        <v>76</v>
      </c>
    </row>
    <row r="2" spans="1:2" x14ac:dyDescent="0.25">
      <c r="A2" s="29" t="s">
        <v>77</v>
      </c>
      <c r="B2" t="s">
        <v>78</v>
      </c>
    </row>
    <row r="3" spans="1:2" x14ac:dyDescent="0.25">
      <c r="A3" s="29" t="s">
        <v>79</v>
      </c>
      <c r="B3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C59D-443B-4404-A6F5-6EC535D5A1A0}">
  <dimension ref="A1"/>
  <sheetViews>
    <sheetView workbookViewId="0">
      <selection activeCell="F4" sqref="F4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4C21-4F58-4679-BE43-5D09D6B32D6E}">
  <dimension ref="A1:F10"/>
  <sheetViews>
    <sheetView workbookViewId="0">
      <selection activeCell="B6" sqref="B6"/>
    </sheetView>
  </sheetViews>
  <sheetFormatPr defaultRowHeight="15" x14ac:dyDescent="0.25"/>
  <sheetData>
    <row r="1" spans="1:6" x14ac:dyDescent="0.25">
      <c r="A1" s="6" t="s">
        <v>1</v>
      </c>
    </row>
    <row r="3" spans="1:6" x14ac:dyDescent="0.25">
      <c r="A3" s="6" t="s">
        <v>2</v>
      </c>
    </row>
    <row r="4" spans="1:6" x14ac:dyDescent="0.25">
      <c r="B4" s="30" t="s">
        <v>3</v>
      </c>
      <c r="C4" s="30"/>
      <c r="D4" s="30"/>
      <c r="E4" s="30"/>
      <c r="F4" s="30"/>
    </row>
    <row r="5" spans="1:6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</row>
    <row r="6" spans="1:6" x14ac:dyDescent="0.25">
      <c r="A6" s="8" t="s">
        <v>10</v>
      </c>
      <c r="B6" s="9">
        <v>0</v>
      </c>
      <c r="C6" s="9">
        <v>0</v>
      </c>
      <c r="D6" s="9">
        <v>0</v>
      </c>
      <c r="E6" s="9">
        <v>0</v>
      </c>
      <c r="F6" s="9">
        <v>0</v>
      </c>
    </row>
    <row r="7" spans="1:6" x14ac:dyDescent="0.25">
      <c r="A7" s="8" t="s">
        <v>11</v>
      </c>
      <c r="B7" s="9">
        <v>0</v>
      </c>
      <c r="C7" s="9">
        <v>0.42222326940294996</v>
      </c>
      <c r="D7" s="9">
        <v>0.42226375423431839</v>
      </c>
      <c r="E7" s="9">
        <v>0.42224287484510536</v>
      </c>
      <c r="F7" s="9">
        <v>0.42224051920375838</v>
      </c>
    </row>
    <row r="9" spans="1:6" x14ac:dyDescent="0.25">
      <c r="A9" t="s">
        <v>12</v>
      </c>
    </row>
    <row r="10" spans="1:6" x14ac:dyDescent="0.25">
      <c r="A10" s="1" t="s">
        <v>13</v>
      </c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5D01-B2F5-40F9-A101-EC6709F218BA}">
  <dimension ref="A1:H9"/>
  <sheetViews>
    <sheetView workbookViewId="0">
      <selection activeCell="H11" sqref="H11"/>
    </sheetView>
  </sheetViews>
  <sheetFormatPr defaultRowHeight="15" x14ac:dyDescent="0.25"/>
  <cols>
    <col min="1" max="1" width="15.28515625" customWidth="1"/>
  </cols>
  <sheetData>
    <row r="1" spans="1:8" x14ac:dyDescent="0.25">
      <c r="A1" s="6" t="s">
        <v>14</v>
      </c>
    </row>
    <row r="2" spans="1:8" x14ac:dyDescent="0.25">
      <c r="B2" s="30" t="s">
        <v>3</v>
      </c>
      <c r="C2" s="30"/>
      <c r="D2" s="30"/>
      <c r="E2" s="30"/>
      <c r="F2" s="30"/>
    </row>
    <row r="3" spans="1:8" x14ac:dyDescent="0.25">
      <c r="A3" s="7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</row>
    <row r="4" spans="1:8" x14ac:dyDescent="0.25">
      <c r="A4" s="8" t="s">
        <v>15</v>
      </c>
      <c r="B4" s="26">
        <v>2.8497022352319299E-2</v>
      </c>
      <c r="C4" s="26">
        <v>2.8497022352319299E-2</v>
      </c>
      <c r="D4" s="26">
        <v>2.8497022352319299E-2</v>
      </c>
      <c r="E4" s="26">
        <v>2.8497022352319299E-2</v>
      </c>
      <c r="F4" s="26">
        <v>2.8497022352319299E-2</v>
      </c>
    </row>
    <row r="6" spans="1:8" x14ac:dyDescent="0.25">
      <c r="B6" s="1" t="s">
        <v>16</v>
      </c>
      <c r="H6" s="24" t="s">
        <v>74</v>
      </c>
    </row>
    <row r="9" spans="1:8" x14ac:dyDescent="0.25">
      <c r="B9" s="27"/>
    </row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3516-F8F5-4279-AB52-11C3906A5BBD}">
  <dimension ref="A1:AB44"/>
  <sheetViews>
    <sheetView tabSelected="1" workbookViewId="0">
      <selection activeCell="K21" sqref="K21"/>
    </sheetView>
  </sheetViews>
  <sheetFormatPr defaultRowHeight="15" x14ac:dyDescent="0.25"/>
  <cols>
    <col min="1" max="1" width="19.7109375" customWidth="1"/>
    <col min="7" max="7" width="1.7109375" customWidth="1"/>
    <col min="8" max="8" width="18.28515625" customWidth="1"/>
    <col min="14" max="14" width="1.7109375" customWidth="1"/>
    <col min="15" max="15" width="1.85546875" customWidth="1"/>
    <col min="16" max="16" width="18.140625" customWidth="1"/>
    <col min="22" max="22" width="3.28515625" customWidth="1"/>
    <col min="23" max="23" width="17.28515625" customWidth="1"/>
  </cols>
  <sheetData>
    <row r="1" spans="1:28" x14ac:dyDescent="0.25">
      <c r="A1" s="5" t="s">
        <v>71</v>
      </c>
    </row>
    <row r="2" spans="1:28" x14ac:dyDescent="0.25">
      <c r="A2" s="7" t="s">
        <v>20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28" x14ac:dyDescent="0.25">
      <c r="A3" s="8" t="s">
        <v>24</v>
      </c>
      <c r="B3" s="25">
        <v>7.1037059757877454</v>
      </c>
      <c r="C3" s="25">
        <v>7.6902460808654709</v>
      </c>
      <c r="D3" s="25">
        <v>8.2995089636126966</v>
      </c>
      <c r="E3" s="25">
        <v>8.958084051758286</v>
      </c>
      <c r="F3" s="25">
        <v>9.5933250700875305</v>
      </c>
    </row>
    <row r="4" spans="1:28" x14ac:dyDescent="0.25">
      <c r="A4" s="8" t="s">
        <v>22</v>
      </c>
      <c r="B4" s="25">
        <v>7.3096703942433408</v>
      </c>
      <c r="C4" s="25">
        <v>8.2026848115215198</v>
      </c>
      <c r="D4" s="25">
        <v>9.1681456132148078</v>
      </c>
      <c r="E4" s="25">
        <v>10.210341847892471</v>
      </c>
      <c r="F4" s="25">
        <v>11.334463265227864</v>
      </c>
    </row>
    <row r="5" spans="1:28" x14ac:dyDescent="0.25">
      <c r="A5" s="8" t="s">
        <v>27</v>
      </c>
      <c r="B5" s="25">
        <v>11.096659681462544</v>
      </c>
      <c r="C5" s="25">
        <v>11.033383579438954</v>
      </c>
      <c r="D5" s="25">
        <v>10.960713626899754</v>
      </c>
      <c r="E5" s="25">
        <v>10.914119054724724</v>
      </c>
      <c r="F5" s="25">
        <v>10.883033146288984</v>
      </c>
    </row>
    <row r="6" spans="1:28" x14ac:dyDescent="0.25">
      <c r="A6" s="8" t="s">
        <v>30</v>
      </c>
    </row>
    <row r="7" spans="1:28" x14ac:dyDescent="0.25">
      <c r="A7" s="10" t="s">
        <v>31</v>
      </c>
      <c r="B7" s="20">
        <f>SUM(B3:B6)</f>
        <v>25.510036051493628</v>
      </c>
      <c r="C7" s="20">
        <f t="shared" ref="C7:F7" si="0">SUM(C3:C6)</f>
        <v>26.926314471825947</v>
      </c>
      <c r="D7" s="20">
        <f t="shared" si="0"/>
        <v>28.42836820372726</v>
      </c>
      <c r="E7" s="20">
        <f t="shared" si="0"/>
        <v>30.082544954375479</v>
      </c>
      <c r="F7" s="20">
        <f t="shared" si="0"/>
        <v>31.810821481604378</v>
      </c>
    </row>
    <row r="9" spans="1:28" x14ac:dyDescent="0.25">
      <c r="A9" s="5" t="s">
        <v>72</v>
      </c>
      <c r="B9" s="1"/>
      <c r="C9" s="1"/>
      <c r="D9" s="1"/>
      <c r="E9" s="1"/>
      <c r="F9" s="1"/>
      <c r="G9" s="1"/>
      <c r="H9" s="6" t="s">
        <v>17</v>
      </c>
      <c r="P9" s="5" t="s">
        <v>18</v>
      </c>
      <c r="W9" s="5" t="s">
        <v>19</v>
      </c>
      <c r="X9" s="1"/>
      <c r="Y9" s="1"/>
      <c r="Z9" s="1"/>
      <c r="AA9" s="1"/>
    </row>
    <row r="10" spans="1:28" x14ac:dyDescent="0.25">
      <c r="A10" s="7" t="s">
        <v>20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1"/>
      <c r="H10" s="7" t="s">
        <v>21</v>
      </c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P10" s="7" t="s">
        <v>22</v>
      </c>
      <c r="Q10" s="7" t="s">
        <v>5</v>
      </c>
      <c r="R10" s="7" t="s">
        <v>6</v>
      </c>
      <c r="S10" s="7" t="s">
        <v>7</v>
      </c>
      <c r="T10" s="7" t="s">
        <v>8</v>
      </c>
      <c r="U10" s="7" t="s">
        <v>9</v>
      </c>
      <c r="W10" s="7" t="s">
        <v>23</v>
      </c>
      <c r="X10" s="7" t="s">
        <v>5</v>
      </c>
      <c r="Y10" s="7" t="s">
        <v>6</v>
      </c>
      <c r="Z10" s="7" t="s">
        <v>7</v>
      </c>
      <c r="AA10" s="7" t="s">
        <v>8</v>
      </c>
      <c r="AB10" s="7" t="s">
        <v>9</v>
      </c>
    </row>
    <row r="11" spans="1:28" x14ac:dyDescent="0.25">
      <c r="A11" s="8" t="s">
        <v>24</v>
      </c>
      <c r="B11" s="13">
        <f>B3/B$7*B$23</f>
        <v>7.104508832387685</v>
      </c>
      <c r="C11" s="13">
        <f t="shared" ref="C11:F11" si="1">C3/C$7*C$23</f>
        <v>7.6966239593319976</v>
      </c>
      <c r="D11" s="13">
        <f t="shared" si="1"/>
        <v>8.3102521829297817</v>
      </c>
      <c r="E11" s="13">
        <f t="shared" si="1"/>
        <v>8.9534638986472519</v>
      </c>
      <c r="F11" s="13">
        <f t="shared" si="1"/>
        <v>9.5777080832487389</v>
      </c>
      <c r="G11" s="1"/>
      <c r="H11" s="8" t="s">
        <v>25</v>
      </c>
      <c r="I11" s="23">
        <v>94.521205633288972</v>
      </c>
      <c r="J11" s="23">
        <v>85.8796311204364</v>
      </c>
      <c r="K11" s="23">
        <v>77.238056607583829</v>
      </c>
      <c r="L11" s="23">
        <v>68.596482094731257</v>
      </c>
      <c r="M11" s="23">
        <v>59.954907581878686</v>
      </c>
      <c r="P11" s="8" t="s">
        <v>25</v>
      </c>
      <c r="Q11" s="23">
        <v>6.093629313645673</v>
      </c>
      <c r="R11" s="23">
        <v>6.3490989728763374</v>
      </c>
      <c r="S11" s="23">
        <v>6.6175503797703561</v>
      </c>
      <c r="T11" s="23">
        <v>6.885297060602575</v>
      </c>
      <c r="U11" s="23">
        <v>7.1713505587590607</v>
      </c>
      <c r="W11" s="8" t="s">
        <v>25</v>
      </c>
      <c r="X11" s="23">
        <v>5.2979440895831553</v>
      </c>
      <c r="Y11" s="23">
        <v>3.6692072630880874</v>
      </c>
      <c r="Z11" s="23">
        <v>2.4144933796670642</v>
      </c>
      <c r="AA11" s="23">
        <v>1.3098723928441633</v>
      </c>
      <c r="AB11" s="23">
        <v>0</v>
      </c>
    </row>
    <row r="12" spans="1:28" x14ac:dyDescent="0.25">
      <c r="A12" s="8" t="s">
        <v>22</v>
      </c>
      <c r="B12" s="13">
        <f t="shared" ref="B12:F14" si="2">B4/B$7*B$23</f>
        <v>7.3104965288186472</v>
      </c>
      <c r="C12" s="13">
        <f t="shared" si="2"/>
        <v>8.2094876792421339</v>
      </c>
      <c r="D12" s="13">
        <f t="shared" si="2"/>
        <v>9.1800132308637039</v>
      </c>
      <c r="E12" s="13">
        <f t="shared" si="2"/>
        <v>10.20507583985094</v>
      </c>
      <c r="F12" s="13">
        <f t="shared" si="2"/>
        <v>11.31601187716954</v>
      </c>
      <c r="G12" s="1"/>
      <c r="H12" s="8" t="s">
        <v>26</v>
      </c>
      <c r="I12" s="23">
        <v>23.098595978587085</v>
      </c>
      <c r="J12" s="23">
        <v>37.28137783787539</v>
      </c>
      <c r="K12" s="23">
        <v>50.782803529872211</v>
      </c>
      <c r="L12" s="23">
        <v>63.590259247693218</v>
      </c>
      <c r="M12" s="23">
        <v>75.716838573868898</v>
      </c>
      <c r="P12" s="8" t="s">
        <v>26</v>
      </c>
      <c r="Q12" s="23">
        <v>1.216041080597666</v>
      </c>
      <c r="R12" s="23">
        <v>1.8603887063657969</v>
      </c>
      <c r="S12" s="23">
        <v>2.5624628510933487</v>
      </c>
      <c r="T12" s="23">
        <v>3.3197787792483635</v>
      </c>
      <c r="U12" s="23">
        <v>4.1446613184104795</v>
      </c>
      <c r="W12" s="8" t="s">
        <v>26</v>
      </c>
      <c r="X12" s="23">
        <v>5.4511070679216962</v>
      </c>
      <c r="Y12" s="23">
        <v>6.7191094586208768</v>
      </c>
      <c r="Z12" s="23">
        <v>7.6162836401431431</v>
      </c>
      <c r="AA12" s="23">
        <v>8.3986122368519265</v>
      </c>
      <c r="AB12" s="23">
        <v>9.4099393520211994</v>
      </c>
    </row>
    <row r="13" spans="1:28" x14ac:dyDescent="0.25">
      <c r="A13" s="8" t="s">
        <v>27</v>
      </c>
      <c r="B13" s="13">
        <f t="shared" si="2"/>
        <v>11.097913819301711</v>
      </c>
      <c r="C13" s="13">
        <f t="shared" si="2"/>
        <v>11.042534077199919</v>
      </c>
      <c r="D13" s="13">
        <f t="shared" si="2"/>
        <v>10.974901616922033</v>
      </c>
      <c r="E13" s="13">
        <f t="shared" si="2"/>
        <v>10.908490071918406</v>
      </c>
      <c r="F13" s="13">
        <f t="shared" si="2"/>
        <v>10.865316641931003</v>
      </c>
      <c r="G13" s="1"/>
      <c r="H13" s="10" t="s">
        <v>28</v>
      </c>
      <c r="I13" s="14">
        <f>I11+I12</f>
        <v>117.61980161187606</v>
      </c>
      <c r="J13" s="14">
        <f t="shared" ref="J13:M13" si="3">J11+J12</f>
        <v>123.16100895831178</v>
      </c>
      <c r="K13" s="14">
        <f t="shared" si="3"/>
        <v>128.02086013745605</v>
      </c>
      <c r="L13" s="14">
        <f t="shared" si="3"/>
        <v>132.18674134242448</v>
      </c>
      <c r="M13" s="14">
        <f t="shared" si="3"/>
        <v>135.6717461557476</v>
      </c>
      <c r="P13" s="10" t="s">
        <v>29</v>
      </c>
      <c r="Q13" s="14">
        <f>SUM(Q11:Q12)</f>
        <v>7.309670394243339</v>
      </c>
      <c r="R13" s="14">
        <f t="shared" ref="R13:U13" si="4">SUM(R11:R12)</f>
        <v>8.2094876792421339</v>
      </c>
      <c r="S13" s="14">
        <f t="shared" si="4"/>
        <v>9.1800132308637039</v>
      </c>
      <c r="T13" s="14">
        <f t="shared" si="4"/>
        <v>10.205075839850938</v>
      </c>
      <c r="U13" s="14">
        <f t="shared" si="4"/>
        <v>11.31601187716954</v>
      </c>
      <c r="W13" s="10" t="s">
        <v>29</v>
      </c>
      <c r="X13" s="14">
        <f>SUM(X11:X12)</f>
        <v>10.749051157504852</v>
      </c>
      <c r="Y13" s="14">
        <f t="shared" ref="Y13:AB13" si="5">SUM(Y11:Y12)</f>
        <v>10.388316721708964</v>
      </c>
      <c r="Z13" s="14">
        <f t="shared" si="5"/>
        <v>10.030777019810207</v>
      </c>
      <c r="AA13" s="14">
        <f t="shared" si="5"/>
        <v>9.7084846296960894</v>
      </c>
      <c r="AB13" s="14">
        <f t="shared" si="5"/>
        <v>9.4099393520211994</v>
      </c>
    </row>
    <row r="14" spans="1:28" x14ac:dyDescent="0.25">
      <c r="A14" s="8" t="s">
        <v>30</v>
      </c>
      <c r="B14" s="13">
        <f t="shared" si="2"/>
        <v>0</v>
      </c>
      <c r="C14" s="13">
        <f t="shared" si="2"/>
        <v>0</v>
      </c>
      <c r="D14" s="13">
        <f t="shared" si="2"/>
        <v>0</v>
      </c>
      <c r="E14" s="13">
        <f t="shared" si="2"/>
        <v>0</v>
      </c>
      <c r="F14" s="13">
        <f t="shared" si="2"/>
        <v>0</v>
      </c>
      <c r="G14" s="1"/>
      <c r="H14" s="1"/>
      <c r="M14" s="1"/>
    </row>
    <row r="15" spans="1:28" x14ac:dyDescent="0.25">
      <c r="A15" s="10" t="s">
        <v>31</v>
      </c>
      <c r="B15" s="14">
        <f>SUM(B11:B14)</f>
        <v>25.512919180508042</v>
      </c>
      <c r="C15" s="14">
        <f>SUM(C11:C14)</f>
        <v>26.948645715774049</v>
      </c>
      <c r="D15" s="14">
        <f>SUM(D11:D14)</f>
        <v>28.46516703071552</v>
      </c>
      <c r="E15" s="14">
        <f>SUM(E11:E14)</f>
        <v>30.067029810416599</v>
      </c>
      <c r="F15" s="14">
        <f>SUM(F11:F14)</f>
        <v>31.759036602349283</v>
      </c>
      <c r="G15" s="1"/>
      <c r="H15" s="1" t="s">
        <v>16</v>
      </c>
      <c r="W15" s="1" t="s">
        <v>16</v>
      </c>
    </row>
    <row r="16" spans="1:28" x14ac:dyDescent="0.25">
      <c r="A16" s="1"/>
      <c r="B16" s="1"/>
      <c r="C16" s="1"/>
      <c r="D16" s="1"/>
      <c r="E16" s="1"/>
      <c r="F16" s="1"/>
      <c r="G16" s="1"/>
    </row>
    <row r="17" spans="1:28" x14ac:dyDescent="0.25">
      <c r="A17" t="s">
        <v>12</v>
      </c>
      <c r="G17" s="1"/>
      <c r="H17" s="5" t="s">
        <v>32</v>
      </c>
      <c r="I17" s="3"/>
      <c r="J17" s="3"/>
      <c r="K17" s="3"/>
      <c r="L17" s="3"/>
      <c r="M17" s="3"/>
      <c r="W17" s="5" t="s">
        <v>33</v>
      </c>
    </row>
    <row r="18" spans="1:28" x14ac:dyDescent="0.25">
      <c r="A18" t="s">
        <v>34</v>
      </c>
      <c r="G18" s="1"/>
      <c r="H18" s="7" t="s">
        <v>35</v>
      </c>
      <c r="I18" s="7" t="s">
        <v>5</v>
      </c>
      <c r="J18" s="7" t="s">
        <v>6</v>
      </c>
      <c r="K18" s="7" t="s">
        <v>7</v>
      </c>
      <c r="L18" s="7" t="s">
        <v>8</v>
      </c>
      <c r="M18" s="7" t="s">
        <v>9</v>
      </c>
      <c r="W18" s="7" t="s">
        <v>36</v>
      </c>
      <c r="X18" s="7" t="s">
        <v>5</v>
      </c>
      <c r="Y18" s="7" t="s">
        <v>6</v>
      </c>
      <c r="Z18" s="7" t="s">
        <v>7</v>
      </c>
      <c r="AA18" s="7" t="s">
        <v>8</v>
      </c>
      <c r="AB18" s="7" t="s">
        <v>9</v>
      </c>
    </row>
    <row r="19" spans="1:28" x14ac:dyDescent="0.25">
      <c r="G19" s="1"/>
      <c r="H19" s="8" t="s">
        <v>25</v>
      </c>
      <c r="I19" s="13">
        <f>B11*(I11/I$13)</f>
        <v>5.7093000588927207</v>
      </c>
      <c r="J19" s="13">
        <f>C11*(J11/J$13)</f>
        <v>5.3668221143257924</v>
      </c>
      <c r="K19" s="13">
        <f>D11*(K11/K$13)</f>
        <v>5.0137745351753917</v>
      </c>
      <c r="L19" s="13">
        <f>E11*(L11/L$13)</f>
        <v>4.6462763191837837</v>
      </c>
      <c r="M19" s="13">
        <f>F11*(M11/M$13)</f>
        <v>4.2324995383945963</v>
      </c>
      <c r="W19" s="8" t="s">
        <v>25</v>
      </c>
      <c r="X19" s="13">
        <f>B$13*(X11/X$13)</f>
        <v>5.4698899525305551</v>
      </c>
      <c r="Y19" s="13">
        <f t="shared" ref="Y19:AA19" si="6">C$13*(Y11/Y$13)</f>
        <v>3.9002802209802296</v>
      </c>
      <c r="Z19" s="13">
        <f t="shared" si="6"/>
        <v>2.641752203664975</v>
      </c>
      <c r="AA19" s="13">
        <f t="shared" si="6"/>
        <v>1.4717775778430469</v>
      </c>
      <c r="AB19" s="13">
        <f>F$13*(AB11/AB$13)</f>
        <v>0</v>
      </c>
    </row>
    <row r="20" spans="1:28" x14ac:dyDescent="0.25">
      <c r="A20" s="1" t="s">
        <v>16</v>
      </c>
      <c r="G20" s="1"/>
      <c r="H20" s="8" t="s">
        <v>26</v>
      </c>
      <c r="I20" s="13">
        <f>B11*(I12/I$13)</f>
        <v>1.3952087734949641</v>
      </c>
      <c r="J20" s="13">
        <f>C11*(J12/J$13)</f>
        <v>2.3298018450062061</v>
      </c>
      <c r="K20" s="13">
        <f>D11*(K12/K$13)</f>
        <v>3.2964776477543891</v>
      </c>
      <c r="L20" s="13">
        <f>E11*(L12/L$13)</f>
        <v>4.3071875794634682</v>
      </c>
      <c r="M20" s="13">
        <f>F11*(M12/M$13)</f>
        <v>5.3452085448541409</v>
      </c>
      <c r="W20" s="8" t="s">
        <v>26</v>
      </c>
      <c r="X20" s="13">
        <f>B$13*(X12/X$13)</f>
        <v>5.628023866771156</v>
      </c>
      <c r="Y20" s="13">
        <f t="shared" ref="Y20:AB20" si="7">C$13*(Y12/Y$13)</f>
        <v>7.14225385621969</v>
      </c>
      <c r="Z20" s="13">
        <f t="shared" si="7"/>
        <v>8.3331494132570576</v>
      </c>
      <c r="AA20" s="13">
        <f t="shared" si="7"/>
        <v>9.4367124940753602</v>
      </c>
      <c r="AB20" s="13">
        <f t="shared" si="7"/>
        <v>10.865316641931003</v>
      </c>
    </row>
    <row r="21" spans="1:28" x14ac:dyDescent="0.25">
      <c r="G21" s="1"/>
      <c r="H21" s="10" t="s">
        <v>28</v>
      </c>
      <c r="I21" s="14">
        <f>SUM(I19:I20)</f>
        <v>7.104508832387685</v>
      </c>
      <c r="J21" s="14">
        <f t="shared" ref="J21:M21" si="8">SUM(J19:J20)</f>
        <v>7.6966239593319985</v>
      </c>
      <c r="K21" s="14">
        <f t="shared" si="8"/>
        <v>8.31025218292978</v>
      </c>
      <c r="L21" s="14">
        <f t="shared" si="8"/>
        <v>8.9534638986472519</v>
      </c>
      <c r="M21" s="14">
        <f t="shared" si="8"/>
        <v>9.5777080832487371</v>
      </c>
      <c r="W21" s="10" t="s">
        <v>29</v>
      </c>
      <c r="X21" s="14">
        <f>SUM(X19:X20)</f>
        <v>11.097913819301711</v>
      </c>
      <c r="Y21" s="14">
        <f t="shared" ref="Y21:AB21" si="9">SUM(Y19:Y20)</f>
        <v>11.042534077199919</v>
      </c>
      <c r="Z21" s="14">
        <f t="shared" si="9"/>
        <v>10.974901616922033</v>
      </c>
      <c r="AA21" s="14">
        <f t="shared" si="9"/>
        <v>10.908490071918408</v>
      </c>
      <c r="AB21" s="14">
        <f t="shared" si="9"/>
        <v>10.865316641931003</v>
      </c>
    </row>
    <row r="22" spans="1:28" x14ac:dyDescent="0.25">
      <c r="B22" s="1"/>
      <c r="C22" s="1"/>
      <c r="D22" s="1"/>
      <c r="E22" s="1"/>
      <c r="F22" s="1"/>
      <c r="G22" s="1"/>
    </row>
    <row r="23" spans="1:28" x14ac:dyDescent="0.25">
      <c r="A23" t="s">
        <v>73</v>
      </c>
      <c r="B23" s="24">
        <v>25.512919180508042</v>
      </c>
      <c r="C23" s="24">
        <v>26.948645715774052</v>
      </c>
      <c r="D23" s="24">
        <v>28.46516703071552</v>
      </c>
      <c r="E23" s="24">
        <v>30.067029810416596</v>
      </c>
      <c r="F23" s="24">
        <v>31.759036602349283</v>
      </c>
      <c r="G23" s="1"/>
      <c r="W23" t="s">
        <v>37</v>
      </c>
    </row>
    <row r="24" spans="1:28" x14ac:dyDescent="0.25">
      <c r="G24" s="1"/>
    </row>
    <row r="25" spans="1:28" x14ac:dyDescent="0.25">
      <c r="G25" s="1"/>
      <c r="H25" s="1"/>
      <c r="I25" s="1"/>
      <c r="J25" s="1"/>
      <c r="K25" s="1"/>
      <c r="L25" s="1"/>
      <c r="M25" s="1"/>
    </row>
    <row r="26" spans="1:28" x14ac:dyDescent="0.25">
      <c r="G26" s="1"/>
      <c r="H26" s="1"/>
      <c r="I26" s="1"/>
      <c r="J26" s="1"/>
      <c r="K26" s="1"/>
      <c r="L26" s="1"/>
      <c r="M26" s="1"/>
    </row>
    <row r="27" spans="1:28" x14ac:dyDescent="0.25">
      <c r="G27" s="1"/>
      <c r="H27" s="1"/>
      <c r="I27" s="1"/>
      <c r="J27" s="1"/>
      <c r="K27" s="1"/>
      <c r="L27" s="1"/>
      <c r="M27" s="1"/>
    </row>
    <row r="28" spans="1:28" x14ac:dyDescent="0.25">
      <c r="G28" s="1"/>
      <c r="H28" s="1"/>
      <c r="I28" s="1"/>
      <c r="J28" s="1"/>
      <c r="K28" s="1"/>
      <c r="L28" s="1"/>
      <c r="M28" s="1"/>
    </row>
    <row r="29" spans="1:28" x14ac:dyDescent="0.25">
      <c r="G29" s="1"/>
      <c r="H29" s="4"/>
      <c r="I29" s="4"/>
      <c r="J29" s="4"/>
      <c r="K29" s="4"/>
      <c r="L29" s="4"/>
      <c r="M29" s="1"/>
    </row>
    <row r="30" spans="1:28" x14ac:dyDescent="0.25">
      <c r="G30" s="1"/>
      <c r="M30" s="1"/>
    </row>
    <row r="31" spans="1:28" x14ac:dyDescent="0.25">
      <c r="G31" s="1"/>
      <c r="M31" s="1"/>
    </row>
    <row r="32" spans="1:28" x14ac:dyDescent="0.25">
      <c r="G32" s="1"/>
      <c r="M32" s="1"/>
    </row>
    <row r="33" spans="1:13" x14ac:dyDescent="0.25">
      <c r="G33" s="1"/>
      <c r="M33" s="1"/>
    </row>
    <row r="34" spans="1:13" x14ac:dyDescent="0.25">
      <c r="G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M36" s="1"/>
    </row>
    <row r="37" spans="1:13" x14ac:dyDescent="0.25">
      <c r="A37" s="1"/>
      <c r="B37" s="3"/>
      <c r="C37" s="3"/>
      <c r="D37" s="3"/>
      <c r="E37" s="3"/>
      <c r="F37" s="3"/>
      <c r="G37" s="1"/>
      <c r="M37" s="1"/>
    </row>
    <row r="38" spans="1:13" x14ac:dyDescent="0.25">
      <c r="G38" s="1"/>
      <c r="M38" s="1"/>
    </row>
    <row r="39" spans="1:13" x14ac:dyDescent="0.25">
      <c r="G39" s="1"/>
      <c r="M39" s="1"/>
    </row>
    <row r="40" spans="1:13" x14ac:dyDescent="0.25">
      <c r="G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19A4-BBEB-487B-8B35-205FDE852697}">
  <sheetPr codeName="Sheet2"/>
  <dimension ref="A1:P54"/>
  <sheetViews>
    <sheetView workbookViewId="0">
      <selection activeCell="L27" sqref="L27:P27"/>
    </sheetView>
  </sheetViews>
  <sheetFormatPr defaultColWidth="8.85546875" defaultRowHeight="12.75" x14ac:dyDescent="0.2"/>
  <cols>
    <col min="1" max="1" width="8.85546875" style="1"/>
    <col min="2" max="2" width="22.85546875" style="1" bestFit="1" customWidth="1"/>
    <col min="3" max="3" width="23.85546875" style="1" customWidth="1"/>
    <col min="4" max="7" width="15.140625" style="1" bestFit="1" customWidth="1"/>
    <col min="8" max="8" width="5.42578125" style="1" customWidth="1"/>
    <col min="9" max="9" width="25.42578125" style="1" customWidth="1"/>
    <col min="10" max="10" width="12.7109375" style="1" customWidth="1"/>
    <col min="11" max="11" width="14.140625" style="1" customWidth="1"/>
    <col min="12" max="13" width="15.140625" style="1" bestFit="1" customWidth="1"/>
    <col min="14" max="14" width="14.28515625" style="1" customWidth="1"/>
    <col min="15" max="15" width="15.5703125" style="1" customWidth="1"/>
    <col min="16" max="16" width="12.7109375" style="1" customWidth="1"/>
    <col min="17" max="17" width="10.42578125" style="1" bestFit="1" customWidth="1"/>
    <col min="18" max="18" width="12.85546875" style="1" bestFit="1" customWidth="1"/>
    <col min="19" max="16384" width="8.85546875" style="1"/>
  </cols>
  <sheetData>
    <row r="1" spans="1:14" x14ac:dyDescent="0.2">
      <c r="A1" s="5" t="s">
        <v>38</v>
      </c>
    </row>
    <row r="2" spans="1:14" x14ac:dyDescent="0.2">
      <c r="A2" s="5" t="s">
        <v>39</v>
      </c>
      <c r="I2" s="5" t="s">
        <v>40</v>
      </c>
    </row>
    <row r="3" spans="1:14" ht="15" x14ac:dyDescent="0.25">
      <c r="A3" s="7" t="s">
        <v>41</v>
      </c>
      <c r="B3" s="7" t="s">
        <v>42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I3" s="7"/>
      <c r="J3" s="7" t="s">
        <v>43</v>
      </c>
    </row>
    <row r="4" spans="1:14" ht="15" x14ac:dyDescent="0.25">
      <c r="A4" s="8" t="s">
        <v>44</v>
      </c>
      <c r="B4" s="8" t="s">
        <v>45</v>
      </c>
      <c r="C4" s="11">
        <f>'PTRM output'!X19*1000000</f>
        <v>5469889.9525305554</v>
      </c>
      <c r="D4" s="11">
        <f>'PTRM output'!Y19*1000000</f>
        <v>3900280.2209802298</v>
      </c>
      <c r="E4" s="11">
        <f>'PTRM output'!Z19*1000000</f>
        <v>2641752.2036649748</v>
      </c>
      <c r="F4" s="11">
        <f>'PTRM output'!AA19*1000000</f>
        <v>1471777.5778430467</v>
      </c>
      <c r="G4" s="11">
        <f>'PTRM output'!AB19*1000000</f>
        <v>0</v>
      </c>
      <c r="I4" s="8" t="s">
        <v>46</v>
      </c>
      <c r="J4" s="16">
        <f>'[4]ERG - Yearly volume scenarios'!$J$5+'[4]ERG - Yearly volume scenarios'!$J$7</f>
        <v>49446</v>
      </c>
      <c r="K4" s="1" t="s">
        <v>47</v>
      </c>
    </row>
    <row r="5" spans="1:14" ht="15" x14ac:dyDescent="0.25">
      <c r="A5" s="8" t="s">
        <v>44</v>
      </c>
      <c r="B5" s="8" t="s">
        <v>48</v>
      </c>
      <c r="C5" s="11">
        <f>('PTRM output'!I19+'PTRM output'!Q11)*1000000</f>
        <v>11802929.372538393</v>
      </c>
      <c r="D5" s="11">
        <f>('PTRM output'!J19+'PTRM output'!R11)*1000000</f>
        <v>11715921.08720213</v>
      </c>
      <c r="E5" s="11">
        <f>('PTRM output'!K19+'PTRM output'!S11)*1000000</f>
        <v>11631324.914945748</v>
      </c>
      <c r="F5" s="11">
        <f>('PTRM output'!L19+'PTRM output'!T11)*1000000</f>
        <v>11531573.379786359</v>
      </c>
      <c r="G5" s="11">
        <f>('PTRM output'!M19+'PTRM output'!U11)*1000000</f>
        <v>11403850.097153658</v>
      </c>
      <c r="I5" s="8" t="s">
        <v>49</v>
      </c>
      <c r="J5" s="11">
        <f>C5</f>
        <v>11802929.372538393</v>
      </c>
    </row>
    <row r="6" spans="1:14" ht="15" x14ac:dyDescent="0.25">
      <c r="A6" s="8" t="s">
        <v>44</v>
      </c>
      <c r="B6" s="8" t="s">
        <v>50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I6" s="8" t="s">
        <v>51</v>
      </c>
      <c r="J6" s="12">
        <f>J5/J4</f>
        <v>238.70342135943037</v>
      </c>
    </row>
    <row r="7" spans="1:14" ht="15" x14ac:dyDescent="0.25">
      <c r="A7" s="8" t="s">
        <v>26</v>
      </c>
      <c r="B7" s="8" t="s">
        <v>45</v>
      </c>
      <c r="C7" s="11">
        <f>'PTRM output'!X20*1000000</f>
        <v>5628023.866771156</v>
      </c>
      <c r="D7" s="11">
        <f>('PTRM output'!Y20)*1000000</f>
        <v>7142253.8562196903</v>
      </c>
      <c r="E7" s="11">
        <f>('PTRM output'!Z20)*1000000</f>
        <v>8333149.4132570578</v>
      </c>
      <c r="F7" s="11">
        <f>('PTRM output'!AA20)*1000000</f>
        <v>9436712.4940753598</v>
      </c>
      <c r="G7" s="11">
        <f>('PTRM output'!AB20)*1000000</f>
        <v>10865316.641931003</v>
      </c>
      <c r="I7" s="8" t="s">
        <v>52</v>
      </c>
      <c r="J7" s="9">
        <v>0.8</v>
      </c>
    </row>
    <row r="8" spans="1:14" ht="15" x14ac:dyDescent="0.25">
      <c r="A8" s="8" t="s">
        <v>26</v>
      </c>
      <c r="B8" s="8" t="s">
        <v>48</v>
      </c>
      <c r="C8" s="11">
        <f>(('PTRM output'!Q12+'PTRM output'!I20)*(1-Allocations!B7))*1000000</f>
        <v>2611249.8540926306</v>
      </c>
      <c r="D8" s="11">
        <f>(('PTRM output'!R12+'PTRM output'!J20)*(1-Allocations!C7))*1000000</f>
        <v>2420994.5973503669</v>
      </c>
      <c r="E8" s="11">
        <f>(('PTRM output'!S12+'PTRM output'!K20)*(1-Allocations!D7))*1000000</f>
        <v>3384922.2879688018</v>
      </c>
      <c r="F8" s="11">
        <f>(('PTRM output'!T12+'PTRM output'!L20)*(1-Allocations!E7))*1000000</f>
        <v>4406534.157062443</v>
      </c>
      <c r="G8" s="11">
        <f>(('PTRM output'!U12+'PTRM output'!M20)*(1-Allocations!F7))*1000000</f>
        <v>5482862.2850236669</v>
      </c>
      <c r="I8" s="8" t="s">
        <v>53</v>
      </c>
      <c r="J8" s="12">
        <f>J6*J7</f>
        <v>190.9627370875443</v>
      </c>
    </row>
    <row r="9" spans="1:14" ht="15" x14ac:dyDescent="0.25">
      <c r="A9" s="8" t="s">
        <v>26</v>
      </c>
      <c r="B9" s="8" t="s">
        <v>54</v>
      </c>
      <c r="C9" s="11">
        <f>(('PTRM output'!Q12+'PTRM output'!I20)*Allocations!B7)*1000000</f>
        <v>0</v>
      </c>
      <c r="D9" s="11">
        <f>(('PTRM output'!R12+'PTRM output'!J20)*Allocations!C7)*1000000</f>
        <v>1769195.9540216369</v>
      </c>
      <c r="E9" s="11">
        <f>(('PTRM output'!S12+'PTRM output'!K20)*Allocations!D7)*1000000</f>
        <v>2474018.2108789361</v>
      </c>
      <c r="F9" s="11">
        <f>(('PTRM output'!T12+'PTRM output'!L20)*Allocations!E7)*1000000</f>
        <v>3220432.2016493888</v>
      </c>
      <c r="G9" s="11">
        <f>(('PTRM output'!U12+'PTRM output'!M20)*Allocations!F7)*1000000</f>
        <v>4007007.5782409525</v>
      </c>
    </row>
    <row r="10" spans="1:14" ht="15" x14ac:dyDescent="0.25">
      <c r="B10" s="10" t="s">
        <v>29</v>
      </c>
      <c r="C10" s="15">
        <f>SUM(C4:C9)</f>
        <v>25512093.045932736</v>
      </c>
      <c r="D10" s="15">
        <f>SUM(D4:D9)</f>
        <v>26948645.715774052</v>
      </c>
      <c r="E10" s="15">
        <f>SUM(E4:E9)</f>
        <v>28465167.030715518</v>
      </c>
      <c r="F10" s="15">
        <f>SUM(F4:F9)</f>
        <v>30067029.810416594</v>
      </c>
      <c r="G10" s="15">
        <f>SUM(G4:G9)</f>
        <v>31759036.602349281</v>
      </c>
      <c r="I10" s="1" t="s">
        <v>55</v>
      </c>
    </row>
    <row r="11" spans="1:14" x14ac:dyDescent="0.2">
      <c r="I11" s="1" t="s">
        <v>56</v>
      </c>
    </row>
    <row r="12" spans="1:14" ht="15" x14ac:dyDescent="0.25">
      <c r="B12" s="2"/>
      <c r="C12" s="4"/>
      <c r="D12" s="4"/>
      <c r="E12" s="4"/>
      <c r="F12" s="4"/>
      <c r="G12" s="4"/>
    </row>
    <row r="13" spans="1:14" x14ac:dyDescent="0.2">
      <c r="C13" s="17"/>
      <c r="D13" s="17"/>
      <c r="E13" s="17"/>
      <c r="F13" s="17"/>
      <c r="G13" s="17"/>
      <c r="I13" s="5" t="s">
        <v>57</v>
      </c>
    </row>
    <row r="14" spans="1:14" ht="15" x14ac:dyDescent="0.25">
      <c r="I14" s="7" t="s">
        <v>58</v>
      </c>
      <c r="J14" s="7" t="s">
        <v>5</v>
      </c>
      <c r="K14" s="7" t="s">
        <v>6</v>
      </c>
      <c r="L14" s="7" t="s">
        <v>7</v>
      </c>
      <c r="M14" s="7" t="s">
        <v>8</v>
      </c>
      <c r="N14" s="7" t="s">
        <v>9</v>
      </c>
    </row>
    <row r="15" spans="1:14" ht="15" x14ac:dyDescent="0.25">
      <c r="I15" s="8" t="s">
        <v>59</v>
      </c>
      <c r="J15" s="16">
        <v>6039</v>
      </c>
      <c r="K15" s="16">
        <v>12261</v>
      </c>
      <c r="L15" s="16">
        <v>9892</v>
      </c>
      <c r="M15" s="16">
        <v>9325</v>
      </c>
      <c r="N15" s="16">
        <v>11929</v>
      </c>
    </row>
    <row r="16" spans="1:14" ht="15" x14ac:dyDescent="0.25">
      <c r="I16" s="8" t="s">
        <v>60</v>
      </c>
      <c r="J16" s="12">
        <f>$J$8</f>
        <v>190.9627370875443</v>
      </c>
      <c r="K16" s="12">
        <f>J16*(1+CPI!C4)</f>
        <v>196.40460647478812</v>
      </c>
      <c r="L16" s="12">
        <f>K16*(1+CPI!D4)</f>
        <v>202.00155293559865</v>
      </c>
      <c r="M16" s="12">
        <f>L16*(1+CPI!E4)</f>
        <v>207.75799570480763</v>
      </c>
      <c r="N16" s="12">
        <f>M16*(1+CPI!F4)</f>
        <v>213.67847995228058</v>
      </c>
    </row>
    <row r="17" spans="9:16" ht="15" x14ac:dyDescent="0.25">
      <c r="I17" s="8" t="s">
        <v>61</v>
      </c>
      <c r="J17" s="11">
        <f>J15*J16</f>
        <v>1153223.9692716801</v>
      </c>
      <c r="K17" s="11">
        <f>K15*K16</f>
        <v>2408116.8799873772</v>
      </c>
      <c r="L17" s="11">
        <f>L15*L16</f>
        <v>1998199.3616389418</v>
      </c>
      <c r="M17" s="11">
        <f>M15*M16</f>
        <v>1937343.3099473312</v>
      </c>
      <c r="N17" s="11">
        <f>N15*N16</f>
        <v>2548970.587350755</v>
      </c>
    </row>
    <row r="19" spans="9:16" x14ac:dyDescent="0.2">
      <c r="I19" s="5" t="s">
        <v>62</v>
      </c>
    </row>
    <row r="20" spans="9:16" ht="15" x14ac:dyDescent="0.25">
      <c r="I20" s="7" t="s">
        <v>41</v>
      </c>
      <c r="J20" s="7" t="s">
        <v>63</v>
      </c>
      <c r="K20" s="7" t="s">
        <v>42</v>
      </c>
      <c r="L20" s="7" t="s">
        <v>5</v>
      </c>
      <c r="M20" s="7" t="s">
        <v>6</v>
      </c>
      <c r="N20" s="7" t="s">
        <v>7</v>
      </c>
      <c r="O20" s="7" t="s">
        <v>8</v>
      </c>
      <c r="P20" s="7" t="s">
        <v>9</v>
      </c>
    </row>
    <row r="21" spans="9:16" ht="15" x14ac:dyDescent="0.25">
      <c r="I21" s="8" t="s">
        <v>44</v>
      </c>
      <c r="J21" s="8" t="s">
        <v>64</v>
      </c>
      <c r="K21" s="8" t="s">
        <v>45</v>
      </c>
      <c r="L21" s="11">
        <f>C4</f>
        <v>5469889.9525305554</v>
      </c>
      <c r="M21" s="11">
        <f>D4</f>
        <v>3900280.2209802298</v>
      </c>
      <c r="N21" s="11">
        <f>E4</f>
        <v>2641752.2036649748</v>
      </c>
      <c r="O21" s="11">
        <f>F4</f>
        <v>1471777.5778430467</v>
      </c>
      <c r="P21" s="11">
        <f>G4</f>
        <v>0</v>
      </c>
    </row>
    <row r="22" spans="9:16" ht="15" x14ac:dyDescent="0.25">
      <c r="I22" s="8" t="s">
        <v>44</v>
      </c>
      <c r="J22" s="8" t="s">
        <v>10</v>
      </c>
      <c r="K22" s="8" t="s">
        <v>48</v>
      </c>
      <c r="L22" s="11">
        <f>C5-J17</f>
        <v>10649705.403266713</v>
      </c>
      <c r="M22" s="11">
        <f>D5-K17</f>
        <v>9307804.2072147522</v>
      </c>
      <c r="N22" s="11">
        <f>E5-L17</f>
        <v>9633125.5533068068</v>
      </c>
      <c r="O22" s="11">
        <f>F5-M17</f>
        <v>9594230.0698390286</v>
      </c>
      <c r="P22" s="11">
        <f>G5-N17</f>
        <v>8854879.509802904</v>
      </c>
    </row>
    <row r="23" spans="9:16" ht="15" x14ac:dyDescent="0.25">
      <c r="I23" s="8" t="s">
        <v>44</v>
      </c>
      <c r="J23" s="8" t="s">
        <v>65</v>
      </c>
      <c r="K23" s="8" t="s">
        <v>50</v>
      </c>
      <c r="L23" s="11">
        <f t="shared" ref="L23:P24" si="0">C6</f>
        <v>0</v>
      </c>
      <c r="M23" s="11">
        <f t="shared" si="0"/>
        <v>0</v>
      </c>
      <c r="N23" s="11">
        <f t="shared" si="0"/>
        <v>0</v>
      </c>
      <c r="O23" s="11">
        <f t="shared" si="0"/>
        <v>0</v>
      </c>
      <c r="P23" s="11">
        <f t="shared" si="0"/>
        <v>0</v>
      </c>
    </row>
    <row r="24" spans="9:16" ht="15" x14ac:dyDescent="0.25">
      <c r="I24" s="8" t="s">
        <v>26</v>
      </c>
      <c r="J24" s="8" t="s">
        <v>66</v>
      </c>
      <c r="K24" s="8" t="s">
        <v>45</v>
      </c>
      <c r="L24" s="11">
        <f t="shared" si="0"/>
        <v>5628023.866771156</v>
      </c>
      <c r="M24" s="11">
        <f t="shared" si="0"/>
        <v>7142253.8562196903</v>
      </c>
      <c r="N24" s="11">
        <f t="shared" si="0"/>
        <v>8333149.4132570578</v>
      </c>
      <c r="O24" s="11">
        <f t="shared" si="0"/>
        <v>9436712.4940753598</v>
      </c>
      <c r="P24" s="11">
        <f t="shared" si="0"/>
        <v>10865316.641931003</v>
      </c>
    </row>
    <row r="25" spans="9:16" ht="15" x14ac:dyDescent="0.25">
      <c r="I25" s="8" t="s">
        <v>26</v>
      </c>
      <c r="J25" s="8" t="s">
        <v>10</v>
      </c>
      <c r="K25" s="8" t="s">
        <v>48</v>
      </c>
      <c r="L25" s="11">
        <f>C8+J17</f>
        <v>3764473.8233643109</v>
      </c>
      <c r="M25" s="11">
        <f>D8+K17</f>
        <v>4829111.4773377441</v>
      </c>
      <c r="N25" s="11">
        <f>E8+L17</f>
        <v>5383121.6496077441</v>
      </c>
      <c r="O25" s="11">
        <f>F8+M17</f>
        <v>6343877.4670097744</v>
      </c>
      <c r="P25" s="11">
        <f>G8+N17</f>
        <v>8031832.8723744219</v>
      </c>
    </row>
    <row r="26" spans="9:16" ht="15" x14ac:dyDescent="0.25">
      <c r="I26" s="8" t="s">
        <v>26</v>
      </c>
      <c r="J26" s="8" t="s">
        <v>11</v>
      </c>
      <c r="K26" s="8" t="s">
        <v>54</v>
      </c>
      <c r="L26" s="11">
        <f>C9</f>
        <v>0</v>
      </c>
      <c r="M26" s="11">
        <f>D9</f>
        <v>1769195.9540216369</v>
      </c>
      <c r="N26" s="11">
        <f>E9</f>
        <v>2474018.2108789361</v>
      </c>
      <c r="O26" s="11">
        <f>F9</f>
        <v>3220432.2016493888</v>
      </c>
      <c r="P26" s="11">
        <f>G9</f>
        <v>4007007.5782409525</v>
      </c>
    </row>
    <row r="27" spans="9:16" ht="15" x14ac:dyDescent="0.25">
      <c r="I27" s="8"/>
      <c r="J27" s="8"/>
      <c r="K27" s="10" t="s">
        <v>29</v>
      </c>
      <c r="L27" s="15">
        <f>SUM(L21:L26)</f>
        <v>25512093.045932733</v>
      </c>
      <c r="M27" s="15">
        <f>SUM(M21:M26)</f>
        <v>26948645.715774052</v>
      </c>
      <c r="N27" s="15">
        <f>SUM(N21:N26)</f>
        <v>28465167.030715518</v>
      </c>
      <c r="O27" s="15">
        <f>SUM(O21:O26)</f>
        <v>30067029.810416602</v>
      </c>
      <c r="P27" s="15">
        <f>SUM(P21:P26)</f>
        <v>31759036.602349281</v>
      </c>
    </row>
    <row r="54" spans="3:3" x14ac:dyDescent="0.2">
      <c r="C54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63D7-2F1E-476C-AA83-9A742D0B7D77}">
  <dimension ref="A1:G20"/>
  <sheetViews>
    <sheetView workbookViewId="0">
      <selection activeCell="B5" sqref="B5"/>
    </sheetView>
  </sheetViews>
  <sheetFormatPr defaultRowHeight="15" x14ac:dyDescent="0.25"/>
  <cols>
    <col min="1" max="1" width="17.140625" customWidth="1"/>
  </cols>
  <sheetData>
    <row r="1" spans="1:7" x14ac:dyDescent="0.25">
      <c r="A1" s="6" t="s">
        <v>42</v>
      </c>
    </row>
    <row r="2" spans="1:7" ht="3.6" customHeight="1" x14ac:dyDescent="0.25"/>
    <row r="3" spans="1:7" x14ac:dyDescent="0.25">
      <c r="A3" s="6" t="s">
        <v>25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18" t="s">
        <v>29</v>
      </c>
    </row>
    <row r="4" spans="1:7" x14ac:dyDescent="0.25">
      <c r="A4" t="s">
        <v>67</v>
      </c>
      <c r="B4" s="19">
        <f>'PTRM output'!I19</f>
        <v>5.7093000588927207</v>
      </c>
      <c r="C4" s="19">
        <f>'PTRM output'!J19</f>
        <v>5.3668221143257924</v>
      </c>
      <c r="D4" s="19">
        <f>'PTRM output'!K19</f>
        <v>5.0137745351753917</v>
      </c>
      <c r="E4" s="19">
        <f>'PTRM output'!L19</f>
        <v>4.6462763191837837</v>
      </c>
      <c r="F4" s="19">
        <f>'PTRM output'!M19</f>
        <v>4.2324995383945963</v>
      </c>
      <c r="G4" s="20">
        <f>SUM(B4:F4)</f>
        <v>24.968672565972284</v>
      </c>
    </row>
    <row r="5" spans="1:7" x14ac:dyDescent="0.25">
      <c r="A5" t="s">
        <v>22</v>
      </c>
      <c r="B5" s="19">
        <f>'PTRM output'!Q11</f>
        <v>6.093629313645673</v>
      </c>
      <c r="C5" s="19">
        <f>'PTRM output'!R11</f>
        <v>6.3490989728763374</v>
      </c>
      <c r="D5" s="19">
        <f>'PTRM output'!S11</f>
        <v>6.6175503797703561</v>
      </c>
      <c r="E5" s="19">
        <f>'PTRM output'!T11</f>
        <v>6.885297060602575</v>
      </c>
      <c r="F5" s="19">
        <f>'PTRM output'!U11</f>
        <v>7.1713505587590607</v>
      </c>
      <c r="G5" s="20">
        <f t="shared" ref="G5:G7" si="0">SUM(B5:F5)</f>
        <v>33.116926285654003</v>
      </c>
    </row>
    <row r="6" spans="1:7" x14ac:dyDescent="0.25">
      <c r="A6" t="s">
        <v>27</v>
      </c>
      <c r="B6" s="21">
        <f>'PTRM output'!X19</f>
        <v>5.4698899525305551</v>
      </c>
      <c r="C6" s="21">
        <f>'PTRM output'!Y19</f>
        <v>3.9002802209802296</v>
      </c>
      <c r="D6" s="21">
        <f>'PTRM output'!Z19</f>
        <v>2.641752203664975</v>
      </c>
      <c r="E6" s="21">
        <f>'PTRM output'!AA19</f>
        <v>1.4717775778430469</v>
      </c>
      <c r="F6" s="21">
        <f>'PTRM output'!AB19</f>
        <v>0</v>
      </c>
      <c r="G6" s="22">
        <f t="shared" si="0"/>
        <v>13.483699955018807</v>
      </c>
    </row>
    <row r="7" spans="1:7" x14ac:dyDescent="0.25">
      <c r="A7" s="6" t="s">
        <v>29</v>
      </c>
      <c r="B7" s="20">
        <f>SUM(B4:B6)</f>
        <v>17.272819325068948</v>
      </c>
      <c r="C7" s="20">
        <f t="shared" ref="C7:F7" si="1">SUM(C4:C6)</f>
        <v>15.61620130818236</v>
      </c>
      <c r="D7" s="20">
        <f t="shared" si="1"/>
        <v>14.273077118610722</v>
      </c>
      <c r="E7" s="20">
        <f t="shared" si="1"/>
        <v>13.003350957629406</v>
      </c>
      <c r="F7" s="20">
        <f t="shared" si="1"/>
        <v>11.403850097153658</v>
      </c>
      <c r="G7" s="20">
        <f t="shared" si="0"/>
        <v>71.569298806645094</v>
      </c>
    </row>
    <row r="9" spans="1:7" x14ac:dyDescent="0.25">
      <c r="A9" s="6" t="s">
        <v>26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18" t="s">
        <v>29</v>
      </c>
    </row>
    <row r="10" spans="1:7" x14ac:dyDescent="0.25">
      <c r="A10" t="s">
        <v>67</v>
      </c>
      <c r="B10" s="19">
        <f>'PTRM output'!I20</f>
        <v>1.3952087734949641</v>
      </c>
      <c r="C10" s="19">
        <f>'PTRM output'!J20</f>
        <v>2.3298018450062061</v>
      </c>
      <c r="D10" s="19">
        <f>'PTRM output'!K20</f>
        <v>3.2964776477543891</v>
      </c>
      <c r="E10" s="19">
        <f>'PTRM output'!L20</f>
        <v>4.3071875794634682</v>
      </c>
      <c r="F10" s="19">
        <f>'PTRM output'!M20</f>
        <v>5.3452085448541409</v>
      </c>
      <c r="G10" s="20">
        <f>SUM(B10:F10)</f>
        <v>16.673884390573168</v>
      </c>
    </row>
    <row r="11" spans="1:7" x14ac:dyDescent="0.25">
      <c r="A11" t="s">
        <v>22</v>
      </c>
      <c r="B11" s="19">
        <f>'PTRM output'!Q12</f>
        <v>1.216041080597666</v>
      </c>
      <c r="C11" s="19">
        <f>'PTRM output'!R12</f>
        <v>1.8603887063657969</v>
      </c>
      <c r="D11" s="19">
        <f>'PTRM output'!S12</f>
        <v>2.5624628510933487</v>
      </c>
      <c r="E11" s="19">
        <f>'PTRM output'!T12</f>
        <v>3.3197787792483635</v>
      </c>
      <c r="F11" s="19">
        <f>'PTRM output'!U12</f>
        <v>4.1446613184104795</v>
      </c>
      <c r="G11" s="20">
        <f t="shared" ref="G11:G13" si="2">SUM(B11:F11)</f>
        <v>13.103332735715654</v>
      </c>
    </row>
    <row r="12" spans="1:7" x14ac:dyDescent="0.25">
      <c r="A12" t="s">
        <v>27</v>
      </c>
      <c r="B12" s="21">
        <f>'PTRM output'!X20</f>
        <v>5.628023866771156</v>
      </c>
      <c r="C12" s="21">
        <f>'PTRM output'!Y20</f>
        <v>7.14225385621969</v>
      </c>
      <c r="D12" s="21">
        <f>'PTRM output'!Z20</f>
        <v>8.3331494132570576</v>
      </c>
      <c r="E12" s="21">
        <f>'PTRM output'!AA20</f>
        <v>9.4367124940753602</v>
      </c>
      <c r="F12" s="21">
        <f>'PTRM output'!AB20</f>
        <v>10.865316641931003</v>
      </c>
      <c r="G12" s="22">
        <f t="shared" si="2"/>
        <v>41.405456272254263</v>
      </c>
    </row>
    <row r="13" spans="1:7" x14ac:dyDescent="0.25">
      <c r="A13" s="6" t="s">
        <v>29</v>
      </c>
      <c r="B13" s="20">
        <f>SUM(B10:B12)</f>
        <v>8.2392737208637854</v>
      </c>
      <c r="C13" s="20">
        <f t="shared" ref="C13:F13" si="3">SUM(C10:C12)</f>
        <v>11.332444407591694</v>
      </c>
      <c r="D13" s="20">
        <f t="shared" si="3"/>
        <v>14.192089912104795</v>
      </c>
      <c r="E13" s="20">
        <f t="shared" si="3"/>
        <v>17.063678852787191</v>
      </c>
      <c r="F13" s="20">
        <f t="shared" si="3"/>
        <v>20.355186505195622</v>
      </c>
      <c r="G13" s="20">
        <f t="shared" si="2"/>
        <v>71.182673398543088</v>
      </c>
    </row>
    <row r="15" spans="1:7" x14ac:dyDescent="0.25">
      <c r="A15" s="6" t="s">
        <v>68</v>
      </c>
      <c r="B15" s="7" t="s">
        <v>5</v>
      </c>
      <c r="C15" s="7" t="s">
        <v>6</v>
      </c>
      <c r="D15" s="7" t="s">
        <v>7</v>
      </c>
      <c r="E15" s="7" t="s">
        <v>8</v>
      </c>
      <c r="F15" s="7" t="s">
        <v>9</v>
      </c>
      <c r="G15" s="18" t="s">
        <v>29</v>
      </c>
    </row>
    <row r="16" spans="1:7" x14ac:dyDescent="0.25">
      <c r="A16" t="s">
        <v>67</v>
      </c>
      <c r="B16" s="19">
        <f>B4+B10</f>
        <v>7.104508832387685</v>
      </c>
      <c r="C16" s="19">
        <f t="shared" ref="C16:F16" si="4">C4+C10</f>
        <v>7.6966239593319985</v>
      </c>
      <c r="D16" s="19">
        <f t="shared" si="4"/>
        <v>8.31025218292978</v>
      </c>
      <c r="E16" s="19">
        <f t="shared" si="4"/>
        <v>8.9534638986472519</v>
      </c>
      <c r="F16" s="19">
        <f t="shared" si="4"/>
        <v>9.5777080832487371</v>
      </c>
      <c r="G16" s="20">
        <f t="shared" ref="G16:G18" si="5">SUM(B16:F16)</f>
        <v>41.642556956545455</v>
      </c>
    </row>
    <row r="17" spans="1:7" x14ac:dyDescent="0.25">
      <c r="A17" t="s">
        <v>22</v>
      </c>
      <c r="B17" s="19">
        <f t="shared" ref="B17:F18" si="6">B5+B11</f>
        <v>7.309670394243339</v>
      </c>
      <c r="C17" s="19">
        <f t="shared" si="6"/>
        <v>8.2094876792421339</v>
      </c>
      <c r="D17" s="19">
        <f t="shared" si="6"/>
        <v>9.1800132308637039</v>
      </c>
      <c r="E17" s="19">
        <f t="shared" si="6"/>
        <v>10.205075839850938</v>
      </c>
      <c r="F17" s="19">
        <f t="shared" si="6"/>
        <v>11.31601187716954</v>
      </c>
      <c r="G17" s="20">
        <f t="shared" si="5"/>
        <v>46.220259021369657</v>
      </c>
    </row>
    <row r="18" spans="1:7" x14ac:dyDescent="0.25">
      <c r="A18" t="s">
        <v>27</v>
      </c>
      <c r="B18" s="21">
        <f t="shared" si="6"/>
        <v>11.097913819301711</v>
      </c>
      <c r="C18" s="21">
        <f t="shared" si="6"/>
        <v>11.042534077199919</v>
      </c>
      <c r="D18" s="21">
        <f t="shared" si="6"/>
        <v>10.974901616922033</v>
      </c>
      <c r="E18" s="21">
        <f t="shared" si="6"/>
        <v>10.908490071918408</v>
      </c>
      <c r="F18" s="21">
        <f t="shared" si="6"/>
        <v>10.865316641931003</v>
      </c>
      <c r="G18" s="22">
        <f t="shared" si="5"/>
        <v>54.889156227273077</v>
      </c>
    </row>
    <row r="19" spans="1:7" x14ac:dyDescent="0.25">
      <c r="A19" t="s">
        <v>69</v>
      </c>
      <c r="B19" s="20">
        <f>B7+B13</f>
        <v>25.512093045932733</v>
      </c>
      <c r="C19" s="20">
        <f>C7+C13</f>
        <v>26.948645715774056</v>
      </c>
      <c r="D19" s="20">
        <f>D7+D13</f>
        <v>28.465167030715516</v>
      </c>
      <c r="E19" s="20">
        <f>E7+E13</f>
        <v>30.067029810416599</v>
      </c>
      <c r="F19" s="20">
        <f>F7+F13</f>
        <v>31.75903660234928</v>
      </c>
      <c r="G19" s="20">
        <f>SUM(B19:F19)</f>
        <v>142.7519722051882</v>
      </c>
    </row>
    <row r="20" spans="1:7" x14ac:dyDescent="0.25">
      <c r="A20" t="s">
        <v>70</v>
      </c>
      <c r="B20" s="19">
        <f>'PTRM output'!B23-B19</f>
        <v>8.2613457530911205E-4</v>
      </c>
      <c r="C20" s="19">
        <f>'PTRM output'!C23-C19</f>
        <v>0</v>
      </c>
      <c r="D20" s="19">
        <f>'PTRM output'!D23-D19</f>
        <v>0</v>
      </c>
      <c r="E20" s="19">
        <f>'PTRM output'!E23-E19</f>
        <v>0</v>
      </c>
      <c r="F20" s="19">
        <f>'PTRM output'!F23-F19</f>
        <v>0</v>
      </c>
      <c r="G20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d52f38f-e937-469e-a1cb-de3c14d9137a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979CCA031164CADFB80A7AC026AF7" ma:contentTypeVersion="8" ma:contentTypeDescription="Create a new document." ma:contentTypeScope="" ma:versionID="5a0e0b6b3a85040de2e704c2bb4268ee">
  <xsd:schema xmlns:xsd="http://www.w3.org/2001/XMLSchema" xmlns:xs="http://www.w3.org/2001/XMLSchema" xmlns:p="http://schemas.microsoft.com/office/2006/metadata/properties" xmlns:ns1="http://schemas.microsoft.com/sharepoint/v3" xmlns:ns2="8fbb721e-7ee4-4af3-bfa6-e44b5ef607c4" xmlns:ns3="0d52f38f-e937-469e-a1cb-de3c14d9137a" targetNamespace="http://schemas.microsoft.com/office/2006/metadata/properties" ma:root="true" ma:fieldsID="bfb2736b3e7eff9043e7cbaa5560e356" ns1:_="" ns2:_="" ns3:_="">
    <xsd:import namespace="http://schemas.microsoft.com/sharepoint/v3"/>
    <xsd:import namespace="8fbb721e-7ee4-4af3-bfa6-e44b5ef607c4"/>
    <xsd:import namespace="0d52f38f-e937-469e-a1cb-de3c14d91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b721e-7ee4-4af3-bfa6-e44b5ef60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2f38f-e937-469e-a1cb-de3c14d91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299634-0A23-4942-997B-C81181A45A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D8E39D-EF9D-4424-AB9C-994D7DAB23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899cc32-20e8-4d92-a4bd-00ba1ad89a4c"/>
    <ds:schemaRef ds:uri="http://purl.org/dc/terms/"/>
    <ds:schemaRef ds:uri="98beadd9-3b57-4f6c-bca4-2576e1882838"/>
    <ds:schemaRef ds:uri="http://www.w3.org/XML/1998/namespace"/>
    <ds:schemaRef ds:uri="http://purl.org/dc/dcmitype/"/>
    <ds:schemaRef ds:uri="0d52f38f-e937-469e-a1cb-de3c14d9137a"/>
  </ds:schemaRefs>
</ds:datastoreItem>
</file>

<file path=customXml/itemProps3.xml><?xml version="1.0" encoding="utf-8"?>
<ds:datastoreItem xmlns:ds="http://schemas.openxmlformats.org/officeDocument/2006/customXml" ds:itemID="{D117C5BB-3E35-46A8-BCF2-4908B366E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bb721e-7ee4-4af3-bfa6-e44b5ef607c4"/>
    <ds:schemaRef ds:uri="0d52f38f-e937-469e-a1cb-de3c14d91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Draft Decision changes</vt:lpstr>
      <vt:lpstr>Purpose</vt:lpstr>
      <vt:lpstr>Allocations</vt:lpstr>
      <vt:lpstr>CPI</vt:lpstr>
      <vt:lpstr>PTRM output</vt:lpstr>
      <vt:lpstr>Pricing Input</vt:lpstr>
      <vt:lpstr>Table for reg proposals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pl078</dc:creator>
  <cp:keywords/>
  <dc:description/>
  <cp:lastModifiedBy>Edward Nguyen</cp:lastModifiedBy>
  <cp:revision/>
  <dcterms:created xsi:type="dcterms:W3CDTF">2023-08-09T22:11:21Z</dcterms:created>
  <dcterms:modified xsi:type="dcterms:W3CDTF">2024-09-05T00:38:14Z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0x010100752979CCA031164CADFB80A7AC026AF7</vt:lpwstr>
  </property>
  <property fmtid="{D5CDD505-2E9C-101B-9397-08002B2CF9AE}" pid="3" name="MediaServiceImageTags">
    <vt:lpwstr/>
  </property>
  <property fmtid="{D5CDD505-2E9C-101B-9397-08002B2CF9AE}" pid="4" name="Order">
    <vt:r8>18700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SIP_Label_d9d5a995-dfdf-4407-9a97-edbbc68c9f53_Enabled">
    <vt:lpwstr>true</vt:lpwstr>
  </property>
  <property fmtid="{D5CDD505-2E9C-101B-9397-08002B2CF9AE}" pid="12" name="MSIP_Label_d9d5a995-dfdf-4407-9a97-edbbc68c9f53_SetDate">
    <vt:lpwstr>2024-08-08T02:51:14Z</vt:lpwstr>
  </property>
  <property fmtid="{D5CDD505-2E9C-101B-9397-08002B2CF9AE}" pid="13" name="MSIP_Label_d9d5a995-dfdf-4407-9a97-edbbc68c9f53_Method">
    <vt:lpwstr>Privileged</vt:lpwstr>
  </property>
  <property fmtid="{D5CDD505-2E9C-101B-9397-08002B2CF9AE}" pid="14" name="MSIP_Label_d9d5a995-dfdf-4407-9a97-edbbc68c9f53_Name">
    <vt:lpwstr>OFFICIAL</vt:lpwstr>
  </property>
  <property fmtid="{D5CDD505-2E9C-101B-9397-08002B2CF9AE}" pid="15" name="MSIP_Label_d9d5a995-dfdf-4407-9a97-edbbc68c9f53_SiteId">
    <vt:lpwstr>b33e9e1a-e443-4edd-9789-24bed26d38d6</vt:lpwstr>
  </property>
  <property fmtid="{D5CDD505-2E9C-101B-9397-08002B2CF9AE}" pid="16" name="MSIP_Label_d9d5a995-dfdf-4407-9a97-edbbc68c9f53_ActionId">
    <vt:lpwstr>d617dd14-aaad-4c0d-88a2-d5248d747f47</vt:lpwstr>
  </property>
  <property fmtid="{D5CDD505-2E9C-101B-9397-08002B2CF9AE}" pid="17" name="MSIP_Label_d9d5a995-dfdf-4407-9a97-edbbc68c9f53_ContentBits">
    <vt:lpwstr>0</vt:lpwstr>
  </property>
</Properties>
</file>