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24226"/>
  <xr:revisionPtr revIDLastSave="0" documentId="13_ncr:1_{83429522-ED0B-4746-A383-80380D77FF2A}" xr6:coauthVersionLast="47" xr6:coauthVersionMax="47" xr10:uidLastSave="{00000000-0000-0000-0000-000000000000}"/>
  <bookViews>
    <workbookView xWindow="-120" yWindow="-120" windowWidth="29040" windowHeight="15840" tabRatio="839" xr2:uid="{00000000-000D-0000-FFFF-FFFF00000000}"/>
  </bookViews>
  <sheets>
    <sheet name="Index" sheetId="5" r:id="rId1"/>
    <sheet name="Input | General" sheetId="2" r:id="rId2"/>
    <sheet name="Input | Inflation and Disc Rate" sheetId="13" r:id="rId3"/>
    <sheet name="Input | Reported Capex" sheetId="3" r:id="rId4"/>
    <sheet name="Calc | CESS Revenue Increments" sheetId="4" r:id="rId5"/>
    <sheet name="Output | Models" sheetId="10" r:id="rId6"/>
  </sheets>
  <definedNames>
    <definedName name="dollars">#REF!</definedName>
    <definedName name="factor">#REF!</definedName>
    <definedName name="millions">#REF!</definedName>
    <definedName name="Nominal_to_Real">#REF!</definedName>
    <definedName name="number">#REF!</definedName>
    <definedName name="percent" localSheetId="5">#REF!</definedName>
    <definedName name="percent">#REF!</definedName>
    <definedName name="thousands">#REF!</definedName>
    <definedName name="unit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13" l="1"/>
  <c r="N9" i="13" s="1"/>
  <c r="O9" i="13" s="1"/>
  <c r="P9" i="13" s="1"/>
  <c r="M14" i="13" l="1"/>
  <c r="G13" i="13" l="1"/>
  <c r="H13" i="13"/>
  <c r="I13" i="13"/>
  <c r="F8" i="3" l="1"/>
  <c r="G22" i="13" l="1"/>
  <c r="L22" i="13" l="1"/>
  <c r="H13" i="2" l="1"/>
  <c r="G13" i="2" s="1"/>
  <c r="F13" i="2" s="1"/>
  <c r="E13" i="2" s="1"/>
  <c r="D13" i="2" s="1"/>
  <c r="D18" i="2"/>
  <c r="E18" i="2" s="1"/>
  <c r="F18" i="2" s="1"/>
  <c r="G18" i="2" s="1"/>
  <c r="H18" i="2" s="1"/>
  <c r="G7" i="13" l="1"/>
  <c r="F7" i="13" s="1"/>
  <c r="F12" i="3" s="1"/>
  <c r="F10" i="3" l="1"/>
  <c r="F9" i="3"/>
  <c r="M7" i="13"/>
  <c r="N7" i="13"/>
  <c r="O7" i="13"/>
  <c r="P7" i="13"/>
  <c r="L7" i="13"/>
  <c r="H7" i="13"/>
  <c r="I7" i="13"/>
  <c r="J7" i="13"/>
  <c r="K7" i="13"/>
  <c r="D41" i="4" l="1"/>
  <c r="E41" i="4" s="1"/>
  <c r="F41" i="4" s="1"/>
  <c r="G41" i="4" s="1"/>
  <c r="H41" i="4" s="1"/>
  <c r="D18" i="4" l="1"/>
  <c r="D8" i="4"/>
  <c r="E7" i="4"/>
  <c r="F7" i="4"/>
  <c r="G7" i="4"/>
  <c r="H7" i="4"/>
  <c r="D7" i="4"/>
  <c r="I6" i="3"/>
  <c r="J6" i="3"/>
  <c r="K6" i="3"/>
  <c r="L6" i="3"/>
  <c r="H6" i="3"/>
  <c r="L19" i="13"/>
  <c r="M19" i="13"/>
  <c r="P19" i="13"/>
  <c r="G19" i="13"/>
  <c r="N19" i="13"/>
  <c r="O19" i="13"/>
  <c r="H19" i="13"/>
  <c r="I19" i="13"/>
  <c r="J19" i="13"/>
  <c r="K19" i="13"/>
  <c r="H16" i="3" l="1"/>
  <c r="I16" i="3"/>
  <c r="L16" i="3"/>
  <c r="K16" i="3"/>
  <c r="J16" i="3"/>
  <c r="D9" i="4" l="1"/>
  <c r="H22" i="13"/>
  <c r="I22" i="13"/>
  <c r="J22" i="13"/>
  <c r="K22" i="13"/>
  <c r="H9" i="4" l="1"/>
  <c r="H8" i="4"/>
  <c r="G19" i="4" l="1"/>
  <c r="D25" i="4"/>
  <c r="D27" i="4" s="1"/>
  <c r="M22" i="13"/>
  <c r="E9" i="4"/>
  <c r="C15" i="13"/>
  <c r="G15" i="13"/>
  <c r="C10" i="13"/>
  <c r="G8" i="4"/>
  <c r="F8" i="4"/>
  <c r="E8" i="4"/>
  <c r="F9" i="4"/>
  <c r="B1" i="2"/>
  <c r="B1" i="10" s="1"/>
  <c r="G9" i="4"/>
  <c r="D40" i="4"/>
  <c r="J6" i="10" s="1"/>
  <c r="F8" i="10" s="1"/>
  <c r="E40" i="4"/>
  <c r="K6" i="10" s="1"/>
  <c r="F40" i="4"/>
  <c r="L6" i="10" s="1"/>
  <c r="G40" i="4"/>
  <c r="M6" i="10" s="1"/>
  <c r="H40" i="4"/>
  <c r="N6" i="10" s="1"/>
  <c r="H24" i="4"/>
  <c r="G24" i="4"/>
  <c r="F24" i="4"/>
  <c r="E24" i="4"/>
  <c r="D24" i="4"/>
  <c r="H27" i="3"/>
  <c r="I27" i="3"/>
  <c r="J27" i="3"/>
  <c r="K27" i="3"/>
  <c r="L27" i="3"/>
  <c r="H15" i="13" l="1"/>
  <c r="C42" i="4"/>
  <c r="C44" i="4"/>
  <c r="G10" i="13"/>
  <c r="H10" i="13" s="1"/>
  <c r="I10" i="13" s="1"/>
  <c r="J10" i="13" s="1"/>
  <c r="K10" i="13" s="1"/>
  <c r="L10" i="13" s="1"/>
  <c r="I30" i="3" s="1"/>
  <c r="F19" i="4"/>
  <c r="E19" i="4" s="1"/>
  <c r="D19" i="4" s="1"/>
  <c r="E25" i="4"/>
  <c r="E27" i="4" s="1"/>
  <c r="N14" i="13"/>
  <c r="N22" i="13" s="1"/>
  <c r="B1" i="5"/>
  <c r="B1" i="3"/>
  <c r="B1" i="13"/>
  <c r="B1" i="4"/>
  <c r="I15" i="13" l="1"/>
  <c r="D21" i="4"/>
  <c r="H30" i="3"/>
  <c r="F25" i="4"/>
  <c r="F27" i="4" s="1"/>
  <c r="M10" i="13"/>
  <c r="N10" i="13" s="1"/>
  <c r="K30" i="3" s="1"/>
  <c r="O14" i="13"/>
  <c r="O22" i="13" s="1"/>
  <c r="J15" i="13" l="1"/>
  <c r="J30" i="3"/>
  <c r="O10" i="13"/>
  <c r="P10" i="13" s="1"/>
  <c r="P14" i="13"/>
  <c r="P22" i="13" s="1"/>
  <c r="G25" i="4"/>
  <c r="G27" i="4" s="1"/>
  <c r="K15" i="13" l="1"/>
  <c r="H25" i="4"/>
  <c r="H27" i="4" s="1"/>
  <c r="L30" i="3"/>
  <c r="L15" i="13" l="1"/>
  <c r="H31" i="3"/>
  <c r="D26" i="4" s="1"/>
  <c r="D28" i="4" s="1"/>
  <c r="M15" i="13" l="1"/>
  <c r="I31" i="3"/>
  <c r="E26" i="4" s="1"/>
  <c r="E28" i="4" s="1"/>
  <c r="N15" i="13" l="1"/>
  <c r="J31" i="3"/>
  <c r="F26" i="4" s="1"/>
  <c r="F28" i="4" s="1"/>
  <c r="K31" i="3" l="1"/>
  <c r="G26" i="4" s="1"/>
  <c r="G28" i="4" s="1"/>
  <c r="O15" i="13"/>
  <c r="P15" i="13" l="1"/>
  <c r="L31" i="3"/>
  <c r="H26" i="4" s="1"/>
  <c r="H28" i="4" s="1"/>
  <c r="I12" i="3" l="1"/>
  <c r="E10" i="4" s="1"/>
  <c r="L12" i="3"/>
  <c r="H10" i="4" s="1"/>
  <c r="K12" i="3"/>
  <c r="G10" i="4" s="1"/>
  <c r="J12" i="3"/>
  <c r="F10" i="4" s="1"/>
  <c r="H12" i="3" l="1"/>
  <c r="D10" i="4" s="1"/>
  <c r="L23" i="3" l="1"/>
  <c r="K23" i="3" l="1"/>
  <c r="H11" i="4"/>
  <c r="H12" i="4" s="1"/>
  <c r="H20" i="4" s="1"/>
  <c r="J23" i="3"/>
  <c r="I23" i="3"/>
  <c r="H23" i="3"/>
  <c r="E11" i="4" l="1"/>
  <c r="E12" i="4" s="1"/>
  <c r="D11" i="4"/>
  <c r="D12" i="4" s="1"/>
  <c r="G11" i="4"/>
  <c r="G12" i="4" s="1"/>
  <c r="F11" i="4"/>
  <c r="F12" i="4" s="1"/>
  <c r="G20" i="4" l="1"/>
  <c r="H16" i="4"/>
  <c r="E13" i="4"/>
  <c r="E18" i="4" s="1"/>
  <c r="E21" i="4" s="1"/>
  <c r="G13" i="4"/>
  <c r="D20" i="4"/>
  <c r="H13" i="4"/>
  <c r="F13" i="4"/>
  <c r="F20" i="4"/>
  <c r="G15" i="4"/>
  <c r="H15" i="4"/>
  <c r="F14" i="4"/>
  <c r="H14" i="4"/>
  <c r="G14" i="4"/>
  <c r="E20" i="4"/>
  <c r="D31" i="4" l="1"/>
  <c r="F18" i="4"/>
  <c r="F21" i="4" s="1"/>
  <c r="G18" i="4"/>
  <c r="G21" i="4" s="1"/>
  <c r="H18" i="4"/>
  <c r="H21" i="4" s="1"/>
  <c r="D35" i="4" l="1"/>
  <c r="D33" i="4"/>
  <c r="D34" i="4"/>
  <c r="D36" i="4" s="1"/>
  <c r="D42" i="4" s="1"/>
  <c r="E42" i="4" s="1"/>
  <c r="J8" i="10" l="1"/>
  <c r="F42" i="4"/>
  <c r="K8" i="10"/>
  <c r="G42" i="4" l="1"/>
  <c r="L8" i="10"/>
  <c r="H42" i="4" l="1"/>
  <c r="M8" i="10"/>
  <c r="N8" i="10" l="1"/>
  <c r="O8" i="10" s="1"/>
  <c r="D44" i="4"/>
</calcChain>
</file>

<file path=xl/sharedStrings.xml><?xml version="1.0" encoding="utf-8"?>
<sst xmlns="http://schemas.openxmlformats.org/spreadsheetml/2006/main" count="202" uniqueCount="108">
  <si>
    <t>Index</t>
  </si>
  <si>
    <t>Model index</t>
  </si>
  <si>
    <t>Sheet Name</t>
  </si>
  <si>
    <t>Sheet Description</t>
  </si>
  <si>
    <t>Input | General</t>
  </si>
  <si>
    <t>Inputs NSP name, regulatory years for the prior and forecast regulatory control period etc.</t>
  </si>
  <si>
    <t>Input | Inflation and Disc Rate</t>
  </si>
  <si>
    <t>Inputs the inflation and discount rate</t>
  </si>
  <si>
    <t>Input | Reported Capex</t>
  </si>
  <si>
    <t>Inputs the reported capital expenditure from the prior regulatory control period as well as the AER's forecast etc.</t>
  </si>
  <si>
    <t>Calc | CESS Revenue Increments</t>
  </si>
  <si>
    <t>Calculates the CESS payments from the prior regulatory control period</t>
  </si>
  <si>
    <t>Output | Models</t>
  </si>
  <si>
    <t>Outputs the CESS revenue increments needed as a post tax revenue model input</t>
  </si>
  <si>
    <t>End</t>
  </si>
  <si>
    <t>Key:</t>
  </si>
  <si>
    <t>Input</t>
  </si>
  <si>
    <t>Internal Link</t>
  </si>
  <si>
    <t>NSP Name</t>
  </si>
  <si>
    <t>Directlink</t>
  </si>
  <si>
    <t>Determination stage</t>
  </si>
  <si>
    <t>Determination years</t>
  </si>
  <si>
    <t>2025-30</t>
  </si>
  <si>
    <t>Base regulatory year</t>
  </si>
  <si>
    <t>2025-26</t>
  </si>
  <si>
    <t>Regulatory control period details</t>
  </si>
  <si>
    <t>Year 1</t>
  </si>
  <si>
    <t>Year 2</t>
  </si>
  <si>
    <t>Year 3</t>
  </si>
  <si>
    <t>Year 4</t>
  </si>
  <si>
    <t>Year 5</t>
  </si>
  <si>
    <t>Regulatory control period CESS applied in (regulatory years)</t>
  </si>
  <si>
    <t>CESS to apply to this year's expenditure (Yes/No)</t>
  </si>
  <si>
    <t>Yes</t>
  </si>
  <si>
    <t>Actual or estimate year</t>
  </si>
  <si>
    <t>Actual</t>
  </si>
  <si>
    <t>Estimate</t>
  </si>
  <si>
    <t>Regulatory control period CESS revenue increment applied in (regulatory years)</t>
  </si>
  <si>
    <t>Input | Inflation and Discount rate</t>
  </si>
  <si>
    <t>Input | Inflation</t>
  </si>
  <si>
    <t>Source</t>
  </si>
  <si>
    <t>Unit</t>
  </si>
  <si>
    <t>Actual CPI Inflation Rate</t>
  </si>
  <si>
    <t>DNSP</t>
  </si>
  <si>
    <t>Per cent</t>
  </si>
  <si>
    <t>Forecast CPI Inflation Rate</t>
  </si>
  <si>
    <t>AER</t>
  </si>
  <si>
    <t>Input | Discount rate</t>
  </si>
  <si>
    <t>Real Vanilla WACC</t>
  </si>
  <si>
    <t>Forecast Real Vanilla WACC</t>
  </si>
  <si>
    <t>Nominal Vanilla WACC (fixed, real, time varying)</t>
  </si>
  <si>
    <t>Calculated</t>
  </si>
  <si>
    <t>Input | Capex</t>
  </si>
  <si>
    <t>Input | Capex Allowance</t>
  </si>
  <si>
    <t>Basis</t>
  </si>
  <si>
    <t>$millions</t>
  </si>
  <si>
    <t>Customer Contributions</t>
  </si>
  <si>
    <t>Asset Disposals</t>
  </si>
  <si>
    <t>Total capex allowance applicable to CESS</t>
  </si>
  <si>
    <t>Input | Actual / Estimate Capex</t>
  </si>
  <si>
    <t>nominal</t>
  </si>
  <si>
    <t>Other excludable capex</t>
  </si>
  <si>
    <t>Total actual capex applicable to CESS</t>
  </si>
  <si>
    <t>Input | Capex Deferred to following regulatory period</t>
  </si>
  <si>
    <t>Capex deferred and re-proposed</t>
  </si>
  <si>
    <t>$ nominal, mid year</t>
  </si>
  <si>
    <t>$ real, Jun 2019</t>
  </si>
  <si>
    <t>Total</t>
  </si>
  <si>
    <t>Input | CESS Payments</t>
  </si>
  <si>
    <t>Calc | NPV of CESS payments</t>
  </si>
  <si>
    <t>Regulatory period 1 $nominal, end of year</t>
  </si>
  <si>
    <t>Year</t>
  </si>
  <si>
    <t>Discount rate (Real WACC)</t>
  </si>
  <si>
    <t>Discount rate (Nominal, fixed real WACC)</t>
  </si>
  <si>
    <t>Capex allowance</t>
  </si>
  <si>
    <t>Actual capex</t>
  </si>
  <si>
    <t>Underspend</t>
  </si>
  <si>
    <t>Year 1 benefit</t>
  </si>
  <si>
    <t>Year 2 benefit</t>
  </si>
  <si>
    <t>Year 3 benefit</t>
  </si>
  <si>
    <t>Year 4 benefit</t>
  </si>
  <si>
    <t>Year 5 benefit</t>
  </si>
  <si>
    <t>Total financing benefit</t>
  </si>
  <si>
    <t>Discount factor (end of year)</t>
  </si>
  <si>
    <t>NPV underspend</t>
  </si>
  <si>
    <t>NPV financing benefit</t>
  </si>
  <si>
    <t>Regulatory period 2</t>
  </si>
  <si>
    <t>Discount rate:</t>
  </si>
  <si>
    <t>Increase in forecast capex in regulatory period 2 attributable to capex deferred in regulatory period 1</t>
  </si>
  <si>
    <t>Discount factor (middle of year 5)</t>
  </si>
  <si>
    <t>NPV of increase in forecast capex from deferred capex</t>
  </si>
  <si>
    <t>CESS calculation (post-adjustment)</t>
  </si>
  <si>
    <t>Total underspend (NPV) adjusted for deferrals</t>
  </si>
  <si>
    <t>Consumer share</t>
  </si>
  <si>
    <t>NSP share</t>
  </si>
  <si>
    <t>Total NSP financing benefit (NPV)</t>
  </si>
  <si>
    <t>NPV of CESS payments (post-adjustment)</t>
  </si>
  <si>
    <t>Calc | Total CESS Payments</t>
  </si>
  <si>
    <t>Discount factor</t>
  </si>
  <si>
    <t>Inputs for Post Tax Revenue Model</t>
  </si>
  <si>
    <t>Note. The dollar base should be consistent with the post tax revenue model</t>
  </si>
  <si>
    <t>Revenue Adjustments</t>
  </si>
  <si>
    <t>CESS increments as per NER 6A.5.4(a)(5)</t>
  </si>
  <si>
    <t>Draft Decision</t>
  </si>
  <si>
    <t>Total capex allowance</t>
  </si>
  <si>
    <t>Total capex</t>
  </si>
  <si>
    <t>Relevant sharing ratio</t>
  </si>
  <si>
    <t>AER Draft Decision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</si>
</sst>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$&quot;#,##0.00"/>
    <numFmt numFmtId="169" formatCode="_-* #,##0_-;\-* #,##0_-;_-* &quot;-&quot;??_-;_-@_-"/>
    <numFmt numFmtId="170" formatCode="_-* #,##0.00_-;[Red]\(#,##0.00\)_-;_-* &quot;-&quot;??_-;_-@_-"/>
    <numFmt numFmtId="171" formatCode="_(#,##0_);\(#,##0\);_(&quot;-&quot;_)"/>
    <numFmt numFmtId="172" formatCode="&quot;Warning&quot;;&quot;Warning&quot;;&quot;OK&quot;"/>
    <numFmt numFmtId="173" formatCode="mm/dd/yy"/>
    <numFmt numFmtId="174" formatCode="_([$€-2]* #,##0.00_);_([$€-2]* \(#,##0.00\);_([$€-2]* &quot;-&quot;??_)"/>
    <numFmt numFmtId="175" formatCode="0_);[Red]\(0\)"/>
    <numFmt numFmtId="176" formatCode="0.0%"/>
    <numFmt numFmtId="177" formatCode="dd/mmm"/>
    <numFmt numFmtId="178" formatCode="_(* #,##0_);_(* \(#,##0\);_(* &quot;-&quot;?_);_(@_)"/>
    <numFmt numFmtId="179" formatCode="#,##0.0_);\(#,##0.0\)"/>
    <numFmt numFmtId="180" formatCode="#,##0_ ;\-#,##0\ "/>
    <numFmt numFmtId="181" formatCode="#,##0;[Red]\(#,##0.0\)"/>
    <numFmt numFmtId="182" formatCode="#,##0_ ;[Red]\(#,##0\)\ "/>
    <numFmt numFmtId="183" formatCode="#,##0.00;\(#,##0.00\)"/>
    <numFmt numFmtId="184" formatCode="_)d\-mmm\-yy_)"/>
    <numFmt numFmtId="185" formatCode="_(#,##0.0_);\(#,##0.0\);_(&quot;-&quot;_)"/>
    <numFmt numFmtId="186" formatCode="_(###0_);\(###0\);_(###0_)"/>
    <numFmt numFmtId="187" formatCode="#,##0.0000_);[Red]\(#,##0.0000\)"/>
    <numFmt numFmtId="188" formatCode="_(#\ ##0.00_);\(#\ ##0.00\);_(&quot;-&quot;_)"/>
    <numFmt numFmtId="189" formatCode="0.000"/>
    <numFmt numFmtId="190" formatCode="_(* #,##0.0_);_(* \(#,##0.0\);_(* &quot;-&quot;?_);_(@_)"/>
    <numFmt numFmtId="191" formatCode="_-* #,##0.00000_-;\-* #,##0.00000_-;_-* &quot;-&quot;??_-;_-@_-"/>
    <numFmt numFmtId="192" formatCode="_(#######\ ##0.00_);\(#######\ ##0.00\);_(&quot;-&quot;_)"/>
  </numFmts>
  <fonts count="105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color rgb="FF31869B"/>
      <name val="Amasis MT Pro"/>
      <family val="1"/>
    </font>
  </fonts>
  <fills count="5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</fills>
  <borders count="4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92CDDC"/>
      </left>
      <right style="thin">
        <color rgb="FF92CDDC"/>
      </right>
      <top style="thick">
        <color rgb="FF92CDDC"/>
      </top>
      <bottom style="thin">
        <color rgb="FF92CDDC"/>
      </bottom>
      <diagonal/>
    </border>
    <border>
      <left style="thick">
        <color rgb="FF92CDDC"/>
      </left>
      <right style="thin">
        <color rgb="FF92CDDC"/>
      </right>
      <top style="thin">
        <color rgb="FF92CDDC"/>
      </top>
      <bottom style="thin">
        <color rgb="FF92CDDC"/>
      </bottom>
      <diagonal/>
    </border>
  </borders>
  <cellStyleXfs count="342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0" fontId="23" fillId="0" borderId="0"/>
    <xf numFmtId="170" fontId="23" fillId="0" borderId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5" fillId="18" borderId="0" applyNumberFormat="0" applyBorder="0" applyAlignment="0" applyProtection="0"/>
    <xf numFmtId="0" fontId="25" fillId="22" borderId="0" applyNumberFormat="0" applyBorder="0" applyAlignment="0" applyProtection="0"/>
    <xf numFmtId="0" fontId="24" fillId="14" borderId="0" applyNumberFormat="0" applyBorder="0" applyAlignment="0" applyProtection="0"/>
    <xf numFmtId="0" fontId="24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6" fillId="0" borderId="0"/>
    <xf numFmtId="171" fontId="23" fillId="0" borderId="8">
      <alignment horizontal="right" vertical="center"/>
      <protection locked="0"/>
    </xf>
    <xf numFmtId="164" fontId="27" fillId="0" borderId="0" applyFont="0" applyFill="0" applyBorder="0" applyAlignment="0" applyProtection="0"/>
    <xf numFmtId="0" fontId="28" fillId="27" borderId="0" applyNumberFormat="0" applyBorder="0" applyAlignment="0" applyProtection="0"/>
    <xf numFmtId="0" fontId="29" fillId="0" borderId="0" applyNumberFormat="0" applyFill="0" applyBorder="0" applyAlignment="0"/>
    <xf numFmtId="165" fontId="22" fillId="28" borderId="0" applyNumberFormat="0" applyFont="0" applyBorder="0" applyAlignment="0">
      <alignment horizontal="right"/>
    </xf>
    <xf numFmtId="165" fontId="22" fillId="28" borderId="0" applyNumberFormat="0" applyFont="0" applyBorder="0" applyAlignment="0">
      <alignment horizontal="right"/>
    </xf>
    <xf numFmtId="0" fontId="30" fillId="0" borderId="0" applyNumberFormat="0" applyFill="0" applyBorder="0" applyAlignment="0">
      <protection locked="0"/>
    </xf>
    <xf numFmtId="0" fontId="31" fillId="29" borderId="0"/>
    <xf numFmtId="0" fontId="32" fillId="11" borderId="9" applyNumberFormat="0" applyAlignment="0" applyProtection="0"/>
    <xf numFmtId="172" fontId="33" fillId="0" borderId="10">
      <alignment horizontal="center"/>
    </xf>
    <xf numFmtId="0" fontId="34" fillId="30" borderId="11" applyNumberFormat="0" applyAlignment="0" applyProtection="0"/>
    <xf numFmtId="0" fontId="35" fillId="31" borderId="6">
      <alignment horizontal="center" vertical="center"/>
    </xf>
    <xf numFmtId="165" fontId="22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3" fontId="38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22" fillId="35" borderId="9"/>
    <xf numFmtId="174" fontId="24" fillId="0" borderId="0" applyFont="0" applyFill="0" applyBorder="0" applyAlignment="0" applyProtection="0"/>
    <xf numFmtId="0" fontId="40" fillId="0" borderId="0" applyNumberForma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0" fontId="41" fillId="0" borderId="0"/>
    <xf numFmtId="0" fontId="42" fillId="0" borderId="0"/>
    <xf numFmtId="0" fontId="43" fillId="36" borderId="0" applyNumberFormat="0" applyBorder="0" applyAlignment="0" applyProtection="0"/>
    <xf numFmtId="0" fontId="44" fillId="0" borderId="0" applyFill="0" applyBorder="0"/>
    <xf numFmtId="0" fontId="45" fillId="0" borderId="0" applyNumberFormat="0" applyFill="0"/>
    <xf numFmtId="0" fontId="46" fillId="0" borderId="0" applyFill="0"/>
    <xf numFmtId="0" fontId="47" fillId="0" borderId="0" applyFill="0"/>
    <xf numFmtId="0" fontId="48" fillId="0" borderId="0" applyFill="0"/>
    <xf numFmtId="0" fontId="17" fillId="0" borderId="0" applyFill="0" applyBorder="0">
      <alignment vertical="center"/>
    </xf>
    <xf numFmtId="0" fontId="49" fillId="0" borderId="12" applyNumberFormat="0" applyFill="0" applyAlignment="0" applyProtection="0"/>
    <xf numFmtId="0" fontId="17" fillId="0" borderId="0" applyFill="0" applyBorder="0">
      <alignment vertical="center"/>
    </xf>
    <xf numFmtId="0" fontId="50" fillId="0" borderId="0" applyFill="0" applyBorder="0">
      <alignment vertical="center"/>
    </xf>
    <xf numFmtId="0" fontId="51" fillId="0" borderId="13" applyNumberFormat="0" applyFill="0" applyAlignment="0" applyProtection="0"/>
    <xf numFmtId="0" fontId="50" fillId="0" borderId="0" applyFill="0" applyBorder="0">
      <alignment vertical="center"/>
    </xf>
    <xf numFmtId="0" fontId="19" fillId="0" borderId="0" applyFill="0" applyBorder="0">
      <alignment vertical="center"/>
    </xf>
    <xf numFmtId="0" fontId="52" fillId="0" borderId="14" applyNumberFormat="0" applyFill="0" applyAlignment="0" applyProtection="0"/>
    <xf numFmtId="0" fontId="19" fillId="0" borderId="0" applyFill="0" applyBorder="0">
      <alignment vertical="center"/>
    </xf>
    <xf numFmtId="0" fontId="23" fillId="0" borderId="0" applyFill="0" applyBorder="0">
      <alignment vertical="center"/>
    </xf>
    <xf numFmtId="0" fontId="52" fillId="0" borderId="0" applyNumberFormat="0" applyFill="0" applyBorder="0" applyAlignment="0" applyProtection="0"/>
    <xf numFmtId="0" fontId="23" fillId="0" borderId="0" applyFill="0" applyBorder="0">
      <alignment vertical="center"/>
    </xf>
    <xf numFmtId="176" fontId="53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55" fillId="0" borderId="0" applyFill="0" applyBorder="0">
      <alignment horizontal="center" vertical="center"/>
      <protection locked="0"/>
    </xf>
    <xf numFmtId="0" fontId="56" fillId="0" borderId="0" applyFill="0" applyBorder="0">
      <alignment horizontal="left" vertical="center"/>
      <protection locked="0"/>
    </xf>
    <xf numFmtId="0" fontId="57" fillId="9" borderId="9" applyNumberFormat="0" applyAlignment="0" applyProtection="0"/>
    <xf numFmtId="177" fontId="16" fillId="37" borderId="0" applyProtection="0"/>
    <xf numFmtId="165" fontId="22" fillId="38" borderId="0" applyFont="0" applyBorder="0" applyAlignment="0">
      <alignment horizontal="right"/>
      <protection locked="0"/>
    </xf>
    <xf numFmtId="165" fontId="22" fillId="38" borderId="0" applyFont="0" applyBorder="0" applyAlignment="0">
      <alignment horizontal="right"/>
      <protection locked="0"/>
    </xf>
    <xf numFmtId="178" fontId="22" fillId="5" borderId="0" applyFont="0" applyBorder="0">
      <alignment horizontal="right"/>
      <protection locked="0"/>
    </xf>
    <xf numFmtId="178" fontId="22" fillId="5" borderId="0" applyFont="0" applyBorder="0">
      <alignment horizontal="right"/>
      <protection locked="0"/>
    </xf>
    <xf numFmtId="165" fontId="22" fillId="39" borderId="0" applyFont="0" applyBorder="0">
      <alignment horizontal="right"/>
      <protection locked="0"/>
    </xf>
    <xf numFmtId="165" fontId="22" fillId="39" borderId="0" applyFont="0" applyBorder="0">
      <alignment horizontal="right"/>
      <protection locked="0"/>
    </xf>
    <xf numFmtId="0" fontId="31" fillId="40" borderId="0"/>
    <xf numFmtId="0" fontId="22" fillId="3" borderId="15" applyNumberFormat="0" applyFont="0" applyAlignment="0"/>
    <xf numFmtId="0" fontId="23" fillId="28" borderId="0"/>
    <xf numFmtId="0" fontId="58" fillId="0" borderId="16" applyNumberFormat="0" applyFill="0" applyAlignment="0" applyProtection="0"/>
    <xf numFmtId="179" fontId="59" fillId="0" borderId="0"/>
    <xf numFmtId="0" fontId="60" fillId="0" borderId="0" applyFill="0" applyBorder="0">
      <alignment horizontal="left" vertical="center"/>
    </xf>
    <xf numFmtId="0" fontId="61" fillId="12" borderId="0" applyNumberFormat="0" applyBorder="0" applyAlignment="0" applyProtection="0"/>
    <xf numFmtId="180" fontId="62" fillId="0" borderId="0"/>
    <xf numFmtId="0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7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7" fillId="0" borderId="0"/>
    <xf numFmtId="0" fontId="22" fillId="7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22" fillId="10" borderId="17" applyNumberFormat="0" applyFont="0" applyAlignment="0" applyProtection="0"/>
    <xf numFmtId="0" fontId="63" fillId="37" borderId="18" applyNumberFormat="0"/>
    <xf numFmtId="0" fontId="64" fillId="11" borderId="19" applyNumberFormat="0" applyAlignment="0" applyProtection="0"/>
    <xf numFmtId="181" fontId="22" fillId="0" borderId="0" applyFill="0" applyBorder="0"/>
    <xf numFmtId="181" fontId="22" fillId="0" borderId="0" applyFill="0" applyBorder="0"/>
    <xf numFmtId="181" fontId="22" fillId="0" borderId="0" applyFill="0" applyBorder="0"/>
    <xf numFmtId="9" fontId="6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2" fillId="0" borderId="0" applyFont="0" applyFill="0" applyBorder="0" applyAlignment="0" applyProtection="0"/>
    <xf numFmtId="176" fontId="66" fillId="0" borderId="0"/>
    <xf numFmtId="0" fontId="19" fillId="0" borderId="0" applyFill="0" applyBorder="0">
      <alignment vertical="center"/>
    </xf>
    <xf numFmtId="0" fontId="36" fillId="0" borderId="0" applyNumberFormat="0" applyFont="0" applyFill="0" applyBorder="0" applyAlignment="0" applyProtection="0">
      <alignment horizontal="left"/>
    </xf>
    <xf numFmtId="15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182" fontId="67" fillId="0" borderId="4"/>
    <xf numFmtId="0" fontId="68" fillId="0" borderId="3">
      <alignment horizontal="center"/>
    </xf>
    <xf numFmtId="3" fontId="36" fillId="0" borderId="0" applyFont="0" applyFill="0" applyBorder="0" applyAlignment="0" applyProtection="0"/>
    <xf numFmtId="0" fontId="36" fillId="41" borderId="0" applyNumberFormat="0" applyFont="0" applyBorder="0" applyAlignment="0" applyProtection="0"/>
    <xf numFmtId="183" fontId="22" fillId="0" borderId="0"/>
    <xf numFmtId="183" fontId="22" fillId="0" borderId="0"/>
    <xf numFmtId="183" fontId="22" fillId="0" borderId="0"/>
    <xf numFmtId="184" fontId="23" fillId="0" borderId="0" applyFill="0" applyBorder="0">
      <alignment horizontal="right" vertical="center"/>
    </xf>
    <xf numFmtId="185" fontId="23" fillId="0" borderId="0" applyFill="0" applyBorder="0">
      <alignment horizontal="right" vertical="center"/>
    </xf>
    <xf numFmtId="186" fontId="23" fillId="0" borderId="0" applyFill="0" applyBorder="0">
      <alignment horizontal="right" vertical="center"/>
    </xf>
    <xf numFmtId="0" fontId="22" fillId="10" borderId="0" applyNumberFormat="0" applyFont="0" applyBorder="0" applyAlignment="0" applyProtection="0"/>
    <xf numFmtId="0" fontId="22" fillId="10" borderId="0" applyNumberFormat="0" applyFont="0" applyBorder="0" applyAlignment="0" applyProtection="0"/>
    <xf numFmtId="0" fontId="22" fillId="11" borderId="0" applyNumberFormat="0" applyFont="0" applyBorder="0" applyAlignment="0" applyProtection="0"/>
    <xf numFmtId="0" fontId="22" fillId="11" borderId="0" applyNumberFormat="0" applyFont="0" applyBorder="0" applyAlignment="0" applyProtection="0"/>
    <xf numFmtId="0" fontId="22" fillId="13" borderId="0" applyNumberFormat="0" applyFont="0" applyBorder="0" applyAlignment="0" applyProtection="0"/>
    <xf numFmtId="0" fontId="22" fillId="13" borderId="0" applyNumberFormat="0" applyFon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13" borderId="0" applyNumberFormat="0" applyFont="0" applyBorder="0" applyAlignment="0" applyProtection="0"/>
    <xf numFmtId="0" fontId="22" fillId="13" borderId="0" applyNumberFormat="0" applyFon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Border="0" applyAlignment="0" applyProtection="0"/>
    <xf numFmtId="0" fontId="22" fillId="0" borderId="0" applyNumberFormat="0" applyFont="0" applyBorder="0" applyAlignment="0" applyProtection="0"/>
    <xf numFmtId="0" fontId="69" fillId="0" borderId="0" applyNumberFormat="0" applyFill="0" applyBorder="0" applyAlignment="0" applyProtection="0"/>
    <xf numFmtId="0" fontId="70" fillId="42" borderId="0"/>
    <xf numFmtId="0" fontId="71" fillId="42" borderId="0" applyNumberFormat="0"/>
    <xf numFmtId="0" fontId="72" fillId="42" borderId="0"/>
    <xf numFmtId="0" fontId="22" fillId="0" borderId="0"/>
    <xf numFmtId="0" fontId="22" fillId="0" borderId="0"/>
    <xf numFmtId="0" fontId="22" fillId="0" borderId="0"/>
    <xf numFmtId="0" fontId="60" fillId="0" borderId="0"/>
    <xf numFmtId="0" fontId="73" fillId="0" borderId="0"/>
    <xf numFmtId="15" fontId="22" fillId="0" borderId="0"/>
    <xf numFmtId="15" fontId="22" fillId="0" borderId="0"/>
    <xf numFmtId="15" fontId="22" fillId="0" borderId="0"/>
    <xf numFmtId="10" fontId="22" fillId="0" borderId="0"/>
    <xf numFmtId="10" fontId="22" fillId="0" borderId="0"/>
    <xf numFmtId="10" fontId="22" fillId="0" borderId="0"/>
    <xf numFmtId="0" fontId="74" fillId="43" borderId="20" applyBorder="0" applyProtection="0">
      <alignment horizontal="centerContinuous" vertical="center"/>
    </xf>
    <xf numFmtId="0" fontId="75" fillId="0" borderId="0" applyBorder="0" applyProtection="0">
      <alignment vertical="center"/>
    </xf>
    <xf numFmtId="0" fontId="76" fillId="0" borderId="0">
      <alignment horizontal="left"/>
    </xf>
    <xf numFmtId="0" fontId="76" fillId="0" borderId="5" applyFill="0" applyBorder="0" applyProtection="0">
      <alignment horizontal="left" vertical="top"/>
    </xf>
    <xf numFmtId="0" fontId="77" fillId="44" borderId="6" applyNumberFormat="0">
      <alignment horizontal="center" vertical="center"/>
    </xf>
    <xf numFmtId="0" fontId="78" fillId="45" borderId="9" applyNumberFormat="0" applyAlignment="0">
      <alignment horizontal="right"/>
    </xf>
    <xf numFmtId="49" fontId="22" fillId="0" borderId="0" applyFont="0" applyFill="0" applyBorder="0" applyAlignment="0" applyProtection="0"/>
    <xf numFmtId="0" fontId="79" fillId="0" borderId="0"/>
    <xf numFmtId="49" fontId="22" fillId="0" borderId="0" applyFont="0" applyFill="0" applyBorder="0" applyAlignment="0" applyProtection="0"/>
    <xf numFmtId="0" fontId="80" fillId="0" borderId="0"/>
    <xf numFmtId="0" fontId="80" fillId="0" borderId="0"/>
    <xf numFmtId="0" fontId="79" fillId="0" borderId="0"/>
    <xf numFmtId="179" fontId="81" fillId="0" borderId="0"/>
    <xf numFmtId="0" fontId="69" fillId="0" borderId="0" applyNumberFormat="0" applyFill="0" applyBorder="0" applyAlignment="0" applyProtection="0"/>
    <xf numFmtId="0" fontId="82" fillId="0" borderId="0" applyFill="0" applyBorder="0">
      <alignment horizontal="left" vertical="center"/>
      <protection locked="0"/>
    </xf>
    <xf numFmtId="0" fontId="79" fillId="0" borderId="0"/>
    <xf numFmtId="0" fontId="83" fillId="0" borderId="0" applyFill="0" applyBorder="0">
      <alignment horizontal="left" vertical="center"/>
      <protection locked="0"/>
    </xf>
    <xf numFmtId="0" fontId="39" fillId="0" borderId="21" applyNumberFormat="0" applyFill="0" applyAlignment="0" applyProtection="0"/>
    <xf numFmtId="0" fontId="17" fillId="3" borderId="15" applyNumberFormat="0" applyAlignment="0"/>
    <xf numFmtId="0" fontId="33" fillId="0" borderId="0" applyNumberFormat="0" applyFill="0" applyBorder="0"/>
    <xf numFmtId="0" fontId="84" fillId="46" borderId="15" applyNumberFormat="0">
      <protection locked="0"/>
    </xf>
    <xf numFmtId="0" fontId="85" fillId="0" borderId="0" applyNumberFormat="0" applyFill="0" applyBorder="0" applyAlignment="0" applyProtection="0"/>
    <xf numFmtId="187" fontId="22" fillId="0" borderId="20" applyBorder="0" applyProtection="0">
      <alignment horizontal="right"/>
    </xf>
    <xf numFmtId="187" fontId="22" fillId="0" borderId="20" applyBorder="0" applyProtection="0">
      <alignment horizontal="right"/>
    </xf>
    <xf numFmtId="187" fontId="22" fillId="0" borderId="20" applyBorder="0" applyProtection="0">
      <alignment horizontal="right"/>
    </xf>
    <xf numFmtId="0" fontId="86" fillId="0" borderId="0" applyNumberForma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22" fillId="0" borderId="0"/>
    <xf numFmtId="0" fontId="14" fillId="0" borderId="0"/>
    <xf numFmtId="9" fontId="14" fillId="0" borderId="0" applyFont="0" applyFill="0" applyBorder="0" applyAlignment="0" applyProtection="0"/>
    <xf numFmtId="171" fontId="23" fillId="0" borderId="27">
      <alignment horizontal="right" vertical="center"/>
      <protection locked="0"/>
    </xf>
    <xf numFmtId="167" fontId="14" fillId="0" borderId="0" applyFont="0" applyFill="0" applyBorder="0" applyAlignment="0" applyProtection="0"/>
    <xf numFmtId="0" fontId="32" fillId="11" borderId="28" applyNumberFormat="0" applyAlignment="0" applyProtection="0"/>
    <xf numFmtId="0" fontId="57" fillId="9" borderId="28" applyNumberFormat="0" applyAlignment="0" applyProtection="0"/>
    <xf numFmtId="0" fontId="22" fillId="10" borderId="29" applyNumberFormat="0" applyFont="0" applyAlignment="0" applyProtection="0"/>
    <xf numFmtId="0" fontId="64" fillId="11" borderId="30" applyNumberFormat="0" applyAlignment="0" applyProtection="0"/>
    <xf numFmtId="0" fontId="39" fillId="0" borderId="31" applyNumberFormat="0" applyFill="0" applyAlignment="0" applyProtection="0"/>
    <xf numFmtId="172" fontId="33" fillId="0" borderId="32">
      <alignment horizontal="center"/>
    </xf>
    <xf numFmtId="0" fontId="10" fillId="0" borderId="0"/>
    <xf numFmtId="0" fontId="2" fillId="0" borderId="0" applyNumberFormat="0" applyFill="0" applyBorder="0" applyAlignment="0" applyProtection="0"/>
    <xf numFmtId="0" fontId="14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8" fillId="0" borderId="0"/>
    <xf numFmtId="9" fontId="78" fillId="0" borderId="0" applyFont="0" applyFill="0" applyBorder="0" applyAlignment="0" applyProtection="0"/>
    <xf numFmtId="0" fontId="10" fillId="47" borderId="0" applyNumberFormat="0" applyBorder="0" applyAlignment="0" applyProtection="0"/>
    <xf numFmtId="190" fontId="22" fillId="39" borderId="0" applyFont="0" applyBorder="0">
      <alignment horizontal="right"/>
    </xf>
    <xf numFmtId="176" fontId="22" fillId="39" borderId="0" applyFont="0" applyBorder="0" applyAlignment="0"/>
    <xf numFmtId="190" fontId="22" fillId="39" borderId="0" applyFont="0" applyBorder="0">
      <alignment horizontal="right"/>
    </xf>
    <xf numFmtId="165" fontId="22" fillId="48" borderId="0" applyFont="0" applyBorder="0" applyAlignment="0">
      <alignment horizontal="right"/>
      <protection locked="0"/>
    </xf>
    <xf numFmtId="10" fontId="22" fillId="48" borderId="0" applyFont="0" applyBorder="0">
      <alignment horizontal="right"/>
      <protection locked="0"/>
    </xf>
    <xf numFmtId="165" fontId="22" fillId="48" borderId="0" applyFont="0" applyBorder="0" applyAlignment="0">
      <alignment horizontal="right"/>
      <protection locked="0"/>
    </xf>
    <xf numFmtId="3" fontId="22" fillId="49" borderId="0" applyFont="0" applyBorder="0">
      <protection locked="0"/>
    </xf>
    <xf numFmtId="176" fontId="50" fillId="49" borderId="0" applyBorder="0" applyAlignment="0">
      <protection locked="0"/>
    </xf>
    <xf numFmtId="176" fontId="94" fillId="50" borderId="0" applyBorder="0" applyAlignment="0"/>
    <xf numFmtId="190" fontId="95" fillId="28" borderId="35" applyFont="0" applyBorder="0" applyAlignment="0"/>
    <xf numFmtId="176" fontId="50" fillId="28" borderId="0" applyFont="0" applyBorder="0" applyAlignment="0"/>
    <xf numFmtId="167" fontId="10" fillId="0" borderId="0" applyFont="0" applyFill="0" applyBorder="0" applyAlignment="0" applyProtection="0"/>
    <xf numFmtId="165" fontId="22" fillId="28" borderId="0" applyNumberFormat="0" applyFont="0" applyBorder="0" applyAlignment="0">
      <alignment horizontal="right"/>
    </xf>
    <xf numFmtId="165" fontId="22" fillId="28" borderId="0" applyNumberFormat="0" applyFont="0" applyBorder="0" applyAlignment="0">
      <alignment horizontal="right"/>
    </xf>
    <xf numFmtId="167" fontId="2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22" fillId="38" borderId="0" applyFont="0" applyBorder="0" applyAlignment="0">
      <alignment horizontal="right"/>
      <protection locked="0"/>
    </xf>
    <xf numFmtId="165" fontId="22" fillId="38" borderId="0" applyFont="0" applyBorder="0" applyAlignment="0">
      <alignment horizontal="right"/>
      <protection locked="0"/>
    </xf>
    <xf numFmtId="165" fontId="22" fillId="39" borderId="0" applyFont="0" applyBorder="0">
      <alignment horizontal="right"/>
      <protection locked="0"/>
    </xf>
    <xf numFmtId="165" fontId="22" fillId="39" borderId="0" applyFont="0" applyBorder="0">
      <alignment horizontal="right"/>
      <protection locked="0"/>
    </xf>
    <xf numFmtId="167" fontId="14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22" fillId="48" borderId="0" applyFont="0" applyBorder="0" applyAlignment="0">
      <alignment horizontal="right"/>
      <protection locked="0"/>
    </xf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165" fontId="104" fillId="57" borderId="44" applyAlignment="0" applyProtection="0"/>
    <xf numFmtId="165" fontId="104" fillId="57" borderId="45" applyAlignment="0" applyProtection="0"/>
  </cellStyleXfs>
  <cellXfs count="184">
    <xf numFmtId="0" fontId="0" fillId="0" borderId="0" xfId="0"/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10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8" fontId="7" fillId="3" borderId="0" xfId="0" applyNumberFormat="1" applyFont="1" applyFill="1" applyAlignment="1">
      <alignment horizontal="center" vertical="center"/>
    </xf>
    <xf numFmtId="0" fontId="11" fillId="4" borderId="2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left"/>
    </xf>
    <xf numFmtId="0" fontId="15" fillId="3" borderId="0" xfId="0" applyFont="1" applyFill="1" applyAlignment="1">
      <alignment horizontal="left" vertical="center"/>
    </xf>
    <xf numFmtId="0" fontId="14" fillId="3" borderId="0" xfId="3" applyFill="1"/>
    <xf numFmtId="0" fontId="4" fillId="3" borderId="0" xfId="3" applyFont="1" applyFill="1" applyAlignment="1">
      <alignment horizontal="left" vertical="center"/>
    </xf>
    <xf numFmtId="0" fontId="4" fillId="3" borderId="0" xfId="3" applyFont="1" applyFill="1" applyAlignment="1">
      <alignment horizontal="left" indent="9"/>
    </xf>
    <xf numFmtId="0" fontId="14" fillId="3" borderId="22" xfId="3" applyFill="1" applyBorder="1"/>
    <xf numFmtId="0" fontId="15" fillId="3" borderId="22" xfId="3" applyFont="1" applyFill="1" applyBorder="1" applyAlignment="1">
      <alignment horizontal="left"/>
    </xf>
    <xf numFmtId="0" fontId="15" fillId="3" borderId="22" xfId="3" applyFont="1" applyFill="1" applyBorder="1" applyAlignment="1">
      <alignment horizontal="left" indent="9"/>
    </xf>
    <xf numFmtId="0" fontId="11" fillId="3" borderId="23" xfId="3" applyFont="1" applyFill="1" applyBorder="1"/>
    <xf numFmtId="0" fontId="14" fillId="6" borderId="2" xfId="3" applyFill="1" applyBorder="1"/>
    <xf numFmtId="0" fontId="11" fillId="6" borderId="2" xfId="3" applyFont="1" applyFill="1" applyBorder="1"/>
    <xf numFmtId="0" fontId="17" fillId="6" borderId="2" xfId="3" applyFont="1" applyFill="1" applyBorder="1" applyAlignment="1">
      <alignment vertical="center"/>
    </xf>
    <xf numFmtId="0" fontId="13" fillId="6" borderId="2" xfId="3" applyFont="1" applyFill="1" applyBorder="1"/>
    <xf numFmtId="166" fontId="17" fillId="6" borderId="2" xfId="3" applyNumberFormat="1" applyFont="1" applyFill="1" applyBorder="1" applyAlignment="1">
      <alignment horizontal="center" wrapText="1"/>
    </xf>
    <xf numFmtId="0" fontId="14" fillId="6" borderId="2" xfId="3" applyFill="1" applyBorder="1" applyAlignment="1">
      <alignment wrapText="1"/>
    </xf>
    <xf numFmtId="0" fontId="14" fillId="0" borderId="0" xfId="3"/>
    <xf numFmtId="169" fontId="16" fillId="0" borderId="0" xfId="3" applyNumberFormat="1" applyFont="1"/>
    <xf numFmtId="169" fontId="18" fillId="0" borderId="0" xfId="3" applyNumberFormat="1" applyFont="1" applyAlignment="1">
      <alignment horizontal="center"/>
    </xf>
    <xf numFmtId="169" fontId="16" fillId="0" borderId="0" xfId="3" applyNumberFormat="1" applyFont="1" applyAlignment="1">
      <alignment horizontal="center"/>
    </xf>
    <xf numFmtId="169" fontId="21" fillId="0" borderId="0" xfId="3" applyNumberFormat="1" applyFont="1"/>
    <xf numFmtId="169" fontId="20" fillId="0" borderId="0" xfId="3" applyNumberFormat="1" applyFont="1" applyAlignment="1">
      <alignment horizontal="center"/>
    </xf>
    <xf numFmtId="169" fontId="21" fillId="0" borderId="20" xfId="3" applyNumberFormat="1" applyFont="1" applyBorder="1" applyAlignment="1">
      <alignment horizontal="center"/>
    </xf>
    <xf numFmtId="169" fontId="16" fillId="0" borderId="0" xfId="3" applyNumberFormat="1" applyFont="1" applyAlignment="1">
      <alignment horizontal="left" indent="1"/>
    </xf>
    <xf numFmtId="169" fontId="12" fillId="0" borderId="0" xfId="263" applyNumberFormat="1" applyFont="1" applyAlignment="1" applyProtection="1">
      <alignment horizontal="center"/>
    </xf>
    <xf numFmtId="0" fontId="8" fillId="4" borderId="2" xfId="0" applyFont="1" applyFill="1" applyBorder="1" applyAlignment="1">
      <alignment horizontal="center" vertical="center"/>
    </xf>
    <xf numFmtId="0" fontId="89" fillId="4" borderId="2" xfId="0" applyFont="1" applyFill="1" applyBorder="1" applyAlignment="1">
      <alignment horizontal="center" vertical="center"/>
    </xf>
    <xf numFmtId="0" fontId="89" fillId="3" borderId="0" xfId="0" applyFont="1" applyFill="1" applyAlignment="1">
      <alignment horizontal="center" vertical="center"/>
    </xf>
    <xf numFmtId="169" fontId="18" fillId="3" borderId="0" xfId="0" applyNumberFormat="1" applyFont="1" applyFill="1" applyAlignment="1">
      <alignment horizontal="center" vertical="center"/>
    </xf>
    <xf numFmtId="0" fontId="90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3" fillId="3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1" fillId="4" borderId="2" xfId="0" applyFont="1" applyFill="1" applyBorder="1" applyAlignment="1">
      <alignment vertical="center"/>
    </xf>
    <xf numFmtId="0" fontId="88" fillId="3" borderId="0" xfId="0" applyFont="1" applyFill="1" applyAlignment="1">
      <alignment horizontal="center" vertical="center"/>
    </xf>
    <xf numFmtId="169" fontId="18" fillId="3" borderId="2" xfId="0" applyNumberFormat="1" applyFont="1" applyFill="1" applyBorder="1" applyAlignment="1">
      <alignment horizontal="center" vertical="center"/>
    </xf>
    <xf numFmtId="169" fontId="21" fillId="3" borderId="2" xfId="0" applyNumberFormat="1" applyFont="1" applyFill="1" applyBorder="1" applyAlignment="1">
      <alignment horizontal="left" vertical="center"/>
    </xf>
    <xf numFmtId="0" fontId="13" fillId="3" borderId="0" xfId="0" applyFont="1" applyFill="1" applyAlignment="1">
      <alignment horizontal="center" vertical="center"/>
    </xf>
    <xf numFmtId="0" fontId="0" fillId="3" borderId="0" xfId="0" applyFill="1"/>
    <xf numFmtId="49" fontId="16" fillId="3" borderId="0" xfId="0" applyNumberFormat="1" applyFont="1" applyFill="1" applyAlignment="1" applyProtection="1">
      <alignment horizontal="left" vertical="center"/>
      <protection locked="0"/>
    </xf>
    <xf numFmtId="0" fontId="91" fillId="4" borderId="2" xfId="0" applyFont="1" applyFill="1" applyBorder="1" applyAlignment="1">
      <alignment horizontal="center" vertical="center"/>
    </xf>
    <xf numFmtId="0" fontId="92" fillId="4" borderId="2" xfId="0" applyFont="1" applyFill="1" applyBorder="1" applyAlignment="1">
      <alignment horizontal="left" vertical="center"/>
    </xf>
    <xf numFmtId="0" fontId="91" fillId="4" borderId="2" xfId="0" applyFont="1" applyFill="1" applyBorder="1" applyAlignment="1">
      <alignment vertical="center"/>
    </xf>
    <xf numFmtId="49" fontId="16" fillId="3" borderId="0" xfId="0" applyNumberFormat="1" applyFont="1" applyFill="1" applyAlignment="1" applyProtection="1">
      <alignment horizontal="left" vertical="center" wrapText="1"/>
      <protection locked="0"/>
    </xf>
    <xf numFmtId="10" fontId="14" fillId="3" borderId="0" xfId="0" applyNumberFormat="1" applyFont="1" applyFill="1" applyAlignment="1">
      <alignment horizontal="center" vertical="center"/>
    </xf>
    <xf numFmtId="2" fontId="14" fillId="0" borderId="5" xfId="0" applyNumberFormat="1" applyFont="1" applyBorder="1" applyAlignment="1">
      <alignment horizontal="right"/>
    </xf>
    <xf numFmtId="2" fontId="14" fillId="0" borderId="33" xfId="0" applyNumberFormat="1" applyFont="1" applyBorder="1" applyAlignment="1">
      <alignment horizontal="right"/>
    </xf>
    <xf numFmtId="2" fontId="14" fillId="0" borderId="20" xfId="0" applyNumberFormat="1" applyFont="1" applyBorder="1" applyAlignment="1">
      <alignment horizontal="right"/>
    </xf>
    <xf numFmtId="2" fontId="14" fillId="0" borderId="36" xfId="0" applyNumberFormat="1" applyFont="1" applyBorder="1" applyAlignment="1">
      <alignment horizontal="right"/>
    </xf>
    <xf numFmtId="0" fontId="19" fillId="3" borderId="0" xfId="0" applyFont="1" applyFill="1" applyAlignment="1">
      <alignment horizontal="left" vertical="center"/>
    </xf>
    <xf numFmtId="0" fontId="93" fillId="3" borderId="0" xfId="0" applyFont="1" applyFill="1" applyAlignment="1">
      <alignment horizontal="left"/>
    </xf>
    <xf numFmtId="0" fontId="14" fillId="3" borderId="0" xfId="0" applyFont="1" applyFill="1"/>
    <xf numFmtId="0" fontId="90" fillId="3" borderId="0" xfId="0" applyFont="1" applyFill="1"/>
    <xf numFmtId="2" fontId="14" fillId="3" borderId="0" xfId="0" applyNumberFormat="1" applyFont="1" applyFill="1"/>
    <xf numFmtId="168" fontId="23" fillId="3" borderId="0" xfId="0" applyNumberFormat="1" applyFont="1" applyFill="1" applyAlignment="1">
      <alignment horizontal="center" vertical="center"/>
    </xf>
    <xf numFmtId="0" fontId="23" fillId="3" borderId="6" xfId="0" applyFont="1" applyFill="1" applyBorder="1" applyAlignment="1">
      <alignment horizontal="left" vertical="center"/>
    </xf>
    <xf numFmtId="9" fontId="14" fillId="0" borderId="4" xfId="0" applyNumberFormat="1" applyFont="1" applyBorder="1"/>
    <xf numFmtId="2" fontId="14" fillId="0" borderId="4" xfId="0" applyNumberFormat="1" applyFont="1" applyBorder="1"/>
    <xf numFmtId="0" fontId="14" fillId="3" borderId="0" xfId="0" applyFont="1" applyFill="1" applyAlignment="1">
      <alignment horizontal="left" vertical="center" wrapText="1"/>
    </xf>
    <xf numFmtId="0" fontId="97" fillId="3" borderId="0" xfId="2" applyFont="1" applyFill="1" applyBorder="1" applyAlignment="1" applyProtection="1">
      <alignment vertical="center"/>
    </xf>
    <xf numFmtId="0" fontId="98" fillId="3" borderId="0" xfId="265" applyFont="1" applyFill="1" applyAlignment="1">
      <alignment horizontal="right" vertical="center"/>
    </xf>
    <xf numFmtId="0" fontId="98" fillId="3" borderId="0" xfId="0" applyFont="1" applyFill="1" applyAlignment="1">
      <alignment horizontal="center" vertical="center"/>
    </xf>
    <xf numFmtId="0" fontId="12" fillId="3" borderId="0" xfId="2" quotePrefix="1" applyFont="1" applyFill="1" applyBorder="1" applyAlignment="1">
      <alignment horizontal="left"/>
    </xf>
    <xf numFmtId="168" fontId="23" fillId="0" borderId="2" xfId="0" applyNumberFormat="1" applyFont="1" applyBorder="1" applyAlignment="1">
      <alignment horizontal="right" vertical="center"/>
    </xf>
    <xf numFmtId="0" fontId="11" fillId="0" borderId="34" xfId="0" applyFont="1" applyBorder="1"/>
    <xf numFmtId="0" fontId="14" fillId="0" borderId="38" xfId="0" applyFont="1" applyBorder="1" applyAlignment="1">
      <alignment horizontal="left" indent="1"/>
    </xf>
    <xf numFmtId="0" fontId="14" fillId="0" borderId="5" xfId="0" applyFont="1" applyBorder="1" applyAlignment="1">
      <alignment horizontal="left" indent="1"/>
    </xf>
    <xf numFmtId="0" fontId="14" fillId="0" borderId="33" xfId="0" applyFont="1" applyBorder="1" applyAlignment="1">
      <alignment horizontal="left" indent="1"/>
    </xf>
    <xf numFmtId="0" fontId="14" fillId="0" borderId="34" xfId="0" applyFont="1" applyBorder="1" applyAlignment="1">
      <alignment horizontal="left" indent="1"/>
    </xf>
    <xf numFmtId="0" fontId="14" fillId="0" borderId="39" xfId="0" applyFont="1" applyBorder="1" applyAlignment="1">
      <alignment horizontal="left" indent="1"/>
    </xf>
    <xf numFmtId="0" fontId="14" fillId="0" borderId="4" xfId="0" applyFont="1" applyBorder="1" applyAlignment="1">
      <alignment horizontal="left" indent="1"/>
    </xf>
    <xf numFmtId="0" fontId="11" fillId="3" borderId="34" xfId="0" applyFont="1" applyFill="1" applyBorder="1"/>
    <xf numFmtId="0" fontId="96" fillId="3" borderId="33" xfId="0" applyFont="1" applyFill="1" applyBorder="1"/>
    <xf numFmtId="0" fontId="96" fillId="3" borderId="20" xfId="0" applyFont="1" applyFill="1" applyBorder="1"/>
    <xf numFmtId="0" fontId="11" fillId="0" borderId="37" xfId="0" applyFont="1" applyBorder="1"/>
    <xf numFmtId="0" fontId="97" fillId="3" borderId="0" xfId="2" applyFont="1" applyFill="1" applyBorder="1" applyAlignment="1" applyProtection="1">
      <alignment horizontal="left" vertical="center"/>
    </xf>
    <xf numFmtId="2" fontId="14" fillId="3" borderId="0" xfId="0" applyNumberFormat="1" applyFont="1" applyFill="1" applyAlignment="1">
      <alignment horizontal="right"/>
    </xf>
    <xf numFmtId="2" fontId="14" fillId="3" borderId="35" xfId="0" applyNumberFormat="1" applyFont="1" applyFill="1" applyBorder="1" applyAlignment="1">
      <alignment horizontal="right"/>
    </xf>
    <xf numFmtId="10" fontId="14" fillId="3" borderId="40" xfId="0" applyNumberFormat="1" applyFont="1" applyFill="1" applyBorder="1" applyAlignment="1">
      <alignment horizontal="center" vertical="center"/>
    </xf>
    <xf numFmtId="10" fontId="14" fillId="3" borderId="41" xfId="0" applyNumberFormat="1" applyFont="1" applyFill="1" applyBorder="1" applyAlignment="1">
      <alignment horizontal="center" vertical="center"/>
    </xf>
    <xf numFmtId="10" fontId="23" fillId="3" borderId="0" xfId="0" applyNumberFormat="1" applyFont="1" applyFill="1" applyAlignment="1">
      <alignment horizontal="center" vertical="center"/>
    </xf>
    <xf numFmtId="191" fontId="16" fillId="0" borderId="0" xfId="3" applyNumberFormat="1" applyFont="1"/>
    <xf numFmtId="169" fontId="21" fillId="0" borderId="0" xfId="3" applyNumberFormat="1" applyFont="1" applyAlignment="1">
      <alignment horizontal="center"/>
    </xf>
    <xf numFmtId="188" fontId="19" fillId="0" borderId="0" xfId="55" applyNumberFormat="1" applyFont="1" applyBorder="1" applyAlignment="1" applyProtection="1">
      <alignment horizontal="center" vertical="center"/>
    </xf>
    <xf numFmtId="0" fontId="16" fillId="3" borderId="0" xfId="0" applyFont="1" applyFill="1" applyAlignment="1">
      <alignment horizontal="left" vertical="center"/>
    </xf>
    <xf numFmtId="49" fontId="101" fillId="51" borderId="0" xfId="0" applyNumberFormat="1" applyFont="1" applyFill="1" applyAlignment="1" applyProtection="1">
      <alignment horizontal="left" vertical="center"/>
      <protection locked="0"/>
    </xf>
    <xf numFmtId="0" fontId="102" fillId="51" borderId="0" xfId="0" applyFont="1" applyFill="1" applyAlignment="1">
      <alignment vertical="center"/>
    </xf>
    <xf numFmtId="2" fontId="14" fillId="0" borderId="0" xfId="0" applyNumberFormat="1" applyFont="1" applyAlignment="1">
      <alignment horizontal="right"/>
    </xf>
    <xf numFmtId="2" fontId="100" fillId="0" borderId="0" xfId="0" applyNumberFormat="1" applyFont="1" applyAlignment="1">
      <alignment horizontal="right"/>
    </xf>
    <xf numFmtId="0" fontId="14" fillId="0" borderId="6" xfId="0" applyFont="1" applyBorder="1" applyAlignment="1">
      <alignment horizontal="left" indent="1"/>
    </xf>
    <xf numFmtId="168" fontId="23" fillId="0" borderId="37" xfId="0" applyNumberFormat="1" applyFont="1" applyBorder="1" applyAlignment="1">
      <alignment horizontal="right" vertical="center"/>
    </xf>
    <xf numFmtId="2" fontId="14" fillId="0" borderId="35" xfId="0" applyNumberFormat="1" applyFont="1" applyBorder="1" applyAlignment="1">
      <alignment horizontal="right"/>
    </xf>
    <xf numFmtId="2" fontId="14" fillId="0" borderId="37" xfId="0" applyNumberFormat="1" applyFont="1" applyBorder="1" applyAlignment="1">
      <alignment horizontal="right"/>
    </xf>
    <xf numFmtId="49" fontId="16" fillId="0" borderId="0" xfId="0" applyNumberFormat="1" applyFont="1" applyAlignment="1" applyProtection="1">
      <alignment horizontal="left" vertical="center"/>
      <protection locked="0"/>
    </xf>
    <xf numFmtId="49" fontId="101" fillId="52" borderId="0" xfId="0" applyNumberFormat="1" applyFont="1" applyFill="1" applyAlignment="1" applyProtection="1">
      <alignment horizontal="left" vertical="center"/>
      <protection locked="0"/>
    </xf>
    <xf numFmtId="168" fontId="23" fillId="3" borderId="6" xfId="0" applyNumberFormat="1" applyFont="1" applyFill="1" applyBorder="1" applyAlignment="1">
      <alignment horizontal="right" vertical="center"/>
    </xf>
    <xf numFmtId="0" fontId="99" fillId="53" borderId="0" xfId="265" applyFont="1" applyFill="1" applyAlignment="1">
      <alignment horizontal="center" vertical="center"/>
    </xf>
    <xf numFmtId="0" fontId="23" fillId="53" borderId="24" xfId="1" applyFont="1" applyFill="1" applyBorder="1" applyAlignment="1">
      <alignment horizontal="center" vertical="center"/>
    </xf>
    <xf numFmtId="2" fontId="23" fillId="53" borderId="24" xfId="1" applyNumberFormat="1" applyFont="1" applyFill="1" applyBorder="1" applyAlignment="1">
      <alignment horizontal="center" vertical="center"/>
    </xf>
    <xf numFmtId="2" fontId="23" fillId="54" borderId="24" xfId="1" applyNumberFormat="1" applyFont="1" applyFill="1" applyBorder="1" applyAlignment="1">
      <alignment horizontal="center" vertical="center"/>
    </xf>
    <xf numFmtId="0" fontId="99" fillId="55" borderId="0" xfId="265" applyFont="1" applyFill="1" applyAlignment="1">
      <alignment horizontal="center" vertical="center"/>
    </xf>
    <xf numFmtId="10" fontId="16" fillId="55" borderId="34" xfId="268" applyNumberFormat="1" applyFont="1" applyFill="1" applyBorder="1" applyAlignment="1" applyProtection="1">
      <alignment horizontal="right" vertical="center"/>
    </xf>
    <xf numFmtId="10" fontId="16" fillId="55" borderId="2" xfId="268" applyNumberFormat="1" applyFont="1" applyFill="1" applyBorder="1" applyAlignment="1" applyProtection="1">
      <alignment horizontal="right" vertical="center"/>
    </xf>
    <xf numFmtId="10" fontId="16" fillId="55" borderId="37" xfId="268" applyNumberFormat="1" applyFont="1" applyFill="1" applyBorder="1" applyAlignment="1" applyProtection="1">
      <alignment horizontal="right" vertical="center"/>
    </xf>
    <xf numFmtId="2" fontId="16" fillId="55" borderId="43" xfId="265" applyNumberFormat="1" applyFont="1" applyFill="1" applyBorder="1" applyAlignment="1">
      <alignment horizontal="right" vertical="center"/>
    </xf>
    <xf numFmtId="2" fontId="16" fillId="55" borderId="0" xfId="265" applyNumberFormat="1" applyFont="1" applyFill="1" applyAlignment="1">
      <alignment horizontal="right" vertical="center"/>
    </xf>
    <xf numFmtId="2" fontId="16" fillId="55" borderId="35" xfId="265" applyNumberFormat="1" applyFont="1" applyFill="1" applyBorder="1" applyAlignment="1">
      <alignment horizontal="right" vertical="center"/>
    </xf>
    <xf numFmtId="2" fontId="16" fillId="55" borderId="5" xfId="265" applyNumberFormat="1" applyFont="1" applyFill="1" applyBorder="1" applyAlignment="1">
      <alignment horizontal="right" vertical="center"/>
    </xf>
    <xf numFmtId="10" fontId="16" fillId="55" borderId="7" xfId="268" applyNumberFormat="1" applyFont="1" applyFill="1" applyBorder="1" applyAlignment="1" applyProtection="1">
      <alignment horizontal="right" vertical="center"/>
    </xf>
    <xf numFmtId="10" fontId="16" fillId="55" borderId="42" xfId="268" applyNumberFormat="1" applyFont="1" applyFill="1" applyBorder="1" applyAlignment="1" applyProtection="1">
      <alignment horizontal="right" vertical="center"/>
    </xf>
    <xf numFmtId="167" fontId="23" fillId="0" borderId="2" xfId="304" applyFont="1" applyFill="1" applyBorder="1" applyAlignment="1">
      <alignment horizontal="right" vertical="center"/>
    </xf>
    <xf numFmtId="167" fontId="23" fillId="0" borderId="37" xfId="304" applyFont="1" applyFill="1" applyBorder="1" applyAlignment="1">
      <alignment horizontal="right" vertical="center"/>
    </xf>
    <xf numFmtId="0" fontId="21" fillId="3" borderId="0" xfId="304" applyNumberFormat="1" applyFont="1" applyFill="1" applyBorder="1" applyAlignment="1" applyProtection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18" fillId="0" borderId="25" xfId="0" applyFont="1" applyBorder="1" applyAlignment="1" applyProtection="1">
      <alignment horizontal="center" vertical="center"/>
      <protection locked="0"/>
    </xf>
    <xf numFmtId="49" fontId="18" fillId="0" borderId="25" xfId="0" applyNumberFormat="1" applyFont="1" applyBorder="1" applyAlignment="1" applyProtection="1">
      <alignment horizontal="center" vertical="center"/>
      <protection locked="0"/>
    </xf>
    <xf numFmtId="0" fontId="21" fillId="3" borderId="37" xfId="0" applyFont="1" applyFill="1" applyBorder="1" applyAlignment="1">
      <alignment horizontal="center" vertical="center"/>
    </xf>
    <xf numFmtId="0" fontId="21" fillId="3" borderId="20" xfId="0" applyFont="1" applyFill="1" applyBorder="1" applyAlignment="1">
      <alignment horizontal="right" vertical="center"/>
    </xf>
    <xf numFmtId="0" fontId="21" fillId="3" borderId="36" xfId="0" applyFont="1" applyFill="1" applyBorder="1" applyAlignment="1">
      <alignment horizontal="right" vertical="center"/>
    </xf>
    <xf numFmtId="0" fontId="21" fillId="3" borderId="0" xfId="0" applyFont="1" applyFill="1" applyAlignment="1">
      <alignment horizontal="right" vertical="center"/>
    </xf>
    <xf numFmtId="0" fontId="21" fillId="0" borderId="20" xfId="3" applyFont="1" applyBorder="1" applyAlignment="1">
      <alignment horizontal="center"/>
    </xf>
    <xf numFmtId="0" fontId="18" fillId="0" borderId="0" xfId="3" applyFont="1" applyAlignment="1">
      <alignment horizontal="center"/>
    </xf>
    <xf numFmtId="0" fontId="12" fillId="0" borderId="0" xfId="2" applyFont="1" applyFill="1" applyBorder="1" applyAlignment="1">
      <alignment horizontal="left"/>
    </xf>
    <xf numFmtId="0" fontId="23" fillId="0" borderId="24" xfId="1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10" fontId="23" fillId="3" borderId="40" xfId="0" applyNumberFormat="1" applyFont="1" applyFill="1" applyBorder="1" applyAlignment="1">
      <alignment horizontal="center" vertical="center"/>
    </xf>
    <xf numFmtId="0" fontId="95" fillId="4" borderId="2" xfId="0" applyFont="1" applyFill="1" applyBorder="1" applyAlignment="1">
      <alignment horizontal="center" vertical="center"/>
    </xf>
    <xf numFmtId="0" fontId="95" fillId="4" borderId="2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/>
    <xf numFmtId="0" fontId="19" fillId="3" borderId="0" xfId="304" applyNumberFormat="1" applyFont="1" applyFill="1" applyBorder="1" applyAlignment="1" applyProtection="1">
      <alignment horizontal="center" vertical="center"/>
    </xf>
    <xf numFmtId="0" fontId="103" fillId="3" borderId="0" xfId="0" applyFont="1" applyFill="1"/>
    <xf numFmtId="10" fontId="23" fillId="53" borderId="26" xfId="0" applyNumberFormat="1" applyFont="1" applyFill="1" applyBorder="1" applyAlignment="1">
      <alignment horizontal="center" vertical="center"/>
    </xf>
    <xf numFmtId="0" fontId="23" fillId="55" borderId="24" xfId="1" applyFont="1" applyFill="1" applyBorder="1" applyAlignment="1">
      <alignment horizontal="center" vertical="center"/>
    </xf>
    <xf numFmtId="189" fontId="23" fillId="55" borderId="26" xfId="0" applyNumberFormat="1" applyFont="1" applyFill="1" applyBorder="1" applyAlignment="1">
      <alignment horizontal="center" vertical="center"/>
    </xf>
    <xf numFmtId="189" fontId="14" fillId="55" borderId="26" xfId="268" applyNumberFormat="1" applyFont="1" applyFill="1" applyBorder="1" applyAlignment="1">
      <alignment horizontal="center" vertical="center"/>
    </xf>
    <xf numFmtId="10" fontId="23" fillId="55" borderId="26" xfId="0" applyNumberFormat="1" applyFont="1" applyFill="1" applyBorder="1" applyAlignment="1">
      <alignment horizontal="center" vertical="center"/>
    </xf>
    <xf numFmtId="189" fontId="23" fillId="55" borderId="26" xfId="268" applyNumberFormat="1" applyFont="1" applyFill="1" applyBorder="1" applyAlignment="1">
      <alignment horizontal="center" vertical="center"/>
    </xf>
    <xf numFmtId="10" fontId="14" fillId="55" borderId="26" xfId="0" applyNumberFormat="1" applyFont="1" applyFill="1" applyBorder="1" applyAlignment="1">
      <alignment horizontal="center" vertical="center"/>
    </xf>
    <xf numFmtId="2" fontId="23" fillId="55" borderId="24" xfId="1" applyNumberFormat="1" applyFont="1" applyFill="1" applyBorder="1" applyAlignment="1">
      <alignment horizontal="center" vertical="center"/>
    </xf>
    <xf numFmtId="2" fontId="23" fillId="55" borderId="2" xfId="1" applyNumberFormat="1" applyFont="1" applyFill="1" applyBorder="1" applyAlignment="1">
      <alignment horizontal="center" vertical="center"/>
    </xf>
    <xf numFmtId="0" fontId="18" fillId="55" borderId="25" xfId="0" applyFont="1" applyFill="1" applyBorder="1" applyAlignment="1">
      <alignment horizontal="center" vertical="center"/>
    </xf>
    <xf numFmtId="0" fontId="87" fillId="3" borderId="23" xfId="3" applyFont="1" applyFill="1" applyBorder="1" applyAlignment="1">
      <alignment horizontal="center"/>
    </xf>
    <xf numFmtId="10" fontId="23" fillId="56" borderId="26" xfId="0" applyNumberFormat="1" applyFont="1" applyFill="1" applyBorder="1" applyAlignment="1">
      <alignment horizontal="center" vertical="center"/>
    </xf>
    <xf numFmtId="10" fontId="0" fillId="0" borderId="0" xfId="0" applyNumberFormat="1"/>
    <xf numFmtId="10" fontId="23" fillId="0" borderId="26" xfId="0" applyNumberFormat="1" applyFont="1" applyBorder="1" applyAlignment="1">
      <alignment horizontal="center" vertical="center"/>
    </xf>
    <xf numFmtId="189" fontId="23" fillId="55" borderId="24" xfId="1" applyNumberFormat="1" applyFont="1" applyFill="1" applyBorder="1" applyAlignment="1">
      <alignment horizontal="center" vertical="center"/>
    </xf>
    <xf numFmtId="192" fontId="19" fillId="55" borderId="24" xfId="55" applyNumberFormat="1" applyFont="1" applyFill="1" applyBorder="1" applyAlignment="1" applyProtection="1">
      <alignment horizontal="center" vertical="center"/>
    </xf>
    <xf numFmtId="9" fontId="14" fillId="0" borderId="38" xfId="0" applyNumberFormat="1" applyFont="1" applyBorder="1"/>
    <xf numFmtId="0" fontId="99" fillId="58" borderId="0" xfId="265" applyFont="1" applyFill="1" applyAlignment="1">
      <alignment horizontal="left" vertical="center"/>
    </xf>
    <xf numFmtId="0" fontId="99" fillId="0" borderId="0" xfId="265" applyFont="1" applyFill="1" applyAlignment="1">
      <alignment horizontal="left" vertical="center"/>
    </xf>
    <xf numFmtId="0" fontId="23" fillId="58" borderId="24" xfId="1" applyFont="1" applyFill="1" applyBorder="1" applyAlignment="1">
      <alignment horizontal="center" vertical="center"/>
    </xf>
    <xf numFmtId="10" fontId="23" fillId="58" borderId="26" xfId="0" applyNumberFormat="1" applyFont="1" applyFill="1" applyBorder="1" applyAlignment="1">
      <alignment horizontal="center" vertical="center"/>
    </xf>
    <xf numFmtId="10" fontId="23" fillId="54" borderId="26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9" fillId="0" borderId="0" xfId="265" applyFont="1" applyFill="1" applyAlignment="1">
      <alignment horizontal="center" vertical="center"/>
    </xf>
    <xf numFmtId="0" fontId="87" fillId="3" borderId="23" xfId="3" applyFont="1" applyFill="1" applyBorder="1" applyAlignment="1">
      <alignment horizontal="center"/>
    </xf>
  </cellXfs>
  <cellStyles count="342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2" xfId="12" xr:uid="{00000000-0005-0000-0000-000008000000}"/>
    <cellStyle name="20% - Accent1 2 2" xfId="292" xr:uid="{00000000-0005-0000-0000-000009000000}"/>
    <cellStyle name="20% - Accent2 2" xfId="13" xr:uid="{00000000-0005-0000-0000-00000A000000}"/>
    <cellStyle name="20% - Accent3 2" xfId="14" xr:uid="{00000000-0005-0000-0000-00000B000000}"/>
    <cellStyle name="20% - Accent4 2" xfId="15" xr:uid="{00000000-0005-0000-0000-00000C000000}"/>
    <cellStyle name="20% - Accent5 2" xfId="16" xr:uid="{00000000-0005-0000-0000-00000D000000}"/>
    <cellStyle name="20% - Accent6 2" xfId="17" xr:uid="{00000000-0005-0000-0000-00000E000000}"/>
    <cellStyle name="40% - Accent1 2" xfId="18" xr:uid="{00000000-0005-0000-0000-00000F000000}"/>
    <cellStyle name="40% - Accent2 2" xfId="19" xr:uid="{00000000-0005-0000-0000-000010000000}"/>
    <cellStyle name="40% - Accent3 2" xfId="20" xr:uid="{00000000-0005-0000-0000-000011000000}"/>
    <cellStyle name="40% - Accent4 2" xfId="21" xr:uid="{00000000-0005-0000-0000-000012000000}"/>
    <cellStyle name="40% - Accent5 2" xfId="22" xr:uid="{00000000-0005-0000-0000-000013000000}"/>
    <cellStyle name="40% - Accent6 2" xfId="23" xr:uid="{00000000-0005-0000-0000-000014000000}"/>
    <cellStyle name="60% - Accent1 2" xfId="24" xr:uid="{00000000-0005-0000-0000-000015000000}"/>
    <cellStyle name="60% - Accent2 2" xfId="25" xr:uid="{00000000-0005-0000-0000-000016000000}"/>
    <cellStyle name="60% - Accent3 2" xfId="26" xr:uid="{00000000-0005-0000-0000-000017000000}"/>
    <cellStyle name="60% - Accent4 2" xfId="27" xr:uid="{00000000-0005-0000-0000-000018000000}"/>
    <cellStyle name="60% - Accent5 2" xfId="28" xr:uid="{00000000-0005-0000-0000-000019000000}"/>
    <cellStyle name="60% - Accent6 2" xfId="29" xr:uid="{00000000-0005-0000-0000-00001A000000}"/>
    <cellStyle name="Accent1 - 20%" xfId="30" xr:uid="{00000000-0005-0000-0000-00001B000000}"/>
    <cellStyle name="Accent1 - 40%" xfId="31" xr:uid="{00000000-0005-0000-0000-00001C000000}"/>
    <cellStyle name="Accent1 - 60%" xfId="32" xr:uid="{00000000-0005-0000-0000-00001D000000}"/>
    <cellStyle name="Accent1 2" xfId="33" xr:uid="{00000000-0005-0000-0000-00001E000000}"/>
    <cellStyle name="Accent2 - 20%" xfId="34" xr:uid="{00000000-0005-0000-0000-00001F000000}"/>
    <cellStyle name="Accent2 - 40%" xfId="35" xr:uid="{00000000-0005-0000-0000-000020000000}"/>
    <cellStyle name="Accent2 - 60%" xfId="36" xr:uid="{00000000-0005-0000-0000-000021000000}"/>
    <cellStyle name="Accent2 2" xfId="37" xr:uid="{00000000-0005-0000-0000-000022000000}"/>
    <cellStyle name="Accent3 - 20%" xfId="38" xr:uid="{00000000-0005-0000-0000-000023000000}"/>
    <cellStyle name="Accent3 - 40%" xfId="39" xr:uid="{00000000-0005-0000-0000-000024000000}"/>
    <cellStyle name="Accent3 - 60%" xfId="40" xr:uid="{00000000-0005-0000-0000-000025000000}"/>
    <cellStyle name="Accent3 2" xfId="41" xr:uid="{00000000-0005-0000-0000-000026000000}"/>
    <cellStyle name="Accent4 - 20%" xfId="42" xr:uid="{00000000-0005-0000-0000-000027000000}"/>
    <cellStyle name="Accent4 - 40%" xfId="43" xr:uid="{00000000-0005-0000-0000-000028000000}"/>
    <cellStyle name="Accent4 - 60%" xfId="44" xr:uid="{00000000-0005-0000-0000-000029000000}"/>
    <cellStyle name="Accent4 2" xfId="45" xr:uid="{00000000-0005-0000-0000-00002A000000}"/>
    <cellStyle name="Accent5 - 20%" xfId="46" xr:uid="{00000000-0005-0000-0000-00002B000000}"/>
    <cellStyle name="Accent5 - 40%" xfId="47" xr:uid="{00000000-0005-0000-0000-00002C000000}"/>
    <cellStyle name="Accent5 - 60%" xfId="48" xr:uid="{00000000-0005-0000-0000-00002D000000}"/>
    <cellStyle name="Accent5 2" xfId="49" xr:uid="{00000000-0005-0000-0000-00002E000000}"/>
    <cellStyle name="Accent6 - 20%" xfId="50" xr:uid="{00000000-0005-0000-0000-00002F000000}"/>
    <cellStyle name="Accent6 - 40%" xfId="51" xr:uid="{00000000-0005-0000-0000-000030000000}"/>
    <cellStyle name="Accent6 - 60%" xfId="52" xr:uid="{00000000-0005-0000-0000-000031000000}"/>
    <cellStyle name="Accent6 2" xfId="53" xr:uid="{00000000-0005-0000-0000-000032000000}"/>
    <cellStyle name="Agara" xfId="54" xr:uid="{00000000-0005-0000-0000-000033000000}"/>
    <cellStyle name="Assumptions Right Number" xfId="55" xr:uid="{00000000-0005-0000-0000-000034000000}"/>
    <cellStyle name="Assumptions Right Number 2" xfId="273" xr:uid="{00000000-0005-0000-0000-000035000000}"/>
    <cellStyle name="B79812_.wvu.PrintTitlest" xfId="56" xr:uid="{00000000-0005-0000-0000-000036000000}"/>
    <cellStyle name="Bad 2" xfId="57" xr:uid="{00000000-0005-0000-0000-000037000000}"/>
    <cellStyle name="Black" xfId="58" xr:uid="{00000000-0005-0000-0000-000038000000}"/>
    <cellStyle name="Blockout" xfId="59" xr:uid="{00000000-0005-0000-0000-000039000000}"/>
    <cellStyle name="Blockout 2" xfId="60" xr:uid="{00000000-0005-0000-0000-00003A000000}"/>
    <cellStyle name="Blockout 2 2" xfId="306" xr:uid="{00000000-0005-0000-0000-00003B000000}"/>
    <cellStyle name="Blockout 3" xfId="305" xr:uid="{00000000-0005-0000-0000-00003C000000}"/>
    <cellStyle name="Blue" xfId="61" xr:uid="{00000000-0005-0000-0000-00003D000000}"/>
    <cellStyle name="Calcs_Divider" xfId="62" xr:uid="{00000000-0005-0000-0000-00003E000000}"/>
    <cellStyle name="Calculation 2" xfId="63" xr:uid="{00000000-0005-0000-0000-00003F000000}"/>
    <cellStyle name="Calculation 2 2" xfId="275" xr:uid="{00000000-0005-0000-0000-000040000000}"/>
    <cellStyle name="Check" xfId="64" xr:uid="{00000000-0005-0000-0000-000041000000}"/>
    <cellStyle name="Check 2" xfId="280" xr:uid="{00000000-0005-0000-0000-000042000000}"/>
    <cellStyle name="Check Cell 2" xfId="65" xr:uid="{00000000-0005-0000-0000-000043000000}"/>
    <cellStyle name="Column_Heading_1" xfId="66" xr:uid="{00000000-0005-0000-0000-000044000000}"/>
    <cellStyle name="Comma" xfId="304" builtinId="3"/>
    <cellStyle name="Comma [0]7Z_87C" xfId="67" xr:uid="{00000000-0005-0000-0000-000046000000}"/>
    <cellStyle name="Comma 0" xfId="68" xr:uid="{00000000-0005-0000-0000-000047000000}"/>
    <cellStyle name="Comma 1" xfId="69" xr:uid="{00000000-0005-0000-0000-000048000000}"/>
    <cellStyle name="Comma 1 2" xfId="70" xr:uid="{00000000-0005-0000-0000-000049000000}"/>
    <cellStyle name="Comma 10" xfId="274" xr:uid="{00000000-0005-0000-0000-00004A000000}"/>
    <cellStyle name="Comma 10 2" xfId="334" xr:uid="{00000000-0005-0000-0000-00004B000000}"/>
    <cellStyle name="Comma 11" xfId="269" xr:uid="{00000000-0005-0000-0000-00004C000000}"/>
    <cellStyle name="Comma 11 2" xfId="333" xr:uid="{00000000-0005-0000-0000-00004D000000}"/>
    <cellStyle name="Comma 12" xfId="337" xr:uid="{00000000-0005-0000-0000-00004E000000}"/>
    <cellStyle name="Comma 13" xfId="338" xr:uid="{00000000-0005-0000-0000-00004F000000}"/>
    <cellStyle name="Comma 2" xfId="71" xr:uid="{00000000-0005-0000-0000-000050000000}"/>
    <cellStyle name="Comma 2 2" xfId="72" xr:uid="{00000000-0005-0000-0000-000051000000}"/>
    <cellStyle name="Comma 2 2 2" xfId="308" xr:uid="{00000000-0005-0000-0000-000052000000}"/>
    <cellStyle name="Comma 2 3" xfId="73" xr:uid="{00000000-0005-0000-0000-000053000000}"/>
    <cellStyle name="Comma 2 3 2" xfId="74" xr:uid="{00000000-0005-0000-0000-000054000000}"/>
    <cellStyle name="Comma 2 3 2 2" xfId="310" xr:uid="{00000000-0005-0000-0000-000055000000}"/>
    <cellStyle name="Comma 2 3 3" xfId="309" xr:uid="{00000000-0005-0000-0000-000056000000}"/>
    <cellStyle name="Comma 2 4" xfId="75" xr:uid="{00000000-0005-0000-0000-000057000000}"/>
    <cellStyle name="Comma 2 4 2" xfId="311" xr:uid="{00000000-0005-0000-0000-000058000000}"/>
    <cellStyle name="Comma 2 5" xfId="76" xr:uid="{00000000-0005-0000-0000-000059000000}"/>
    <cellStyle name="Comma 2 5 2" xfId="312" xr:uid="{00000000-0005-0000-0000-00005A000000}"/>
    <cellStyle name="Comma 2 6" xfId="307" xr:uid="{00000000-0005-0000-0000-00005B000000}"/>
    <cellStyle name="Comma 3" xfId="77" xr:uid="{00000000-0005-0000-0000-00005C000000}"/>
    <cellStyle name="Comma 3 2" xfId="78" xr:uid="{00000000-0005-0000-0000-00005D000000}"/>
    <cellStyle name="Comma 3 3" xfId="79" xr:uid="{00000000-0005-0000-0000-00005E000000}"/>
    <cellStyle name="Comma 3 3 2" xfId="313" xr:uid="{00000000-0005-0000-0000-00005F000000}"/>
    <cellStyle name="Comma 4" xfId="80" xr:uid="{00000000-0005-0000-0000-000060000000}"/>
    <cellStyle name="Comma 4 2" xfId="314" xr:uid="{00000000-0005-0000-0000-000061000000}"/>
    <cellStyle name="Comma 5" xfId="81" xr:uid="{00000000-0005-0000-0000-000062000000}"/>
    <cellStyle name="Comma 5 2" xfId="315" xr:uid="{00000000-0005-0000-0000-000063000000}"/>
    <cellStyle name="Comma 6" xfId="82" xr:uid="{00000000-0005-0000-0000-000064000000}"/>
    <cellStyle name="Comma 6 2" xfId="316" xr:uid="{00000000-0005-0000-0000-000065000000}"/>
    <cellStyle name="Comma 7" xfId="83" xr:uid="{00000000-0005-0000-0000-000066000000}"/>
    <cellStyle name="Comma 7 2" xfId="317" xr:uid="{00000000-0005-0000-0000-000067000000}"/>
    <cellStyle name="Comma 8" xfId="84" xr:uid="{00000000-0005-0000-0000-000068000000}"/>
    <cellStyle name="Comma 8 2" xfId="318" xr:uid="{00000000-0005-0000-0000-000069000000}"/>
    <cellStyle name="Comma 9" xfId="267" xr:uid="{00000000-0005-0000-0000-00006A000000}"/>
    <cellStyle name="Comma 9 2" xfId="332" xr:uid="{00000000-0005-0000-0000-00006B000000}"/>
    <cellStyle name="Comma0" xfId="85" xr:uid="{00000000-0005-0000-0000-00006C000000}"/>
    <cellStyle name="Currency 11" xfId="86" xr:uid="{00000000-0005-0000-0000-00006D000000}"/>
    <cellStyle name="Currency 11 2" xfId="87" xr:uid="{00000000-0005-0000-0000-00006E000000}"/>
    <cellStyle name="Currency 11 2 2" xfId="320" xr:uid="{00000000-0005-0000-0000-00006F000000}"/>
    <cellStyle name="Currency 11 3" xfId="319" xr:uid="{00000000-0005-0000-0000-000070000000}"/>
    <cellStyle name="Currency 2" xfId="88" xr:uid="{00000000-0005-0000-0000-000071000000}"/>
    <cellStyle name="Currency 2 2" xfId="89" xr:uid="{00000000-0005-0000-0000-000072000000}"/>
    <cellStyle name="Currency 2 2 2" xfId="322" xr:uid="{00000000-0005-0000-0000-000073000000}"/>
    <cellStyle name="Currency 2 3" xfId="321" xr:uid="{00000000-0005-0000-0000-000074000000}"/>
    <cellStyle name="Currency 3" xfId="90" xr:uid="{00000000-0005-0000-0000-000075000000}"/>
    <cellStyle name="Currency 3 2" xfId="91" xr:uid="{00000000-0005-0000-0000-000076000000}"/>
    <cellStyle name="Currency 3 2 2" xfId="324" xr:uid="{00000000-0005-0000-0000-000077000000}"/>
    <cellStyle name="Currency 3 3" xfId="323" xr:uid="{00000000-0005-0000-0000-000078000000}"/>
    <cellStyle name="Currency 4" xfId="92" xr:uid="{00000000-0005-0000-0000-000079000000}"/>
    <cellStyle name="Currency 4 2" xfId="93" xr:uid="{00000000-0005-0000-0000-00007A000000}"/>
    <cellStyle name="Currency 4 2 2" xfId="326" xr:uid="{00000000-0005-0000-0000-00007B000000}"/>
    <cellStyle name="Currency 4 3" xfId="325" xr:uid="{00000000-0005-0000-0000-00007C000000}"/>
    <cellStyle name="Currency 5" xfId="94" xr:uid="{00000000-0005-0000-0000-00007D000000}"/>
    <cellStyle name="Currency 5 2" xfId="284" xr:uid="{00000000-0005-0000-0000-00007E000000}"/>
    <cellStyle name="Currency 5 2 2" xfId="335" xr:uid="{00000000-0005-0000-0000-00007F000000}"/>
    <cellStyle name="Currency 5 3" xfId="327" xr:uid="{00000000-0005-0000-0000-000080000000}"/>
    <cellStyle name="D4_B8B1_005004B79812_.wvu.PrintTitlest" xfId="95" xr:uid="{00000000-0005-0000-0000-000081000000}"/>
    <cellStyle name="Date" xfId="96" xr:uid="{00000000-0005-0000-0000-000082000000}"/>
    <cellStyle name="Date 2" xfId="97" xr:uid="{00000000-0005-0000-0000-000083000000}"/>
    <cellStyle name="Emphasis 1" xfId="98" xr:uid="{00000000-0005-0000-0000-000084000000}"/>
    <cellStyle name="Emphasis 2" xfId="99" xr:uid="{00000000-0005-0000-0000-000085000000}"/>
    <cellStyle name="Emphasis 3" xfId="100" xr:uid="{00000000-0005-0000-0000-000086000000}"/>
    <cellStyle name="Empty_Cell" xfId="101" xr:uid="{00000000-0005-0000-0000-000087000000}"/>
    <cellStyle name="Euro" xfId="102" xr:uid="{00000000-0005-0000-0000-000088000000}"/>
    <cellStyle name="Explanatory Text 2" xfId="103" xr:uid="{00000000-0005-0000-0000-000089000000}"/>
    <cellStyle name="Fixed" xfId="104" xr:uid="{00000000-0005-0000-0000-00008A000000}"/>
    <cellStyle name="Fixed 2" xfId="105" xr:uid="{00000000-0005-0000-0000-00008B000000}"/>
    <cellStyle name="Gilsans" xfId="106" xr:uid="{00000000-0005-0000-0000-00008C000000}"/>
    <cellStyle name="Gilsansl" xfId="107" xr:uid="{00000000-0005-0000-0000-00008D000000}"/>
    <cellStyle name="Good 2" xfId="108" xr:uid="{00000000-0005-0000-0000-00008E000000}"/>
    <cellStyle name="Header1" xfId="109" xr:uid="{00000000-0005-0000-0000-00008F000000}"/>
    <cellStyle name="Header2" xfId="110" xr:uid="{00000000-0005-0000-0000-000090000000}"/>
    <cellStyle name="Header3" xfId="111" xr:uid="{00000000-0005-0000-0000-000091000000}"/>
    <cellStyle name="Header4" xfId="112" xr:uid="{00000000-0005-0000-0000-000092000000}"/>
    <cellStyle name="Header5" xfId="113" xr:uid="{00000000-0005-0000-0000-000093000000}"/>
    <cellStyle name="Heading 1 2" xfId="114" xr:uid="{00000000-0005-0000-0000-000094000000}"/>
    <cellStyle name="Heading 1 2 2" xfId="115" xr:uid="{00000000-0005-0000-0000-000095000000}"/>
    <cellStyle name="Heading 1 3" xfId="116" xr:uid="{00000000-0005-0000-0000-000096000000}"/>
    <cellStyle name="Heading 2 2" xfId="117" xr:uid="{00000000-0005-0000-0000-000097000000}"/>
    <cellStyle name="Heading 2 2 2" xfId="118" xr:uid="{00000000-0005-0000-0000-000098000000}"/>
    <cellStyle name="Heading 2 3" xfId="119" xr:uid="{00000000-0005-0000-0000-000099000000}"/>
    <cellStyle name="Heading 3 2" xfId="120" xr:uid="{00000000-0005-0000-0000-00009A000000}"/>
    <cellStyle name="Heading 3 2 2" xfId="121" xr:uid="{00000000-0005-0000-0000-00009B000000}"/>
    <cellStyle name="Heading 3 3" xfId="122" xr:uid="{00000000-0005-0000-0000-00009C000000}"/>
    <cellStyle name="Heading 4 2" xfId="123" xr:uid="{00000000-0005-0000-0000-00009D000000}"/>
    <cellStyle name="Heading 4 2 2" xfId="124" xr:uid="{00000000-0005-0000-0000-00009E000000}"/>
    <cellStyle name="Heading 4 3" xfId="125" xr:uid="{00000000-0005-0000-0000-00009F000000}"/>
    <cellStyle name="Heading(4)" xfId="126" xr:uid="{00000000-0005-0000-0000-0000A0000000}"/>
    <cellStyle name="Hyperlink" xfId="2" builtinId="8"/>
    <cellStyle name="Hyperlink 2" xfId="127" xr:uid="{00000000-0005-0000-0000-0000A2000000}"/>
    <cellStyle name="Hyperlink 3" xfId="263" xr:uid="{00000000-0005-0000-0000-0000A3000000}"/>
    <cellStyle name="Hyperlink 4" xfId="282" xr:uid="{00000000-0005-0000-0000-0000A4000000}"/>
    <cellStyle name="Hyperlink Arrow" xfId="128" xr:uid="{00000000-0005-0000-0000-0000A5000000}"/>
    <cellStyle name="Hyperlink Text" xfId="129" xr:uid="{00000000-0005-0000-0000-0000A6000000}"/>
    <cellStyle name="import" xfId="293" xr:uid="{00000000-0005-0000-0000-0000A7000000}"/>
    <cellStyle name="import%" xfId="294" xr:uid="{00000000-0005-0000-0000-0000A8000000}"/>
    <cellStyle name="import_ICRC Electricity model 1-1  (1 Feb 2003) " xfId="295" xr:uid="{00000000-0005-0000-0000-0000A9000000}"/>
    <cellStyle name="Input" xfId="1" builtinId="20"/>
    <cellStyle name="Input 2" xfId="130" xr:uid="{00000000-0005-0000-0000-0000AB000000}"/>
    <cellStyle name="Input 2 2" xfId="276" xr:uid="{00000000-0005-0000-0000-0000AC000000}"/>
    <cellStyle name="Input|Date" xfId="131" xr:uid="{00000000-0005-0000-0000-0000AD000000}"/>
    <cellStyle name="Input1" xfId="132" xr:uid="{00000000-0005-0000-0000-0000AE000000}"/>
    <cellStyle name="Input1 2" xfId="133" xr:uid="{00000000-0005-0000-0000-0000AF000000}"/>
    <cellStyle name="Input1 2 2" xfId="329" xr:uid="{00000000-0005-0000-0000-0000B0000000}"/>
    <cellStyle name="Input1 3" xfId="296" xr:uid="{00000000-0005-0000-0000-0000B1000000}"/>
    <cellStyle name="Input1 3 2" xfId="336" xr:uid="{00000000-0005-0000-0000-0000B2000000}"/>
    <cellStyle name="Input1 4" xfId="328" xr:uid="{00000000-0005-0000-0000-0000B3000000}"/>
    <cellStyle name="Input1%" xfId="297" xr:uid="{00000000-0005-0000-0000-0000B4000000}"/>
    <cellStyle name="Input1_ICRC Electricity model 1-1  (1 Feb 2003) " xfId="298" xr:uid="{00000000-0005-0000-0000-0000B5000000}"/>
    <cellStyle name="Input1default" xfId="299" xr:uid="{00000000-0005-0000-0000-0000B6000000}"/>
    <cellStyle name="Input1default%" xfId="300" xr:uid="{00000000-0005-0000-0000-0000B7000000}"/>
    <cellStyle name="Input2" xfId="134" xr:uid="{00000000-0005-0000-0000-0000B8000000}"/>
    <cellStyle name="Input2 2" xfId="135" xr:uid="{00000000-0005-0000-0000-0000B9000000}"/>
    <cellStyle name="Input3" xfId="136" xr:uid="{00000000-0005-0000-0000-0000BA000000}"/>
    <cellStyle name="Input3 2" xfId="137" xr:uid="{00000000-0005-0000-0000-0000BB000000}"/>
    <cellStyle name="Input3 2 2" xfId="331" xr:uid="{00000000-0005-0000-0000-0000BC000000}"/>
    <cellStyle name="Input3 3" xfId="330" xr:uid="{00000000-0005-0000-0000-0000BD000000}"/>
    <cellStyle name="Inputs_Divider" xfId="138" xr:uid="{00000000-0005-0000-0000-0000BE000000}"/>
    <cellStyle name="InSheet" xfId="139" xr:uid="{00000000-0005-0000-0000-0000BF000000}"/>
    <cellStyle name="key result" xfId="301" xr:uid="{00000000-0005-0000-0000-0000C0000000}"/>
    <cellStyle name="Lines" xfId="140" xr:uid="{00000000-0005-0000-0000-0000C1000000}"/>
    <cellStyle name="Linked Cell 2" xfId="141" xr:uid="{00000000-0005-0000-0000-0000C2000000}"/>
    <cellStyle name="Local import" xfId="302" xr:uid="{00000000-0005-0000-0000-0000C3000000}"/>
    <cellStyle name="Local import %" xfId="303" xr:uid="{00000000-0005-0000-0000-0000C4000000}"/>
    <cellStyle name="Mine" xfId="142" xr:uid="{00000000-0005-0000-0000-0000C5000000}"/>
    <cellStyle name="Model Name" xfId="143" xr:uid="{00000000-0005-0000-0000-0000C6000000}"/>
    <cellStyle name="Neutral 2" xfId="144" xr:uid="{00000000-0005-0000-0000-0000C7000000}"/>
    <cellStyle name="Normal" xfId="0" builtinId="0"/>
    <cellStyle name="Normal - Style1" xfId="145" xr:uid="{00000000-0005-0000-0000-0000C9000000}"/>
    <cellStyle name="Normal 10" xfId="146" xr:uid="{00000000-0005-0000-0000-0000CA000000}"/>
    <cellStyle name="Normal 10 2" xfId="285" xr:uid="{00000000-0005-0000-0000-0000CB000000}"/>
    <cellStyle name="Normal 106" xfId="339" xr:uid="{D4B143B1-B431-414A-B984-3F64BDDE0F70}"/>
    <cellStyle name="Normal 11" xfId="265" xr:uid="{00000000-0005-0000-0000-0000CC000000}"/>
    <cellStyle name="Normal 12" xfId="281" xr:uid="{00000000-0005-0000-0000-0000CD000000}"/>
    <cellStyle name="Normal 13" xfId="147" xr:uid="{00000000-0005-0000-0000-0000CE000000}"/>
    <cellStyle name="Normal 13 2" xfId="148" xr:uid="{00000000-0005-0000-0000-0000CF000000}"/>
    <cellStyle name="Normal 13_29(d) - Gas extensions -tariffs" xfId="149" xr:uid="{00000000-0005-0000-0000-0000D0000000}"/>
    <cellStyle name="Normal 14" xfId="271" xr:uid="{00000000-0005-0000-0000-0000D1000000}"/>
    <cellStyle name="Normal 15" xfId="150" xr:uid="{00000000-0005-0000-0000-0000D2000000}"/>
    <cellStyle name="Normal 16" xfId="151" xr:uid="{00000000-0005-0000-0000-0000D3000000}"/>
    <cellStyle name="Normal 2" xfId="3" xr:uid="{00000000-0005-0000-0000-0000D4000000}"/>
    <cellStyle name="Normal 2 2" xfId="152" xr:uid="{00000000-0005-0000-0000-0000D5000000}"/>
    <cellStyle name="Normal 2 2 2" xfId="153" xr:uid="{00000000-0005-0000-0000-0000D6000000}"/>
    <cellStyle name="Normal 2 3" xfId="154" xr:uid="{00000000-0005-0000-0000-0000D7000000}"/>
    <cellStyle name="Normal 2 3 2" xfId="155" xr:uid="{00000000-0005-0000-0000-0000D8000000}"/>
    <cellStyle name="Normal 2 3_29(d) - Gas extensions -tariffs" xfId="156" xr:uid="{00000000-0005-0000-0000-0000D9000000}"/>
    <cellStyle name="Normal 2 4" xfId="157" xr:uid="{00000000-0005-0000-0000-0000DA000000}"/>
    <cellStyle name="Normal 2 5" xfId="158" xr:uid="{00000000-0005-0000-0000-0000DB000000}"/>
    <cellStyle name="Normal 2 6" xfId="283" xr:uid="{00000000-0005-0000-0000-0000DC000000}"/>
    <cellStyle name="Normal 2_29(d) - Gas extensions -tariffs" xfId="159" xr:uid="{00000000-0005-0000-0000-0000DD000000}"/>
    <cellStyle name="Normal 3" xfId="160" xr:uid="{00000000-0005-0000-0000-0000DE000000}"/>
    <cellStyle name="Normal 3 2" xfId="161" xr:uid="{00000000-0005-0000-0000-0000DF000000}"/>
    <cellStyle name="Normal 3 3" xfId="290" xr:uid="{00000000-0005-0000-0000-0000E0000000}"/>
    <cellStyle name="Normal 3_29(d) - Gas extensions -tariffs" xfId="162" xr:uid="{00000000-0005-0000-0000-0000E1000000}"/>
    <cellStyle name="Normal 34" xfId="270" xr:uid="{00000000-0005-0000-0000-0000E2000000}"/>
    <cellStyle name="Normal 38" xfId="163" xr:uid="{00000000-0005-0000-0000-0000E3000000}"/>
    <cellStyle name="Normal 38 2" xfId="164" xr:uid="{00000000-0005-0000-0000-0000E4000000}"/>
    <cellStyle name="Normal 38_29(d) - Gas extensions -tariffs" xfId="165" xr:uid="{00000000-0005-0000-0000-0000E5000000}"/>
    <cellStyle name="Normal 4" xfId="166" xr:uid="{00000000-0005-0000-0000-0000E6000000}"/>
    <cellStyle name="Normal 4 2" xfId="167" xr:uid="{00000000-0005-0000-0000-0000E7000000}"/>
    <cellStyle name="Normal 4 3" xfId="168" xr:uid="{00000000-0005-0000-0000-0000E8000000}"/>
    <cellStyle name="Normal 4 3 2" xfId="286" xr:uid="{00000000-0005-0000-0000-0000E9000000}"/>
    <cellStyle name="Normal 4_29(d) - Gas extensions -tariffs" xfId="169" xr:uid="{00000000-0005-0000-0000-0000EA000000}"/>
    <cellStyle name="Normal 40" xfId="170" xr:uid="{00000000-0005-0000-0000-0000EB000000}"/>
    <cellStyle name="Normal 40 2" xfId="171" xr:uid="{00000000-0005-0000-0000-0000EC000000}"/>
    <cellStyle name="Normal 40_29(d) - Gas extensions -tariffs" xfId="172" xr:uid="{00000000-0005-0000-0000-0000ED000000}"/>
    <cellStyle name="Normal 5" xfId="173" xr:uid="{00000000-0005-0000-0000-0000EE000000}"/>
    <cellStyle name="Normal 5 2" xfId="174" xr:uid="{00000000-0005-0000-0000-0000EF000000}"/>
    <cellStyle name="Normal 6" xfId="175" xr:uid="{00000000-0005-0000-0000-0000F0000000}"/>
    <cellStyle name="Normal 6 2" xfId="176" xr:uid="{00000000-0005-0000-0000-0000F1000000}"/>
    <cellStyle name="Normal 7" xfId="177" xr:uid="{00000000-0005-0000-0000-0000F2000000}"/>
    <cellStyle name="Normal 7 2" xfId="178" xr:uid="{00000000-0005-0000-0000-0000F3000000}"/>
    <cellStyle name="Normal 7 2 2" xfId="287" xr:uid="{00000000-0005-0000-0000-0000F4000000}"/>
    <cellStyle name="Normal 8" xfId="179" xr:uid="{00000000-0005-0000-0000-0000F5000000}"/>
    <cellStyle name="Normal 9" xfId="180" xr:uid="{00000000-0005-0000-0000-0000F6000000}"/>
    <cellStyle name="Note 2" xfId="181" xr:uid="{00000000-0005-0000-0000-0000F7000000}"/>
    <cellStyle name="Note 2 2" xfId="277" xr:uid="{00000000-0005-0000-0000-0000F8000000}"/>
    <cellStyle name="OffSheet" xfId="182" xr:uid="{00000000-0005-0000-0000-0000F9000000}"/>
    <cellStyle name="Output 2" xfId="183" xr:uid="{00000000-0005-0000-0000-0000FA000000}"/>
    <cellStyle name="Output 2 2" xfId="278" xr:uid="{00000000-0005-0000-0000-0000FB000000}"/>
    <cellStyle name="Percent" xfId="268" builtinId="5"/>
    <cellStyle name="Percent [2]" xfId="184" xr:uid="{00000000-0005-0000-0000-0000FD000000}"/>
    <cellStyle name="Percent [2] 2" xfId="185" xr:uid="{00000000-0005-0000-0000-0000FE000000}"/>
    <cellStyle name="Percent [2]_29(d) - Gas extensions -tariffs" xfId="186" xr:uid="{00000000-0005-0000-0000-0000FF000000}"/>
    <cellStyle name="Percent 10" xfId="272" xr:uid="{00000000-0005-0000-0000-000000010000}"/>
    <cellStyle name="Percent 2" xfId="187" xr:uid="{00000000-0005-0000-0000-000001010000}"/>
    <cellStyle name="Percent 2 2" xfId="188" xr:uid="{00000000-0005-0000-0000-000002010000}"/>
    <cellStyle name="Percent 2 3" xfId="291" xr:uid="{00000000-0005-0000-0000-000003010000}"/>
    <cellStyle name="Percent 3" xfId="189" xr:uid="{00000000-0005-0000-0000-000004010000}"/>
    <cellStyle name="Percent 3 2" xfId="190" xr:uid="{00000000-0005-0000-0000-000005010000}"/>
    <cellStyle name="Percent 4" xfId="191" xr:uid="{00000000-0005-0000-0000-000006010000}"/>
    <cellStyle name="Percent 5" xfId="192" xr:uid="{00000000-0005-0000-0000-000007010000}"/>
    <cellStyle name="Percent 5 2" xfId="288" xr:uid="{00000000-0005-0000-0000-000008010000}"/>
    <cellStyle name="Percent 6" xfId="264" xr:uid="{00000000-0005-0000-0000-000009010000}"/>
    <cellStyle name="Percent 7" xfId="193" xr:uid="{00000000-0005-0000-0000-00000A010000}"/>
    <cellStyle name="Percent 8" xfId="266" xr:uid="{00000000-0005-0000-0000-00000B010000}"/>
    <cellStyle name="Percent 9" xfId="289" xr:uid="{00000000-0005-0000-0000-00000C010000}"/>
    <cellStyle name="Percentage" xfId="194" xr:uid="{00000000-0005-0000-0000-00000D010000}"/>
    <cellStyle name="Period Title" xfId="195" xr:uid="{00000000-0005-0000-0000-00000E010000}"/>
    <cellStyle name="PSChar" xfId="196" xr:uid="{00000000-0005-0000-0000-00000F010000}"/>
    <cellStyle name="PSDate" xfId="197" xr:uid="{00000000-0005-0000-0000-000010010000}"/>
    <cellStyle name="PSDec" xfId="198" xr:uid="{00000000-0005-0000-0000-000011010000}"/>
    <cellStyle name="PSDetail" xfId="199" xr:uid="{00000000-0005-0000-0000-000012010000}"/>
    <cellStyle name="PSHeading" xfId="200" xr:uid="{00000000-0005-0000-0000-000013010000}"/>
    <cellStyle name="PSInt" xfId="201" xr:uid="{00000000-0005-0000-0000-000014010000}"/>
    <cellStyle name="PSSpacer" xfId="202" xr:uid="{00000000-0005-0000-0000-000015010000}"/>
    <cellStyle name="Ratio" xfId="203" xr:uid="{00000000-0005-0000-0000-000016010000}"/>
    <cellStyle name="Ratio 2" xfId="204" xr:uid="{00000000-0005-0000-0000-000017010000}"/>
    <cellStyle name="Ratio_29(d) - Gas extensions -tariffs" xfId="205" xr:uid="{00000000-0005-0000-0000-000018010000}"/>
    <cellStyle name="Right Date" xfId="206" xr:uid="{00000000-0005-0000-0000-000019010000}"/>
    <cellStyle name="Right Number" xfId="207" xr:uid="{00000000-0005-0000-0000-00001A010000}"/>
    <cellStyle name="Right Year" xfId="208" xr:uid="{00000000-0005-0000-0000-00001B010000}"/>
    <cellStyle name="SAPError" xfId="209" xr:uid="{00000000-0005-0000-0000-00001C010000}"/>
    <cellStyle name="SAPError 2" xfId="210" xr:uid="{00000000-0005-0000-0000-00001D010000}"/>
    <cellStyle name="SAPKey" xfId="211" xr:uid="{00000000-0005-0000-0000-00001E010000}"/>
    <cellStyle name="SAPKey 2" xfId="212" xr:uid="{00000000-0005-0000-0000-00001F010000}"/>
    <cellStyle name="SAPLocked" xfId="213" xr:uid="{00000000-0005-0000-0000-000020010000}"/>
    <cellStyle name="SAPLocked 2" xfId="214" xr:uid="{00000000-0005-0000-0000-000021010000}"/>
    <cellStyle name="SAPOutput" xfId="215" xr:uid="{00000000-0005-0000-0000-000022010000}"/>
    <cellStyle name="SAPOutput 2" xfId="216" xr:uid="{00000000-0005-0000-0000-000023010000}"/>
    <cellStyle name="SAPSpace" xfId="217" xr:uid="{00000000-0005-0000-0000-000024010000}"/>
    <cellStyle name="SAPSpace 2" xfId="218" xr:uid="{00000000-0005-0000-0000-000025010000}"/>
    <cellStyle name="SAPText" xfId="219" xr:uid="{00000000-0005-0000-0000-000026010000}"/>
    <cellStyle name="SAPText 2" xfId="220" xr:uid="{00000000-0005-0000-0000-000027010000}"/>
    <cellStyle name="SAPUnLocked" xfId="221" xr:uid="{00000000-0005-0000-0000-000028010000}"/>
    <cellStyle name="SAPUnLocked 2" xfId="222" xr:uid="{00000000-0005-0000-0000-000029010000}"/>
    <cellStyle name="Sheet Title" xfId="223" xr:uid="{00000000-0005-0000-0000-00002A010000}"/>
    <cellStyle name="SheetHeader1" xfId="224" xr:uid="{00000000-0005-0000-0000-00002B010000}"/>
    <cellStyle name="SheetHeader2" xfId="225" xr:uid="{00000000-0005-0000-0000-00002C010000}"/>
    <cellStyle name="SheetHeader3" xfId="226" xr:uid="{00000000-0005-0000-0000-00002D010000}"/>
    <cellStyle name="Style 1" xfId="227" xr:uid="{00000000-0005-0000-0000-00002E010000}"/>
    <cellStyle name="Style 1 2" xfId="228" xr:uid="{00000000-0005-0000-0000-00002F010000}"/>
    <cellStyle name="Style 1_29(d) - Gas extensions -tariffs" xfId="229" xr:uid="{00000000-0005-0000-0000-000030010000}"/>
    <cellStyle name="Style2" xfId="230" xr:uid="{00000000-0005-0000-0000-000031010000}"/>
    <cellStyle name="Style3" xfId="231" xr:uid="{00000000-0005-0000-0000-000032010000}"/>
    <cellStyle name="Style4" xfId="232" xr:uid="{00000000-0005-0000-0000-000033010000}"/>
    <cellStyle name="Style4 2" xfId="233" xr:uid="{00000000-0005-0000-0000-000034010000}"/>
    <cellStyle name="Style4_29(d) - Gas extensions -tariffs" xfId="234" xr:uid="{00000000-0005-0000-0000-000035010000}"/>
    <cellStyle name="Style5" xfId="235" xr:uid="{00000000-0005-0000-0000-000036010000}"/>
    <cellStyle name="Style5 2" xfId="236" xr:uid="{00000000-0005-0000-0000-000037010000}"/>
    <cellStyle name="Style5_29(d) - Gas extensions -tariffs" xfId="237" xr:uid="{00000000-0005-0000-0000-000038010000}"/>
    <cellStyle name="Table Head Green" xfId="238" xr:uid="{00000000-0005-0000-0000-000039010000}"/>
    <cellStyle name="Table Head_pldt" xfId="239" xr:uid="{00000000-0005-0000-0000-00003A010000}"/>
    <cellStyle name="Table Source" xfId="240" xr:uid="{00000000-0005-0000-0000-00003B010000}"/>
    <cellStyle name="Table Units" xfId="241" xr:uid="{00000000-0005-0000-0000-00003C010000}"/>
    <cellStyle name="Table_Heading" xfId="242" xr:uid="{00000000-0005-0000-0000-00003D010000}"/>
    <cellStyle name="Technical_Input" xfId="243" xr:uid="{00000000-0005-0000-0000-00003E010000}"/>
    <cellStyle name="Text" xfId="244" xr:uid="{00000000-0005-0000-0000-00003F010000}"/>
    <cellStyle name="Text 2" xfId="245" xr:uid="{00000000-0005-0000-0000-000040010000}"/>
    <cellStyle name="Text 3" xfId="246" xr:uid="{00000000-0005-0000-0000-000041010000}"/>
    <cellStyle name="Text Head 1" xfId="247" xr:uid="{00000000-0005-0000-0000-000042010000}"/>
    <cellStyle name="Text Head 2" xfId="248" xr:uid="{00000000-0005-0000-0000-000043010000}"/>
    <cellStyle name="Text Indent 2" xfId="249" xr:uid="{00000000-0005-0000-0000-000044010000}"/>
    <cellStyle name="Theirs" xfId="250" xr:uid="{00000000-0005-0000-0000-000045010000}"/>
    <cellStyle name="Title 2" xfId="251" xr:uid="{00000000-0005-0000-0000-000046010000}"/>
    <cellStyle name="TOC 1" xfId="252" xr:uid="{00000000-0005-0000-0000-000047010000}"/>
    <cellStyle name="TOC 2" xfId="253" xr:uid="{00000000-0005-0000-0000-000048010000}"/>
    <cellStyle name="TOC 3" xfId="254" xr:uid="{00000000-0005-0000-0000-000049010000}"/>
    <cellStyle name="Total - horizontal" xfId="341" xr:uid="{A662F672-73F9-4821-9D1B-81CB9A0E9DA3}"/>
    <cellStyle name="Total - vertical" xfId="340" xr:uid="{C46C0A16-9214-45EA-A77B-BB00B01363E8}"/>
    <cellStyle name="Total 2" xfId="255" xr:uid="{00000000-0005-0000-0000-00004A010000}"/>
    <cellStyle name="Total 2 2" xfId="279" xr:uid="{00000000-0005-0000-0000-00004B010000}"/>
    <cellStyle name="Totals" xfId="256" xr:uid="{00000000-0005-0000-0000-00004C010000}"/>
    <cellStyle name="unit" xfId="257" xr:uid="{00000000-0005-0000-0000-00004D010000}"/>
    <cellStyle name="User_Input" xfId="258" xr:uid="{00000000-0005-0000-0000-00004E010000}"/>
    <cellStyle name="Warning Text 2" xfId="259" xr:uid="{00000000-0005-0000-0000-00004F010000}"/>
    <cellStyle name="year" xfId="260" xr:uid="{00000000-0005-0000-0000-000050010000}"/>
    <cellStyle name="year 2" xfId="261" xr:uid="{00000000-0005-0000-0000-000051010000}"/>
    <cellStyle name="year_29(d) - Gas extensions -tariffs" xfId="262" xr:uid="{00000000-0005-0000-0000-000052010000}"/>
  </cellStyles>
  <dxfs count="8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F99"/>
      <color rgb="FFDAEEF3"/>
      <color rgb="FFFF00FF"/>
      <color rgb="FF0000FF"/>
      <color rgb="FF006100"/>
      <color rgb="FFC6EFCE"/>
      <color rgb="FFFFCC99"/>
      <color rgb="FFCC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13"/>
  <sheetViews>
    <sheetView tabSelected="1" workbookViewId="0">
      <selection activeCell="B1" sqref="B1"/>
    </sheetView>
  </sheetViews>
  <sheetFormatPr defaultColWidth="0" defaultRowHeight="18" customHeight="1" zeroHeight="1"/>
  <cols>
    <col min="1" max="2" width="1.28515625" style="2" customWidth="1"/>
    <col min="3" max="3" width="26.42578125" style="1" customWidth="1"/>
    <col min="4" max="4" width="79.28515625" style="1" customWidth="1"/>
    <col min="5" max="5" width="2.85546875" style="1" customWidth="1"/>
    <col min="6" max="6" width="2.85546875" style="2" customWidth="1"/>
    <col min="7" max="28" width="12.7109375" style="2" hidden="1" customWidth="1"/>
    <col min="29" max="16384" width="9.140625" style="2" hidden="1"/>
  </cols>
  <sheetData>
    <row r="1" spans="2:4" s="5" customFormat="1" ht="18" customHeight="1">
      <c r="B1" s="3" t="str">
        <f>'Input | General'!$B$1</f>
        <v>Directlink 2025-30 Draft Decision - Capital expenditure sharing scheme model</v>
      </c>
      <c r="D1" s="4"/>
    </row>
    <row r="2" spans="2:4" ht="18" customHeight="1">
      <c r="B2" s="25" t="s">
        <v>0</v>
      </c>
    </row>
    <row r="3" spans="2:4" ht="3" customHeight="1">
      <c r="C3" s="2"/>
    </row>
    <row r="4" spans="2:4" s="8" customFormat="1" ht="12.75" customHeight="1">
      <c r="C4" s="21" t="s">
        <v>1</v>
      </c>
      <c r="D4" s="7"/>
    </row>
    <row r="5" spans="2:4" ht="11.25" customHeight="1"/>
    <row r="6" spans="2:4" ht="11.25" customHeight="1">
      <c r="C6" s="23" t="s">
        <v>2</v>
      </c>
      <c r="D6" s="23" t="s">
        <v>3</v>
      </c>
    </row>
    <row r="7" spans="2:4" ht="11.25" customHeight="1">
      <c r="C7" s="87" t="s">
        <v>4</v>
      </c>
      <c r="D7" s="24" t="s">
        <v>5</v>
      </c>
    </row>
    <row r="8" spans="2:4" ht="11.25" customHeight="1">
      <c r="C8" s="87" t="s">
        <v>6</v>
      </c>
      <c r="D8" s="24" t="s">
        <v>7</v>
      </c>
    </row>
    <row r="9" spans="2:4" ht="11.25" customHeight="1">
      <c r="C9" s="87" t="s">
        <v>8</v>
      </c>
      <c r="D9" s="24" t="s">
        <v>9</v>
      </c>
    </row>
    <row r="10" spans="2:4" ht="11.25" customHeight="1">
      <c r="C10" s="87" t="s">
        <v>10</v>
      </c>
      <c r="D10" s="24" t="s">
        <v>11</v>
      </c>
    </row>
    <row r="11" spans="2:4" ht="11.25" customHeight="1">
      <c r="C11" s="87" t="s">
        <v>12</v>
      </c>
      <c r="D11" s="24" t="s">
        <v>13</v>
      </c>
    </row>
    <row r="12" spans="2:4" ht="12.75" customHeight="1"/>
    <row r="13" spans="2:4" s="8" customFormat="1" ht="12.75" customHeight="1">
      <c r="C13" s="21" t="s">
        <v>14</v>
      </c>
      <c r="D13" s="7"/>
    </row>
  </sheetData>
  <hyperlinks>
    <hyperlink ref="C7" location="'Input | General'!A1" display="Input | General" xr:uid="{00000000-0004-0000-0000-000000000000}"/>
    <hyperlink ref="C9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0" location="'Calc | CESS Revenue Increments'!A1" display="Calc | CESS Revenue Increments" xr:uid="{00000000-0004-0000-0000-000003000000}"/>
    <hyperlink ref="C11" location="'Output | Models'!A1" display="Output | Models" xr:uid="{00000000-0004-0000-0000-000004000000}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</sheetPr>
  <dimension ref="A1:V21"/>
  <sheetViews>
    <sheetView workbookViewId="0">
      <selection activeCell="J1" sqref="J1"/>
    </sheetView>
  </sheetViews>
  <sheetFormatPr defaultColWidth="0" defaultRowHeight="0" customHeight="1" zeroHeight="1"/>
  <cols>
    <col min="1" max="2" width="1.28515625" style="11" customWidth="1"/>
    <col min="3" max="3" width="56.7109375" style="12" customWidth="1"/>
    <col min="4" max="4" width="20.5703125" style="11" customWidth="1"/>
    <col min="5" max="8" width="12.7109375" style="11" customWidth="1"/>
    <col min="9" max="9" width="9.42578125" style="11" customWidth="1"/>
    <col min="10" max="10" width="9.28515625" style="11" customWidth="1"/>
    <col min="11" max="12" width="2.85546875" style="11" customWidth="1"/>
    <col min="13" max="22" width="9.140625" style="11" hidden="1" customWidth="1"/>
    <col min="23" max="16384" width="12.7109375" style="11" hidden="1"/>
  </cols>
  <sheetData>
    <row r="1" spans="2:10" s="2" customFormat="1" ht="18" customHeight="1">
      <c r="B1" s="3" t="str">
        <f>$D$6&amp;" "&amp;$D$8&amp;" "&amp;D7&amp;" - "&amp;"Capital expenditure sharing scheme model"</f>
        <v>Directlink 2025-30 Draft Decision - Capital expenditure sharing scheme model</v>
      </c>
      <c r="F1" s="84"/>
      <c r="G1" s="85" t="s">
        <v>15</v>
      </c>
      <c r="H1" s="121" t="s">
        <v>16</v>
      </c>
      <c r="I1" s="125" t="s">
        <v>17</v>
      </c>
      <c r="J1" s="176" t="s">
        <v>107</v>
      </c>
    </row>
    <row r="2" spans="2:10" s="2" customFormat="1" ht="18" customHeight="1">
      <c r="B2" s="10" t="s">
        <v>4</v>
      </c>
      <c r="H2" s="177"/>
      <c r="I2" s="177"/>
    </row>
    <row r="3" spans="2:10" s="2" customFormat="1" ht="3" customHeight="1">
      <c r="B3" s="1"/>
    </row>
    <row r="4" spans="2:10" s="48" customFormat="1" ht="12.75" customHeight="1">
      <c r="B4" s="21" t="s">
        <v>4</v>
      </c>
    </row>
    <row r="5" spans="2:10" s="22" customFormat="1" ht="11.25" customHeight="1">
      <c r="C5" s="23"/>
    </row>
    <row r="6" spans="2:10" s="55" customFormat="1" ht="11.25" customHeight="1">
      <c r="C6" s="54" t="s">
        <v>18</v>
      </c>
      <c r="D6" s="122" t="s">
        <v>19</v>
      </c>
    </row>
    <row r="7" spans="2:10" s="55" customFormat="1" ht="11.25" customHeight="1">
      <c r="C7" s="54" t="s">
        <v>20</v>
      </c>
      <c r="D7" s="178" t="s">
        <v>103</v>
      </c>
      <c r="I7" s="63"/>
    </row>
    <row r="8" spans="2:10" s="55" customFormat="1" ht="11.25" customHeight="1">
      <c r="C8" s="54" t="s">
        <v>21</v>
      </c>
      <c r="D8" s="122" t="s">
        <v>22</v>
      </c>
    </row>
    <row r="9" spans="2:10" s="55" customFormat="1" ht="11.25" customHeight="1">
      <c r="C9" s="150" t="s">
        <v>23</v>
      </c>
      <c r="D9" s="122" t="s">
        <v>24</v>
      </c>
    </row>
    <row r="10" spans="2:10" s="55" customFormat="1" ht="11.25" customHeight="1">
      <c r="C10" s="54"/>
    </row>
    <row r="11" spans="2:10" s="55" customFormat="1" ht="11.25" customHeight="1">
      <c r="C11" s="74" t="s">
        <v>25</v>
      </c>
    </row>
    <row r="12" spans="2:10" s="55" customFormat="1" ht="11.25" customHeight="1">
      <c r="C12" s="54"/>
      <c r="D12" s="56" t="s">
        <v>26</v>
      </c>
      <c r="E12" s="56" t="s">
        <v>27</v>
      </c>
      <c r="F12" s="56" t="s">
        <v>28</v>
      </c>
      <c r="G12" s="56" t="s">
        <v>29</v>
      </c>
      <c r="H12" s="56" t="s">
        <v>30</v>
      </c>
    </row>
    <row r="13" spans="2:10" s="55" customFormat="1" ht="11.25" customHeight="1">
      <c r="C13" s="54" t="s">
        <v>31</v>
      </c>
      <c r="D13" s="149" t="str">
        <f t="shared" ref="D13:F13" si="0">IF(LEN(E13)&gt;4,CONCATENATE(LEFT(E13,4)-1&amp;"–"&amp;IF(RIGHT(E13,2)="00","99",IF(RIGHT(E13,2)-1&lt;10,"0","")&amp;RIGHT(E13,2)-1)),E13-1)</f>
        <v>2020–21</v>
      </c>
      <c r="E13" s="149" t="str">
        <f t="shared" si="0"/>
        <v>2021–22</v>
      </c>
      <c r="F13" s="149" t="str">
        <f t="shared" si="0"/>
        <v>2022–23</v>
      </c>
      <c r="G13" s="149" t="str">
        <f>IF(LEN(H13)&gt;4,CONCATENATE(LEFT(H13,4)-1&amp;"–"&amp;IF(RIGHT(H13,2)="00","99",IF(RIGHT(H13,2)-1&lt;10,"0","")&amp;RIGHT(H13,2)-1)),H13-1)</f>
        <v>2023–24</v>
      </c>
      <c r="H13" s="149" t="str">
        <f>IF(LEN(D9)&gt;4,CONCATENATE(LEFT(D9,4)-1&amp;"–"&amp;IF(RIGHT(D9,2)="00","99",IF(RIGHT(D9,2)-1&lt;10,"0","")&amp;RIGHT(D9,2)-1)),D9-1)</f>
        <v>2024–25</v>
      </c>
    </row>
    <row r="14" spans="2:10" s="55" customFormat="1" ht="11.25" customHeight="1">
      <c r="C14" s="54" t="s">
        <v>32</v>
      </c>
      <c r="D14" s="122" t="s">
        <v>33</v>
      </c>
      <c r="E14" s="122" t="s">
        <v>33</v>
      </c>
      <c r="F14" s="122" t="s">
        <v>33</v>
      </c>
      <c r="G14" s="122" t="s">
        <v>33</v>
      </c>
      <c r="H14" s="122" t="s">
        <v>33</v>
      </c>
    </row>
    <row r="15" spans="2:10" s="55" customFormat="1" ht="11.25" customHeight="1">
      <c r="C15" s="54" t="s">
        <v>34</v>
      </c>
      <c r="D15" s="122" t="s">
        <v>35</v>
      </c>
      <c r="E15" s="122" t="s">
        <v>35</v>
      </c>
      <c r="F15" s="122" t="s">
        <v>35</v>
      </c>
      <c r="G15" s="122" t="s">
        <v>36</v>
      </c>
      <c r="H15" s="122" t="s">
        <v>36</v>
      </c>
    </row>
    <row r="17" spans="2:8" s="55" customFormat="1" ht="11.25" customHeight="1">
      <c r="C17" s="54"/>
      <c r="D17" s="56" t="s">
        <v>26</v>
      </c>
      <c r="E17" s="56" t="s">
        <v>27</v>
      </c>
      <c r="F17" s="56" t="s">
        <v>28</v>
      </c>
      <c r="G17" s="56" t="s">
        <v>29</v>
      </c>
      <c r="H17" s="56" t="s">
        <v>30</v>
      </c>
    </row>
    <row r="18" spans="2:8" s="55" customFormat="1" ht="11.25" customHeight="1">
      <c r="C18" s="54" t="s">
        <v>37</v>
      </c>
      <c r="D18" s="160" t="str">
        <f>D9</f>
        <v>2025-26</v>
      </c>
      <c r="E18" s="160" t="str">
        <f>IF(LEN(D18)&gt;4,CONCATENATE(LEFT(D18,4)+1&amp;"–"&amp;IF(RIGHT(D18,2)+1&gt;9,"","0")&amp;RIGHT(D18,2)+1),D18+1)</f>
        <v>2026–27</v>
      </c>
      <c r="F18" s="160" t="str">
        <f t="shared" ref="F18:H18" si="1">IF(LEN(E18)&gt;4,CONCATENATE(LEFT(E18,4)+1&amp;"–"&amp;IF(RIGHT(E18,2)+1&gt;9,"","0")&amp;RIGHT(E18,2)+1),E18+1)</f>
        <v>2027–28</v>
      </c>
      <c r="G18" s="160" t="str">
        <f t="shared" si="1"/>
        <v>2028–29</v>
      </c>
      <c r="H18" s="160" t="str">
        <f t="shared" si="1"/>
        <v>2029–30</v>
      </c>
    </row>
    <row r="19" spans="2:8" s="55" customFormat="1" ht="11.25" customHeight="1">
      <c r="C19" s="63"/>
      <c r="D19" s="63"/>
      <c r="E19" s="63"/>
      <c r="F19" s="63"/>
      <c r="G19" s="63"/>
      <c r="H19" s="63"/>
    </row>
    <row r="20" spans="2:8" s="55" customFormat="1" ht="11.25" customHeight="1"/>
    <row r="21" spans="2:8" s="48" customFormat="1" ht="12.75" customHeight="1">
      <c r="B21" s="21" t="s">
        <v>14</v>
      </c>
    </row>
  </sheetData>
  <dataValidations count="2">
    <dataValidation type="list" allowBlank="1" showInputMessage="1" showErrorMessage="1" sqref="D14:H14" xr:uid="{00000000-0002-0000-0100-000000000000}">
      <formula1>"Yes, No, N/A"</formula1>
    </dataValidation>
    <dataValidation type="list" allowBlank="1" showInputMessage="1" showErrorMessage="1" sqref="D15:H15" xr:uid="{00000000-0002-0000-0100-000001000000}">
      <formula1>"Actual, Estimate, N/A"</formula1>
    </dataValidation>
  </dataValidations>
  <pageMargins left="0.7" right="0.7" top="0.75" bottom="0.75" header="0.3" footer="0.3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F24"/>
  <sheetViews>
    <sheetView showGridLines="0" zoomScaleNormal="100" workbookViewId="0">
      <selection activeCell="J20" activeCellId="1" sqref="J13 J20"/>
    </sheetView>
  </sheetViews>
  <sheetFormatPr defaultColWidth="0" defaultRowHeight="18" customHeight="1" zeroHeight="1"/>
  <cols>
    <col min="1" max="2" width="1.140625" style="19" customWidth="1"/>
    <col min="3" max="3" width="36.7109375" style="19" customWidth="1"/>
    <col min="4" max="5" width="22.85546875" style="19" customWidth="1"/>
    <col min="6" max="6" width="12.7109375" style="19" customWidth="1"/>
    <col min="7" max="12" width="12.7109375" style="2" customWidth="1"/>
    <col min="13" max="13" width="12.5703125" style="17" customWidth="1"/>
    <col min="14" max="16" width="12.7109375" style="19" customWidth="1"/>
    <col min="17" max="18" width="2.85546875" style="19" customWidth="1"/>
    <col min="19" max="32" width="12.7109375" style="19" hidden="1" customWidth="1"/>
    <col min="33" max="16384" width="9.140625" style="19" hidden="1"/>
  </cols>
  <sheetData>
    <row r="1" spans="2:16" s="2" customFormat="1" ht="18" customHeight="1">
      <c r="B1" s="3" t="str">
        <f>'Input | General'!$B$1</f>
        <v>Directlink 2025-30 Draft Decision - Capital expenditure sharing scheme model</v>
      </c>
      <c r="D1" s="3"/>
      <c r="E1" s="3"/>
      <c r="F1" s="3"/>
      <c r="G1" s="84"/>
      <c r="H1" s="85" t="s">
        <v>15</v>
      </c>
      <c r="I1" s="121" t="s">
        <v>16</v>
      </c>
      <c r="J1" s="125" t="s">
        <v>17</v>
      </c>
      <c r="K1" s="176" t="s">
        <v>107</v>
      </c>
      <c r="N1" s="86"/>
      <c r="O1" s="63"/>
      <c r="P1" s="63"/>
    </row>
    <row r="2" spans="2:16" s="2" customFormat="1" ht="18" customHeight="1">
      <c r="C2" s="10" t="s">
        <v>38</v>
      </c>
      <c r="D2" s="10"/>
      <c r="E2" s="10"/>
      <c r="F2" s="10"/>
      <c r="H2" s="181"/>
      <c r="I2" s="177"/>
      <c r="J2" s="177"/>
    </row>
    <row r="3" spans="2:16" s="2" customFormat="1" ht="3" customHeight="1">
      <c r="C3" s="1"/>
      <c r="D3" s="1"/>
      <c r="E3" s="1"/>
      <c r="F3" s="1"/>
      <c r="M3" s="17"/>
    </row>
    <row r="4" spans="2:16" s="65" customFormat="1" ht="12.75" customHeight="1">
      <c r="C4" s="21" t="s">
        <v>39</v>
      </c>
      <c r="D4" s="66"/>
      <c r="E4" s="66"/>
      <c r="F4" s="66"/>
      <c r="M4" s="67"/>
    </row>
    <row r="5" spans="2:16" ht="11.25" customHeight="1">
      <c r="B5" s="2"/>
      <c r="C5" s="13"/>
      <c r="D5" s="63"/>
      <c r="E5" s="63"/>
      <c r="F5" s="63"/>
      <c r="N5" s="2"/>
    </row>
    <row r="6" spans="2:16" ht="11.25" customHeight="1">
      <c r="B6" s="2"/>
      <c r="C6" s="13"/>
      <c r="D6" s="59" t="s">
        <v>40</v>
      </c>
      <c r="E6" s="59" t="s">
        <v>41</v>
      </c>
      <c r="F6" s="59"/>
      <c r="N6" s="2"/>
    </row>
    <row r="7" spans="2:16" ht="11.25" customHeight="1">
      <c r="B7" s="2"/>
      <c r="C7" s="13"/>
      <c r="D7" s="63"/>
      <c r="E7" s="63"/>
      <c r="F7" s="138" t="str">
        <f>IF(LEN(G7)&gt;4,CONCATENATE(LEFT(G7,4)-1&amp;"–"&amp;IF(RIGHT(G7,2)="00","99",IF(RIGHT(G7,2)-1&lt;10,"0","")&amp;RIGHT(G7,2)-1)),G7-1)</f>
        <v>2019–20</v>
      </c>
      <c r="G7" s="137" t="str">
        <f>'Input | General'!D13</f>
        <v>2020–21</v>
      </c>
      <c r="H7" s="137" t="str">
        <f>'Input | General'!E13</f>
        <v>2021–22</v>
      </c>
      <c r="I7" s="137" t="str">
        <f>'Input | General'!F13</f>
        <v>2022–23</v>
      </c>
      <c r="J7" s="137" t="str">
        <f>'Input | General'!G13</f>
        <v>2023–24</v>
      </c>
      <c r="K7" s="137" t="str">
        <f>'Input | General'!H13</f>
        <v>2024–25</v>
      </c>
      <c r="L7" s="137" t="str">
        <f>'Input | General'!D18</f>
        <v>2025-26</v>
      </c>
      <c r="M7" s="137" t="str">
        <f>'Input | General'!E18</f>
        <v>2026–27</v>
      </c>
      <c r="N7" s="137" t="str">
        <f>'Input | General'!F18</f>
        <v>2027–28</v>
      </c>
      <c r="O7" s="137" t="str">
        <f>'Input | General'!G18</f>
        <v>2028–29</v>
      </c>
      <c r="P7" s="137" t="str">
        <f>'Input | General'!H18</f>
        <v>2029–30</v>
      </c>
    </row>
    <row r="8" spans="2:16" ht="11.25" customHeight="1">
      <c r="B8" s="2"/>
      <c r="C8" s="64" t="s">
        <v>42</v>
      </c>
      <c r="D8" s="62" t="s">
        <v>43</v>
      </c>
      <c r="E8" s="62" t="s">
        <v>44</v>
      </c>
      <c r="F8" s="172"/>
      <c r="G8" s="159">
        <v>8.6058519793459354E-3</v>
      </c>
      <c r="H8" s="159">
        <v>3.4982935153583528E-2</v>
      </c>
      <c r="I8" s="159">
        <v>7.8318219291014096E-2</v>
      </c>
      <c r="J8" s="159">
        <v>4.4999999999999998E-2</v>
      </c>
      <c r="K8" s="159">
        <v>3.5000000000000003E-2</v>
      </c>
      <c r="L8" s="171"/>
      <c r="M8" s="69"/>
      <c r="N8" s="69"/>
      <c r="O8" s="69"/>
      <c r="P8" s="69"/>
    </row>
    <row r="9" spans="2:16" ht="11.25" customHeight="1">
      <c r="B9" s="2"/>
      <c r="C9" s="64" t="s">
        <v>45</v>
      </c>
      <c r="D9" s="62" t="s">
        <v>43</v>
      </c>
      <c r="E9" s="62" t="s">
        <v>44</v>
      </c>
      <c r="F9" s="62"/>
      <c r="G9" s="104"/>
      <c r="H9" s="104"/>
      <c r="I9" s="104"/>
      <c r="J9" s="104"/>
      <c r="K9" s="104"/>
      <c r="L9" s="179">
        <v>2.6249619366456756E-2</v>
      </c>
      <c r="M9" s="179">
        <f>L9</f>
        <v>2.6249619366456756E-2</v>
      </c>
      <c r="N9" s="179">
        <f t="shared" ref="N9" si="0">M9</f>
        <v>2.6249619366456756E-2</v>
      </c>
      <c r="O9" s="179">
        <f t="shared" ref="O9" si="1">N9</f>
        <v>2.6249619366456756E-2</v>
      </c>
      <c r="P9" s="179">
        <f t="shared" ref="P9" si="2">O9</f>
        <v>2.6249619366456756E-2</v>
      </c>
    </row>
    <row r="10" spans="2:16" ht="11.25" customHeight="1">
      <c r="B10" s="2"/>
      <c r="C10" s="109" t="str">
        <f>"CPI Index (base year "&amp;F7&amp;")"</f>
        <v>CPI Index (base year 2019–20)</v>
      </c>
      <c r="D10" s="62" t="s">
        <v>43</v>
      </c>
      <c r="E10" s="62" t="s">
        <v>0</v>
      </c>
      <c r="F10" s="161">
        <v>1</v>
      </c>
      <c r="G10" s="162">
        <f>IF(G7&lt;&gt;"",(F10*(1+G8)),"")</f>
        <v>1.0086058519793459</v>
      </c>
      <c r="H10" s="162">
        <f>IF(H7&lt;&gt;"",(G10*(1+H8)),"")</f>
        <v>1.0438898450946643</v>
      </c>
      <c r="I10" s="162">
        <f>IF(I7&lt;&gt;"",(H10*(1+I8)),"")</f>
        <v>1.1256454388984509</v>
      </c>
      <c r="J10" s="162">
        <f>IF(J7&lt;&gt;"",(I10*(1+J8)),"")</f>
        <v>1.1762994836488812</v>
      </c>
      <c r="K10" s="162">
        <f>IF(K7&lt;&gt;"",(J10*(1+K8)),"")</f>
        <v>1.2174699655765919</v>
      </c>
      <c r="L10" s="162">
        <f>IF(L7&lt;&gt;"",(K10*(1+L9)),"")</f>
        <v>1.2494280887630707</v>
      </c>
      <c r="M10" s="162">
        <f>IF(M7&lt;&gt;"",(L10*(1+M9)),"")</f>
        <v>1.2822251005188607</v>
      </c>
      <c r="N10" s="162">
        <f>IF(N7&lt;&gt;"",(M10*(1+N9)),"")</f>
        <v>1.3158830213495976</v>
      </c>
      <c r="O10" s="162">
        <f>IF(O7&lt;&gt;"",(N10*(1+O9)),"")</f>
        <v>1.3504244497908076</v>
      </c>
      <c r="P10" s="162">
        <f>IF(P7&lt;&gt;"",(O10*(1+P9)),"")</f>
        <v>1.385872577580973</v>
      </c>
    </row>
    <row r="11" spans="2:16" ht="11.25" customHeight="1">
      <c r="B11" s="2"/>
      <c r="C11" s="64"/>
      <c r="D11" s="62"/>
      <c r="E11" s="62"/>
      <c r="F11" s="62"/>
      <c r="G11" s="69"/>
      <c r="H11" s="69"/>
      <c r="I11" s="69"/>
      <c r="J11" s="69"/>
      <c r="K11" s="105"/>
      <c r="L11" s="105"/>
      <c r="M11" s="105"/>
      <c r="N11" s="105"/>
      <c r="O11" s="105"/>
      <c r="P11" s="105"/>
    </row>
    <row r="12" spans="2:16" ht="11.25" customHeight="1">
      <c r="B12" s="2"/>
      <c r="C12" s="64"/>
      <c r="D12" s="62"/>
      <c r="E12" s="62"/>
      <c r="F12" s="62"/>
      <c r="G12" s="103"/>
      <c r="H12" s="103"/>
      <c r="I12" s="103"/>
      <c r="J12" s="103"/>
      <c r="K12" s="19"/>
      <c r="L12" s="19"/>
      <c r="M12" s="19"/>
    </row>
    <row r="13" spans="2:16" ht="11.25" customHeight="1">
      <c r="B13" s="2"/>
      <c r="C13" s="64" t="s">
        <v>42</v>
      </c>
      <c r="D13" s="62" t="s">
        <v>46</v>
      </c>
      <c r="E13" s="62" t="s">
        <v>44</v>
      </c>
      <c r="F13" s="62"/>
      <c r="G13" s="179">
        <f t="shared" ref="G13:I13" si="3">G8</f>
        <v>8.6058519793459354E-3</v>
      </c>
      <c r="H13" s="179">
        <f t="shared" si="3"/>
        <v>3.4982935153583528E-2</v>
      </c>
      <c r="I13" s="179">
        <f t="shared" si="3"/>
        <v>7.8318219291014096E-2</v>
      </c>
      <c r="J13" s="179">
        <v>4.0519877675840865E-2</v>
      </c>
      <c r="K13" s="179">
        <v>0.03</v>
      </c>
      <c r="L13" s="152"/>
      <c r="M13" s="152"/>
      <c r="N13" s="152"/>
      <c r="O13" s="152"/>
      <c r="P13" s="152"/>
    </row>
    <row r="14" spans="2:16" ht="11.25" customHeight="1">
      <c r="B14" s="2"/>
      <c r="C14" s="64" t="s">
        <v>45</v>
      </c>
      <c r="D14" s="62" t="s">
        <v>46</v>
      </c>
      <c r="E14" s="62" t="s">
        <v>44</v>
      </c>
      <c r="F14" s="62"/>
      <c r="G14" s="69"/>
      <c r="H14" s="69"/>
      <c r="I14" s="69"/>
      <c r="J14" s="105"/>
      <c r="K14" s="105"/>
      <c r="L14" s="179">
        <v>2.8497022352319323E-2</v>
      </c>
      <c r="M14" s="163">
        <f>L14</f>
        <v>2.8497022352319323E-2</v>
      </c>
      <c r="N14" s="163">
        <f t="shared" ref="N14:P14" si="4">M14</f>
        <v>2.8497022352319323E-2</v>
      </c>
      <c r="O14" s="163">
        <f t="shared" si="4"/>
        <v>2.8497022352319323E-2</v>
      </c>
      <c r="P14" s="163">
        <f t="shared" si="4"/>
        <v>2.8497022352319323E-2</v>
      </c>
    </row>
    <row r="15" spans="2:16" ht="11.25" customHeight="1">
      <c r="B15" s="2"/>
      <c r="C15" s="109" t="str">
        <f>"CPI Index (base year "&amp;F7&amp;")"</f>
        <v>CPI Index (base year 2019–20)</v>
      </c>
      <c r="D15" s="62" t="s">
        <v>46</v>
      </c>
      <c r="E15" s="62" t="s">
        <v>0</v>
      </c>
      <c r="F15" s="161">
        <v>1</v>
      </c>
      <c r="G15" s="162">
        <f>IF(G7&lt;&gt;"",(F15*(1+G13)),"")</f>
        <v>1.0086058519793459</v>
      </c>
      <c r="H15" s="162">
        <f>IF(H7&lt;&gt;"",(G15*(1+H13)),"")</f>
        <v>1.0438898450946643</v>
      </c>
      <c r="I15" s="162">
        <f>IF(I7&lt;&gt;"",(H15*(1+I13)),"")</f>
        <v>1.1256454388984509</v>
      </c>
      <c r="J15" s="164">
        <f>IF(J7&lt;&gt;"",(I15*(1+J13)),"")</f>
        <v>1.1712564543889843</v>
      </c>
      <c r="K15" s="164">
        <f>IF(K7&lt;&gt;"",(J15*(1+K13)),"")</f>
        <v>1.2063941480206539</v>
      </c>
      <c r="L15" s="164">
        <f t="shared" ref="L15:P15" si="5">IF(L7&lt;&gt;"",(K15*(1+L14)),"")</f>
        <v>1.2407727890225058</v>
      </c>
      <c r="M15" s="164">
        <f t="shared" si="5"/>
        <v>1.2761311189254296</v>
      </c>
      <c r="N15" s="164">
        <f t="shared" si="5"/>
        <v>1.3124970559459379</v>
      </c>
      <c r="O15" s="164">
        <f t="shared" si="5"/>
        <v>1.3498993138865827</v>
      </c>
      <c r="P15" s="164">
        <f t="shared" si="5"/>
        <v>1.3883674248077891</v>
      </c>
    </row>
    <row r="17" spans="2:16" s="65" customFormat="1" ht="12.75" customHeight="1">
      <c r="C17" s="21" t="s">
        <v>47</v>
      </c>
      <c r="D17" s="66"/>
      <c r="E17" s="66"/>
      <c r="F17" s="66"/>
      <c r="J17" s="153"/>
      <c r="K17" s="153"/>
      <c r="L17" s="153"/>
      <c r="M17" s="154"/>
      <c r="N17" s="153"/>
      <c r="O17" s="153"/>
      <c r="P17" s="153"/>
    </row>
    <row r="18" spans="2:16" ht="11.25" customHeight="1">
      <c r="B18" s="63"/>
      <c r="C18" s="63"/>
      <c r="D18" s="63"/>
      <c r="E18" s="63"/>
      <c r="F18" s="59"/>
      <c r="J18" s="11"/>
      <c r="K18" s="11"/>
      <c r="L18" s="11"/>
      <c r="M18" s="155"/>
      <c r="N18" s="11"/>
      <c r="O18" s="156"/>
      <c r="P18" s="156"/>
    </row>
    <row r="19" spans="2:16" ht="11.25" customHeight="1">
      <c r="C19" s="13"/>
      <c r="D19" s="59" t="s">
        <v>40</v>
      </c>
      <c r="E19" s="59" t="s">
        <v>41</v>
      </c>
      <c r="F19" s="63"/>
      <c r="G19" s="137" t="str">
        <f>G7</f>
        <v>2020–21</v>
      </c>
      <c r="H19" s="137" t="str">
        <f t="shared" ref="H19:P19" si="6">H7</f>
        <v>2021–22</v>
      </c>
      <c r="I19" s="137" t="str">
        <f t="shared" si="6"/>
        <v>2022–23</v>
      </c>
      <c r="J19" s="157" t="str">
        <f t="shared" si="6"/>
        <v>2023–24</v>
      </c>
      <c r="K19" s="157" t="str">
        <f t="shared" si="6"/>
        <v>2024–25</v>
      </c>
      <c r="L19" s="157" t="str">
        <f t="shared" si="6"/>
        <v>2025-26</v>
      </c>
      <c r="M19" s="157" t="str">
        <f t="shared" si="6"/>
        <v>2026–27</v>
      </c>
      <c r="N19" s="157" t="str">
        <f t="shared" si="6"/>
        <v>2027–28</v>
      </c>
      <c r="O19" s="157" t="str">
        <f t="shared" si="6"/>
        <v>2028–29</v>
      </c>
      <c r="P19" s="157" t="str">
        <f t="shared" si="6"/>
        <v>2029–30</v>
      </c>
    </row>
    <row r="20" spans="2:16" ht="11.25" customHeight="1">
      <c r="C20" s="64" t="s">
        <v>48</v>
      </c>
      <c r="D20" s="62" t="s">
        <v>46</v>
      </c>
      <c r="E20" s="62" t="s">
        <v>44</v>
      </c>
      <c r="F20" s="63"/>
      <c r="G20" s="180">
        <v>2.2038537773495515E-2</v>
      </c>
      <c r="H20" s="180">
        <v>2.0769807761376047E-2</v>
      </c>
      <c r="I20" s="180">
        <v>2.0443136046643051E-2</v>
      </c>
      <c r="J20" s="180">
        <v>2.1558627377069817E-2</v>
      </c>
      <c r="K20" s="170">
        <v>2.245936897842582E-2</v>
      </c>
      <c r="L20" s="105"/>
      <c r="M20" s="105"/>
      <c r="N20" s="105"/>
      <c r="O20" s="105"/>
      <c r="P20" s="105"/>
    </row>
    <row r="21" spans="2:16" ht="11.25" customHeight="1">
      <c r="C21" s="118" t="s">
        <v>49</v>
      </c>
      <c r="D21" s="62" t="s">
        <v>46</v>
      </c>
      <c r="E21" s="62" t="s">
        <v>44</v>
      </c>
      <c r="F21" s="63"/>
      <c r="G21" s="63"/>
      <c r="H21" s="63"/>
      <c r="I21" s="63"/>
      <c r="J21" s="158"/>
      <c r="K21" s="158"/>
      <c r="L21" s="170">
        <v>3.0726315721316146E-2</v>
      </c>
      <c r="M21" s="170">
        <v>3.0923220326789826E-2</v>
      </c>
      <c r="N21" s="170">
        <v>3.1375338953354828E-2</v>
      </c>
      <c r="O21" s="170">
        <v>3.2155033804120728E-2</v>
      </c>
      <c r="P21" s="170">
        <v>3.2941747774867469E-2</v>
      </c>
    </row>
    <row r="22" spans="2:16" ht="11.25" customHeight="1">
      <c r="C22" s="64" t="s">
        <v>50</v>
      </c>
      <c r="D22" s="62" t="s">
        <v>51</v>
      </c>
      <c r="E22" s="62" t="s">
        <v>44</v>
      </c>
      <c r="F22" s="63"/>
      <c r="G22" s="165">
        <f>IF(AND(G13&lt;&gt;"",G20&lt;&gt;""),((1+G20)*(1+G13)-1),"")</f>
        <v>3.0834050146761438E-2</v>
      </c>
      <c r="H22" s="165">
        <f>IF(AND(H13&lt;&gt;"",H20&lt;&gt;""),((1+H20)*(1+H13)-1),"")</f>
        <v>5.6479331753028106E-2</v>
      </c>
      <c r="I22" s="165">
        <f>IF(AND(I13&lt;&gt;"",I20&lt;&gt;""),((1+I20)*(1+I13)-1),"")</f>
        <v>0.10036242534955431</v>
      </c>
      <c r="J22" s="165">
        <f>IF(AND(J13&lt;&gt;"",J20&lt;&gt;""),((1+J20)*(1+J13)-1),"")</f>
        <v>6.2952057997088584E-2</v>
      </c>
      <c r="K22" s="165">
        <f>IF(AND(K13&lt;&gt;"",K20&lt;&gt;""),((1+K20)*(1+K13)-1),"")</f>
        <v>5.3133150047778521E-2</v>
      </c>
      <c r="L22" s="165">
        <f>IF(AND(L14&lt;&gt;"",L21&lt;&gt;""),((1+L21)*(1+L14)-1),"")</f>
        <v>6.0098946579550283E-2</v>
      </c>
      <c r="M22" s="165">
        <f t="shared" ref="M22:P22" si="7">IF(AND(M14&lt;&gt;"",M21&lt;&gt;""),((1+M21)*(1+M14)-1),"")</f>
        <v>6.0301462379967363E-2</v>
      </c>
      <c r="N22" s="165">
        <f t="shared" si="7"/>
        <v>6.0766465041139472E-2</v>
      </c>
      <c r="O22" s="165">
        <f t="shared" si="7"/>
        <v>6.1568378873495755E-2</v>
      </c>
      <c r="P22" s="165">
        <f t="shared" si="7"/>
        <v>6.2377511849851741E-2</v>
      </c>
    </row>
    <row r="23" spans="2:16" ht="11.25" customHeight="1">
      <c r="B23" s="2"/>
      <c r="C23" s="64"/>
      <c r="D23" s="62"/>
      <c r="E23" s="62"/>
      <c r="F23" s="63"/>
      <c r="G23" s="69"/>
      <c r="H23" s="16"/>
      <c r="I23" s="16"/>
      <c r="J23" s="16"/>
      <c r="K23" s="16"/>
      <c r="N23" s="2"/>
    </row>
    <row r="24" spans="2:16" s="48" customFormat="1" ht="12.75" customHeight="1">
      <c r="B24" s="21" t="s">
        <v>14</v>
      </c>
      <c r="D24" s="49"/>
      <c r="E24" s="4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92D050"/>
  </sheetPr>
  <dimension ref="A1:W33"/>
  <sheetViews>
    <sheetView workbookViewId="0">
      <selection activeCell="L18" sqref="L18"/>
    </sheetView>
  </sheetViews>
  <sheetFormatPr defaultColWidth="0" defaultRowHeight="18" customHeight="1" zeroHeight="1"/>
  <cols>
    <col min="1" max="2" width="1.28515625" style="2" customWidth="1"/>
    <col min="3" max="3" width="49.85546875" style="13" customWidth="1"/>
    <col min="4" max="4" width="23.7109375" style="13" customWidth="1"/>
    <col min="5" max="5" width="13.42578125" style="13" customWidth="1"/>
    <col min="6" max="6" width="15.85546875" style="13" customWidth="1"/>
    <col min="7" max="7" width="2.85546875" style="13" customWidth="1"/>
    <col min="8" max="12" width="13.7109375" style="2" bestFit="1" customWidth="1"/>
    <col min="13" max="14" width="2.85546875" style="2" customWidth="1"/>
    <col min="15" max="23" width="0" style="2" hidden="1" customWidth="1"/>
    <col min="24" max="16384" width="12.7109375" style="2" hidden="1"/>
  </cols>
  <sheetData>
    <row r="1" spans="2:12" ht="18" customHeight="1">
      <c r="B1" s="3" t="str">
        <f>'Input | General'!$B$1</f>
        <v>Directlink 2025-30 Draft Decision - Capital expenditure sharing scheme model</v>
      </c>
      <c r="D1" s="3"/>
      <c r="E1" s="3"/>
      <c r="F1" s="3"/>
      <c r="G1" s="3"/>
      <c r="H1" s="84"/>
      <c r="I1" s="85" t="s">
        <v>15</v>
      </c>
      <c r="J1" s="121" t="s">
        <v>16</v>
      </c>
      <c r="K1" s="125" t="s">
        <v>17</v>
      </c>
      <c r="L1" s="182"/>
    </row>
    <row r="2" spans="2:12" ht="18" customHeight="1">
      <c r="B2" s="10" t="s">
        <v>52</v>
      </c>
      <c r="D2" s="10"/>
      <c r="E2" s="10"/>
      <c r="F2" s="10"/>
      <c r="G2" s="10"/>
    </row>
    <row r="3" spans="2:12" ht="3" customHeight="1">
      <c r="C3" s="1"/>
      <c r="D3" s="1"/>
      <c r="E3" s="1"/>
      <c r="F3" s="1"/>
      <c r="G3" s="1"/>
    </row>
    <row r="4" spans="2:12" s="8" customFormat="1" ht="12.75" customHeight="1">
      <c r="B4" s="21" t="s">
        <v>53</v>
      </c>
      <c r="D4" s="6"/>
      <c r="E4" s="6"/>
      <c r="F4" s="6"/>
      <c r="G4" s="6"/>
    </row>
    <row r="5" spans="2:12" ht="10.5" customHeight="1">
      <c r="D5" s="53"/>
      <c r="E5" s="53"/>
      <c r="F5" s="53"/>
      <c r="G5" s="53"/>
    </row>
    <row r="6" spans="2:12" s="53" customFormat="1" ht="10.5" customHeight="1">
      <c r="D6" s="59" t="s">
        <v>40</v>
      </c>
      <c r="E6" s="59" t="s">
        <v>41</v>
      </c>
      <c r="F6" s="59" t="s">
        <v>54</v>
      </c>
      <c r="G6" s="50"/>
      <c r="H6" s="139" t="str">
        <f>IF('Input | General'!D14="Yes",'Input | General'!D13,"n/a")</f>
        <v>2020–21</v>
      </c>
      <c r="I6" s="139" t="str">
        <f>IF('Input | General'!E14="Yes",'Input | General'!E13,"n/a")</f>
        <v>2021–22</v>
      </c>
      <c r="J6" s="139" t="str">
        <f>IF('Input | General'!F14="Yes",'Input | General'!F13,"n/a")</f>
        <v>2022–23</v>
      </c>
      <c r="K6" s="139" t="str">
        <f>IF('Input | General'!G14="Yes",'Input | General'!G13,"n/a")</f>
        <v>2023–24</v>
      </c>
      <c r="L6" s="139" t="str">
        <f>IF('Input | General'!H14="Yes",'Input | General'!H13,"n/a")</f>
        <v>2024–25</v>
      </c>
    </row>
    <row r="7" spans="2:12" s="53" customFormat="1" ht="10.5" customHeight="1"/>
    <row r="8" spans="2:12" ht="10.5" customHeight="1">
      <c r="C8" s="64" t="s">
        <v>104</v>
      </c>
      <c r="D8" s="62" t="s">
        <v>46</v>
      </c>
      <c r="E8" s="62" t="s">
        <v>55</v>
      </c>
      <c r="F8" s="62" t="str">
        <f>'Input | Inflation and Disc Rate'!$F$7</f>
        <v>2019–20</v>
      </c>
      <c r="G8" s="53"/>
      <c r="H8" s="123">
        <v>4.8725651488499748</v>
      </c>
      <c r="I8" s="123">
        <v>6.5732515165121201</v>
      </c>
      <c r="J8" s="123">
        <v>5.4306567974545237</v>
      </c>
      <c r="K8" s="123">
        <v>4.9604388885912227</v>
      </c>
      <c r="L8" s="123">
        <v>3.8963656666381996</v>
      </c>
    </row>
    <row r="9" spans="2:12" ht="10.5" customHeight="1">
      <c r="C9" s="64" t="s">
        <v>56</v>
      </c>
      <c r="D9" s="62" t="s">
        <v>46</v>
      </c>
      <c r="E9" s="62" t="s">
        <v>55</v>
      </c>
      <c r="F9" s="62" t="str">
        <f>'Input | Inflation and Disc Rate'!$F$7</f>
        <v>2019–20</v>
      </c>
      <c r="G9" s="53"/>
      <c r="H9" s="123">
        <v>0</v>
      </c>
      <c r="I9" s="123">
        <v>0</v>
      </c>
      <c r="J9" s="123">
        <v>0</v>
      </c>
      <c r="K9" s="123">
        <v>0</v>
      </c>
      <c r="L9" s="123">
        <v>0</v>
      </c>
    </row>
    <row r="10" spans="2:12" ht="10.5" customHeight="1">
      <c r="C10" s="64" t="s">
        <v>57</v>
      </c>
      <c r="D10" s="62" t="s">
        <v>46</v>
      </c>
      <c r="E10" s="62" t="s">
        <v>55</v>
      </c>
      <c r="F10" s="62" t="str">
        <f>'Input | Inflation and Disc Rate'!$F$7</f>
        <v>2019–20</v>
      </c>
      <c r="G10" s="53"/>
      <c r="H10" s="123">
        <v>0</v>
      </c>
      <c r="I10" s="123">
        <v>0</v>
      </c>
      <c r="J10" s="123">
        <v>0</v>
      </c>
      <c r="K10" s="123">
        <v>0</v>
      </c>
      <c r="L10" s="123">
        <v>0</v>
      </c>
    </row>
    <row r="11" spans="2:12" s="53" customFormat="1" ht="10.5" customHeight="1">
      <c r="H11" s="52"/>
      <c r="I11" s="52"/>
      <c r="J11" s="52"/>
      <c r="K11" s="52"/>
      <c r="L11" s="52"/>
    </row>
    <row r="12" spans="2:12" ht="10.5" customHeight="1">
      <c r="C12" s="61" t="s">
        <v>58</v>
      </c>
      <c r="D12" s="60" t="s">
        <v>51</v>
      </c>
      <c r="E12" s="140" t="s">
        <v>55</v>
      </c>
      <c r="F12" s="168" t="str">
        <f>'Input | Inflation and Disc Rate'!$F$7</f>
        <v>2019–20</v>
      </c>
      <c r="G12" s="53"/>
      <c r="H12" s="167">
        <f>IF(H6="", "", H8-H9-H10)</f>
        <v>4.8725651488499748</v>
      </c>
      <c r="I12" s="167">
        <f t="shared" ref="I12:L12" si="0">IF(I6="", "", I8-I9-I10)</f>
        <v>6.5732515165121201</v>
      </c>
      <c r="J12" s="167">
        <f t="shared" si="0"/>
        <v>5.4306567974545237</v>
      </c>
      <c r="K12" s="167">
        <f t="shared" si="0"/>
        <v>4.9604388885912227</v>
      </c>
      <c r="L12" s="167">
        <f t="shared" si="0"/>
        <v>3.8963656666381996</v>
      </c>
    </row>
    <row r="13" spans="2:12" ht="10.5" customHeight="1">
      <c r="D13" s="53"/>
      <c r="E13" s="53"/>
      <c r="F13" s="53"/>
      <c r="G13" s="53"/>
    </row>
    <row r="14" spans="2:12" s="8" customFormat="1" ht="12.75" customHeight="1">
      <c r="B14" s="58" t="s">
        <v>59</v>
      </c>
      <c r="D14" s="15"/>
      <c r="E14" s="15"/>
      <c r="F14" s="15"/>
      <c r="G14" s="15"/>
    </row>
    <row r="15" spans="2:12" ht="10.5" customHeight="1">
      <c r="B15" s="57"/>
      <c r="C15" s="2"/>
    </row>
    <row r="16" spans="2:12" ht="10.5" customHeight="1">
      <c r="B16" s="57"/>
      <c r="C16" s="53"/>
      <c r="D16" s="59" t="s">
        <v>40</v>
      </c>
      <c r="E16" s="59" t="s">
        <v>41</v>
      </c>
      <c r="F16" s="59" t="s">
        <v>54</v>
      </c>
      <c r="G16" s="50"/>
      <c r="H16" s="139" t="str">
        <f>H6</f>
        <v>2020–21</v>
      </c>
      <c r="I16" s="139" t="str">
        <f>I6</f>
        <v>2021–22</v>
      </c>
      <c r="J16" s="139" t="str">
        <f>J6</f>
        <v>2022–23</v>
      </c>
      <c r="K16" s="139" t="str">
        <f>K6</f>
        <v>2023–24</v>
      </c>
      <c r="L16" s="139" t="str">
        <f>L6</f>
        <v>2024–25</v>
      </c>
    </row>
    <row r="18" spans="2:12" ht="10.5" customHeight="1">
      <c r="B18" s="57"/>
      <c r="C18" s="64" t="s">
        <v>105</v>
      </c>
      <c r="D18" s="62" t="s">
        <v>46</v>
      </c>
      <c r="E18" s="62" t="s">
        <v>55</v>
      </c>
      <c r="F18" s="62" t="s">
        <v>60</v>
      </c>
      <c r="G18" s="53"/>
      <c r="H18" s="123">
        <v>2.0483167299999998</v>
      </c>
      <c r="I18" s="123">
        <v>2.5686205099999997</v>
      </c>
      <c r="J18" s="123">
        <v>7.5532205400000008</v>
      </c>
      <c r="K18" s="123">
        <v>12.120114600000003</v>
      </c>
      <c r="L18" s="123">
        <v>4.7794433493066748</v>
      </c>
    </row>
    <row r="19" spans="2:12" ht="10.5" customHeight="1">
      <c r="B19" s="57"/>
      <c r="C19" s="64" t="s">
        <v>56</v>
      </c>
      <c r="D19" s="62" t="s">
        <v>46</v>
      </c>
      <c r="E19" s="62" t="s">
        <v>55</v>
      </c>
      <c r="F19" s="62" t="s">
        <v>60</v>
      </c>
      <c r="G19" s="111"/>
      <c r="H19" s="124">
        <v>0</v>
      </c>
      <c r="I19" s="123">
        <v>0</v>
      </c>
      <c r="J19" s="123">
        <v>0</v>
      </c>
      <c r="K19" s="123">
        <v>0</v>
      </c>
      <c r="L19" s="123">
        <v>0</v>
      </c>
    </row>
    <row r="20" spans="2:12" ht="10.5" customHeight="1">
      <c r="B20" s="57"/>
      <c r="C20" s="110" t="s">
        <v>57</v>
      </c>
      <c r="D20" s="62" t="s">
        <v>46</v>
      </c>
      <c r="E20" s="62" t="s">
        <v>55</v>
      </c>
      <c r="F20" s="62" t="s">
        <v>60</v>
      </c>
      <c r="G20" s="111"/>
      <c r="H20" s="124">
        <v>0</v>
      </c>
      <c r="I20" s="123">
        <v>0</v>
      </c>
      <c r="J20" s="123">
        <v>0</v>
      </c>
      <c r="K20" s="123">
        <v>0</v>
      </c>
      <c r="L20" s="123">
        <v>0</v>
      </c>
    </row>
    <row r="21" spans="2:12" ht="10.5" customHeight="1">
      <c r="B21" s="57"/>
      <c r="C21" s="119" t="s">
        <v>61</v>
      </c>
      <c r="D21" s="62" t="s">
        <v>46</v>
      </c>
      <c r="E21" s="62" t="s">
        <v>55</v>
      </c>
      <c r="F21" s="62" t="s">
        <v>60</v>
      </c>
      <c r="G21" s="53"/>
      <c r="H21" s="124">
        <v>0</v>
      </c>
      <c r="I21" s="123">
        <v>0</v>
      </c>
      <c r="J21" s="123">
        <v>0</v>
      </c>
      <c r="K21" s="123">
        <v>0</v>
      </c>
      <c r="L21" s="123">
        <v>0</v>
      </c>
    </row>
    <row r="22" spans="2:12" ht="10.5" customHeight="1">
      <c r="B22" s="57"/>
      <c r="C22" s="53"/>
      <c r="D22" s="53"/>
      <c r="E22" s="53"/>
      <c r="F22" s="53"/>
      <c r="G22" s="53"/>
      <c r="H22" s="52"/>
      <c r="I22" s="52"/>
      <c r="J22" s="52"/>
      <c r="K22" s="52"/>
      <c r="L22" s="52"/>
    </row>
    <row r="23" spans="2:12" ht="10.5" customHeight="1">
      <c r="B23" s="57"/>
      <c r="C23" s="61" t="s">
        <v>62</v>
      </c>
      <c r="D23" s="60" t="s">
        <v>51</v>
      </c>
      <c r="E23" s="141" t="s">
        <v>55</v>
      </c>
      <c r="F23" s="141" t="s">
        <v>60</v>
      </c>
      <c r="G23" s="53"/>
      <c r="H23" s="167">
        <f>IF(H16="", "", H18-H19-H20-H21)</f>
        <v>2.0483167299999998</v>
      </c>
      <c r="I23" s="167">
        <f t="shared" ref="I23:L23" si="1">IF(I16="", "", I18-I19-I20-I21)</f>
        <v>2.5686205099999997</v>
      </c>
      <c r="J23" s="167">
        <f t="shared" si="1"/>
        <v>7.5532205400000008</v>
      </c>
      <c r="K23" s="167">
        <f t="shared" si="1"/>
        <v>12.120114600000003</v>
      </c>
      <c r="L23" s="167">
        <f t="shared" si="1"/>
        <v>4.7794433493066748</v>
      </c>
    </row>
    <row r="24" spans="2:12" ht="10.5" customHeight="1">
      <c r="B24" s="57"/>
      <c r="C24" s="2"/>
    </row>
    <row r="25" spans="2:12" s="8" customFormat="1" ht="12.75" customHeight="1">
      <c r="B25" s="58" t="s">
        <v>63</v>
      </c>
      <c r="D25" s="15"/>
      <c r="E25" s="15"/>
      <c r="F25" s="15"/>
      <c r="G25" s="15"/>
    </row>
    <row r="26" spans="2:12" ht="10.5" customHeight="1">
      <c r="D26" s="53"/>
      <c r="E26" s="53"/>
      <c r="F26" s="53"/>
      <c r="G26" s="53"/>
    </row>
    <row r="27" spans="2:12" ht="10.5" customHeight="1">
      <c r="D27" s="53"/>
      <c r="E27" s="53"/>
      <c r="F27" s="53"/>
      <c r="G27" s="53"/>
      <c r="H27" s="139" t="str">
        <f>'Input | General'!D18</f>
        <v>2025-26</v>
      </c>
      <c r="I27" s="139" t="str">
        <f>'Input | General'!E18</f>
        <v>2026–27</v>
      </c>
      <c r="J27" s="139" t="str">
        <f>'Input | General'!F18</f>
        <v>2027–28</v>
      </c>
      <c r="K27" s="139" t="str">
        <f>'Input | General'!G18</f>
        <v>2028–29</v>
      </c>
      <c r="L27" s="139" t="str">
        <f>'Input | General'!H18</f>
        <v>2029–30</v>
      </c>
    </row>
    <row r="28" spans="2:12" s="14" customFormat="1" ht="10.5" customHeight="1">
      <c r="C28" s="13"/>
      <c r="D28" s="53"/>
      <c r="E28" s="53"/>
      <c r="F28" s="53"/>
      <c r="G28" s="53"/>
    </row>
    <row r="29" spans="2:12" ht="11.25" customHeight="1">
      <c r="C29" s="68" t="s">
        <v>64</v>
      </c>
      <c r="D29" s="51" t="s">
        <v>43</v>
      </c>
      <c r="E29" s="62" t="s">
        <v>55</v>
      </c>
      <c r="F29" s="62" t="s">
        <v>65</v>
      </c>
      <c r="G29" s="53"/>
      <c r="H29" s="123">
        <v>0</v>
      </c>
      <c r="I29" s="123">
        <v>0</v>
      </c>
      <c r="J29" s="123">
        <v>0</v>
      </c>
      <c r="K29" s="123">
        <v>0</v>
      </c>
      <c r="L29" s="123">
        <v>0</v>
      </c>
    </row>
    <row r="30" spans="2:12" ht="11.25" customHeight="1">
      <c r="C30" s="68" t="s">
        <v>64</v>
      </c>
      <c r="D30" s="51" t="s">
        <v>51</v>
      </c>
      <c r="E30" s="62" t="s">
        <v>55</v>
      </c>
      <c r="F30" s="62" t="s">
        <v>66</v>
      </c>
      <c r="G30" s="53"/>
      <c r="H30" s="166">
        <f>IF(H29&lt;&gt;"",H29/('Input | Inflation and Disc Rate'!K10*(1+'Input | Inflation and Disc Rate'!L9)^0.5),"")</f>
        <v>0</v>
      </c>
      <c r="I30" s="166">
        <f>IF(I29&lt;&gt;"",I29/('Input | Inflation and Disc Rate'!L10*(1+'Input | Inflation and Disc Rate'!M9)^0.5),"")</f>
        <v>0</v>
      </c>
      <c r="J30" s="166">
        <f>IF(J29&lt;&gt;"",J29/('Input | Inflation and Disc Rate'!M10*(1+'Input | Inflation and Disc Rate'!N9)^0.5),"")</f>
        <v>0</v>
      </c>
      <c r="K30" s="166">
        <f>IF(K29&lt;&gt;"",K29/('Input | Inflation and Disc Rate'!N10*(1+'Input | Inflation and Disc Rate'!O9)^0.5),"")</f>
        <v>0</v>
      </c>
      <c r="L30" s="166">
        <f>IF(L29&lt;&gt;"",L29/('Input | Inflation and Disc Rate'!O10*(1+'Input | Inflation and Disc Rate'!P9)^0.5),"")</f>
        <v>0</v>
      </c>
    </row>
    <row r="31" spans="2:12" ht="11.25" customHeight="1">
      <c r="C31" s="68" t="s">
        <v>64</v>
      </c>
      <c r="D31" s="51" t="s">
        <v>46</v>
      </c>
      <c r="E31" s="62" t="s">
        <v>55</v>
      </c>
      <c r="F31" s="62" t="s">
        <v>65</v>
      </c>
      <c r="G31" s="53"/>
      <c r="H31" s="166">
        <f>IF(H29&lt;&gt;"",H30*'Input | Inflation and Disc Rate'!K15*(1+'Input | Inflation and Disc Rate'!L14)^0.5,"")</f>
        <v>0</v>
      </c>
      <c r="I31" s="166">
        <f>IF(I29&lt;&gt;"",I30*'Input | Inflation and Disc Rate'!L15*(1+'Input | Inflation and Disc Rate'!M14)^0.5,"")</f>
        <v>0</v>
      </c>
      <c r="J31" s="166">
        <f>IF(J29&lt;&gt;"",J30*'Input | Inflation and Disc Rate'!M15*(1+'Input | Inflation and Disc Rate'!N14)^0.5,"")</f>
        <v>0</v>
      </c>
      <c r="K31" s="166">
        <f>IF(K29&lt;&gt;"",K30*'Input | Inflation and Disc Rate'!N15*(1+'Input | Inflation and Disc Rate'!O14)^0.5,"")</f>
        <v>0</v>
      </c>
      <c r="L31" s="166">
        <f>IF(L29&lt;&gt;"",L30*'Input | Inflation and Disc Rate'!O15*(1+'Input | Inflation and Disc Rate'!P14)^0.5,"")</f>
        <v>0</v>
      </c>
    </row>
    <row r="32" spans="2:12" ht="18" customHeight="1"/>
    <row r="33" spans="2:2" s="48" customFormat="1" ht="12.75" customHeight="1">
      <c r="B33" s="21" t="s">
        <v>14</v>
      </c>
    </row>
  </sheetData>
  <conditionalFormatting sqref="H8:H10 I8:L9">
    <cfRule type="expression" dxfId="7" priority="20">
      <formula>IF($H$6&lt;&gt;"","FALSE","TRUE")</formula>
    </cfRule>
  </conditionalFormatting>
  <conditionalFormatting sqref="H19:H20">
    <cfRule type="expression" dxfId="6" priority="10">
      <formula>IF($H$6&lt;&gt;"","FALSE","TRUE")</formula>
    </cfRule>
  </conditionalFormatting>
  <conditionalFormatting sqref="I10:L10">
    <cfRule type="expression" dxfId="5" priority="6">
      <formula>IF($H$6&lt;&gt;"","FALSE","TRUE")</formula>
    </cfRule>
  </conditionalFormatting>
  <conditionalFormatting sqref="I19:L20">
    <cfRule type="expression" dxfId="4" priority="5">
      <formula>IF($H$6&lt;&gt;"","FALSE","TRUE")</formula>
    </cfRule>
  </conditionalFormatting>
  <conditionalFormatting sqref="H29:L29">
    <cfRule type="expression" dxfId="3" priority="4">
      <formula>IF($H$6&lt;&gt;"","FALSE","TRUE")</formula>
    </cfRule>
  </conditionalFormatting>
  <conditionalFormatting sqref="H21">
    <cfRule type="expression" dxfId="2" priority="3">
      <formula>IF($H$6&lt;&gt;"","FALSE","TRUE")</formula>
    </cfRule>
  </conditionalFormatting>
  <conditionalFormatting sqref="I21:L21">
    <cfRule type="expression" dxfId="1" priority="2">
      <formula>IF($H$6&lt;&gt;"","FALSE","TRUE")</formula>
    </cfRule>
  </conditionalFormatting>
  <conditionalFormatting sqref="H18:L18">
    <cfRule type="expression" dxfId="0" priority="1">
      <formula>IF($H$6&lt;&gt;"","FALSE","TRUE")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CFFCC"/>
    <pageSetUpPr autoPageBreaks="0"/>
  </sheetPr>
  <dimension ref="A1:XFB47"/>
  <sheetViews>
    <sheetView zoomScaleNormal="100" workbookViewId="0">
      <selection activeCell="K14" sqref="K14"/>
    </sheetView>
  </sheetViews>
  <sheetFormatPr defaultColWidth="0" defaultRowHeight="0" customHeight="1" zeroHeight="1"/>
  <cols>
    <col min="1" max="2" width="1.28515625" style="2" customWidth="1"/>
    <col min="3" max="3" width="70.85546875" style="9" customWidth="1"/>
    <col min="4" max="8" width="12.7109375" style="2" customWidth="1"/>
    <col min="9" max="9" width="2.28515625" style="2" customWidth="1"/>
    <col min="10" max="10" width="12.7109375" style="1" customWidth="1"/>
    <col min="11" max="14" width="12.7109375" style="2" customWidth="1"/>
    <col min="15" max="16" width="2.85546875" style="2" customWidth="1"/>
    <col min="17" max="16382" width="0" style="2" hidden="1"/>
    <col min="16383" max="16384" width="12.7109375" style="2" hidden="1"/>
  </cols>
  <sheetData>
    <row r="1" spans="2:13" ht="18" customHeight="1">
      <c r="B1" s="3" t="str">
        <f>'Input | General'!$B$1</f>
        <v>Directlink 2025-30 Draft Decision - Capital expenditure sharing scheme model</v>
      </c>
      <c r="C1" s="2"/>
      <c r="J1" s="100"/>
      <c r="K1" s="85" t="s">
        <v>15</v>
      </c>
      <c r="L1" s="121" t="s">
        <v>16</v>
      </c>
      <c r="M1" s="125" t="s">
        <v>17</v>
      </c>
    </row>
    <row r="2" spans="2:13" ht="18" customHeight="1">
      <c r="B2" s="10" t="s">
        <v>68</v>
      </c>
      <c r="C2" s="2"/>
      <c r="J2" s="17"/>
      <c r="K2" s="17"/>
      <c r="L2" s="17"/>
    </row>
    <row r="3" spans="2:13" ht="3" customHeight="1">
      <c r="C3" s="1"/>
      <c r="J3" s="17"/>
      <c r="K3" s="17"/>
    </row>
    <row r="4" spans="2:13" s="8" customFormat="1" ht="12" customHeight="1">
      <c r="B4" s="21" t="s">
        <v>69</v>
      </c>
      <c r="J4" s="18"/>
      <c r="K4" s="18"/>
    </row>
    <row r="5" spans="2:13" ht="11.25" customHeight="1">
      <c r="C5" s="75"/>
      <c r="D5" s="75"/>
      <c r="E5" s="75"/>
      <c r="F5" s="75"/>
      <c r="G5" s="75"/>
      <c r="H5" s="75"/>
      <c r="I5" s="63"/>
      <c r="J5" s="63"/>
      <c r="K5" s="63"/>
      <c r="L5" s="63"/>
      <c r="M5" s="63"/>
    </row>
    <row r="6" spans="2:13" ht="11.25" customHeight="1">
      <c r="C6" s="96" t="s">
        <v>70</v>
      </c>
      <c r="D6" s="97"/>
      <c r="E6" s="98"/>
      <c r="F6" s="98"/>
      <c r="G6" s="98"/>
      <c r="H6" s="98"/>
      <c r="I6" s="77"/>
    </row>
    <row r="7" spans="2:13" ht="11.25" customHeight="1">
      <c r="C7" s="95" t="s">
        <v>71</v>
      </c>
      <c r="D7" s="139" t="str">
        <f>IF('Input | General'!D14="Yes",'Input | General'!D13,"n/a")</f>
        <v>2020–21</v>
      </c>
      <c r="E7" s="139" t="str">
        <f>IF('Input | General'!E14="Yes",'Input | General'!E13,"n/a")</f>
        <v>2021–22</v>
      </c>
      <c r="F7" s="139" t="str">
        <f>IF('Input | General'!F14="Yes",'Input | General'!F13,"n/a")</f>
        <v>2022–23</v>
      </c>
      <c r="G7" s="139" t="str">
        <f>IF('Input | General'!G14="Yes",'Input | General'!G13,"n/a")</f>
        <v>2023–24</v>
      </c>
      <c r="H7" s="142" t="str">
        <f>IF('Input | General'!H14="Yes",'Input | General'!H13,"n/a")</f>
        <v>2024–25</v>
      </c>
      <c r="I7" s="77"/>
    </row>
    <row r="8" spans="2:13" ht="11.25" customHeight="1">
      <c r="C8" s="93" t="s">
        <v>72</v>
      </c>
      <c r="D8" s="126">
        <f>'Input | Inflation and Disc Rate'!G20</f>
        <v>2.2038537773495515E-2</v>
      </c>
      <c r="E8" s="127">
        <f>'Input | Inflation and Disc Rate'!H20</f>
        <v>2.0769807761376047E-2</v>
      </c>
      <c r="F8" s="127">
        <f>'Input | Inflation and Disc Rate'!I20</f>
        <v>2.0443136046643051E-2</v>
      </c>
      <c r="G8" s="127">
        <f>'Input | Inflation and Disc Rate'!J20</f>
        <v>2.1558627377069817E-2</v>
      </c>
      <c r="H8" s="128">
        <f>'Input | Inflation and Disc Rate'!K20</f>
        <v>2.245936897842582E-2</v>
      </c>
      <c r="I8" s="77"/>
      <c r="J8" s="63"/>
      <c r="K8" s="63"/>
    </row>
    <row r="9" spans="2:13" ht="11.25" customHeight="1">
      <c r="C9" s="114" t="s">
        <v>73</v>
      </c>
      <c r="D9" s="127">
        <f>'Input | Inflation and Disc Rate'!G22</f>
        <v>3.0834050146761438E-2</v>
      </c>
      <c r="E9" s="127">
        <f>'Input | Inflation and Disc Rate'!H22</f>
        <v>5.6479331753028106E-2</v>
      </c>
      <c r="F9" s="127">
        <f>'Input | Inflation and Disc Rate'!I22</f>
        <v>0.10036242534955431</v>
      </c>
      <c r="G9" s="127">
        <f>'Input | Inflation and Disc Rate'!J22</f>
        <v>6.2952057997088584E-2</v>
      </c>
      <c r="H9" s="128">
        <f>'Input | Inflation and Disc Rate'!K22</f>
        <v>5.3133150047778521E-2</v>
      </c>
      <c r="I9" s="77"/>
      <c r="J9" s="63"/>
      <c r="K9" s="63"/>
    </row>
    <row r="10" spans="2:13" ht="11.25" customHeight="1">
      <c r="C10" s="91" t="s">
        <v>74</v>
      </c>
      <c r="D10" s="129">
        <f>'Input | Reported Capex'!H$12*'Input | Inflation and Disc Rate'!G$15*(1+'Input | Inflation and Disc Rate'!G$20)^0.5</f>
        <v>4.9683567686628001</v>
      </c>
      <c r="E10" s="130">
        <f>'Input | Reported Capex'!I$12*'Input | Inflation and Disc Rate'!H$15*(1+'Input | Inflation and Disc Rate'!H$20)^0.5</f>
        <v>6.9326429131760952</v>
      </c>
      <c r="F10" s="130">
        <f>'Input | Reported Capex'!J$12*'Input | Inflation and Disc Rate'!I$15*(1+'Input | Inflation and Disc Rate'!I$20)^0.5</f>
        <v>6.1751623177156523</v>
      </c>
      <c r="G10" s="130">
        <f>'Input | Reported Capex'!K$12*'Input | Inflation and Disc Rate'!J$15*(1+'Input | Inflation and Disc Rate'!J$20)^0.5</f>
        <v>5.8722393468712717</v>
      </c>
      <c r="H10" s="131">
        <f>'Input | Reported Capex'!L$12*'Input | Inflation and Disc Rate'!K$15*(1+'Input | Inflation and Disc Rate'!K$20)^0.5</f>
        <v>4.7530453617443804</v>
      </c>
      <c r="I10" s="77"/>
      <c r="J10" s="63"/>
      <c r="K10" s="63"/>
    </row>
    <row r="11" spans="2:13" ht="11.25" customHeight="1">
      <c r="C11" s="91" t="s">
        <v>75</v>
      </c>
      <c r="D11" s="132">
        <f>'Input | Reported Capex'!H23*(1+D$9)^0.5</f>
        <v>2.0796559357680464</v>
      </c>
      <c r="E11" s="130">
        <f>'Input | Reported Capex'!I23*(1+E$9)^0.5</f>
        <v>2.6401612259532405</v>
      </c>
      <c r="F11" s="130">
        <f>'Input | Reported Capex'!J23*(1+F$9)^0.5</f>
        <v>7.9231894687690794</v>
      </c>
      <c r="G11" s="130">
        <f>'Input | Reported Capex'!K23*(1+G$9)^0.5</f>
        <v>12.495785592790124</v>
      </c>
      <c r="H11" s="131">
        <f>'Input | Reported Capex'!L23*(1+H$9)^0.5</f>
        <v>4.9047735379837158</v>
      </c>
      <c r="I11" s="77"/>
      <c r="J11" s="63"/>
      <c r="K11" s="63"/>
    </row>
    <row r="12" spans="2:13" s="14" customFormat="1" ht="11.25" customHeight="1">
      <c r="C12" s="91" t="s">
        <v>76</v>
      </c>
      <c r="D12" s="70">
        <f>(D10-D11)</f>
        <v>2.8887008328947537</v>
      </c>
      <c r="E12" s="112">
        <f>(E10-E11)</f>
        <v>4.2924816872228551</v>
      </c>
      <c r="F12" s="112">
        <f t="shared" ref="F12:H12" si="0">(F10-F11)</f>
        <v>-1.7480271510534271</v>
      </c>
      <c r="G12" s="112">
        <f t="shared" si="0"/>
        <v>-6.6235462459188525</v>
      </c>
      <c r="H12" s="116">
        <f t="shared" si="0"/>
        <v>-0.15172817623933543</v>
      </c>
      <c r="I12" s="77"/>
      <c r="J12" s="63"/>
      <c r="K12" s="63"/>
    </row>
    <row r="13" spans="2:13" ht="11.25" customHeight="1">
      <c r="C13" s="91" t="s">
        <v>77</v>
      </c>
      <c r="D13" s="70"/>
      <c r="E13" s="112">
        <f>$D$12*$E$8</f>
        <v>5.9997760979350903E-2</v>
      </c>
      <c r="F13" s="112">
        <f>$D$12*$F$8*(1+'Input | Inflation and Disc Rate'!H13)</f>
        <v>6.1119990020073539E-2</v>
      </c>
      <c r="G13" s="112">
        <f>$D$12*$G$8*(1+'Input | Inflation and Disc Rate'!H13)*(1+'Input | Inflation and Disc Rate'!I13)</f>
        <v>6.9503040714294931E-2</v>
      </c>
      <c r="H13" s="116">
        <f>$D$12*$H$8*(1+'Input | Inflation and Disc Rate'!H13)*(1+'Input | Inflation and Disc Rate'!I13)*(1+'Input | Inflation and Disc Rate'!J13)</f>
        <v>7.5340869886416764E-2</v>
      </c>
      <c r="I13" s="77"/>
      <c r="J13" s="63"/>
      <c r="K13" s="63"/>
      <c r="L13" s="76"/>
      <c r="M13" s="76"/>
    </row>
    <row r="14" spans="2:13" ht="11.25" customHeight="1">
      <c r="C14" s="91" t="s">
        <v>78</v>
      </c>
      <c r="D14" s="70"/>
      <c r="E14" s="113"/>
      <c r="F14" s="112">
        <f>$E$12*F$8</f>
        <v>8.7751787109620727E-2</v>
      </c>
      <c r="G14" s="112">
        <f>$E$12*G$8*(1+'Input | Inflation and Disc Rate'!I13)</f>
        <v>9.978758226611327E-2</v>
      </c>
      <c r="H14" s="116">
        <f>$E$12*H$8*(1+'Input | Inflation and Disc Rate'!I13)*(1+'Input | Inflation and Disc Rate'!J13)</f>
        <v>0.10816912719971228</v>
      </c>
      <c r="I14" s="77"/>
      <c r="J14" s="63"/>
      <c r="K14" s="63"/>
      <c r="L14" s="76"/>
      <c r="M14" s="76"/>
    </row>
    <row r="15" spans="2:13" ht="11.25" customHeight="1">
      <c r="C15" s="91" t="s">
        <v>79</v>
      </c>
      <c r="D15" s="70"/>
      <c r="E15" s="112"/>
      <c r="F15" s="112"/>
      <c r="G15" s="112">
        <f>$F$12*G$8</f>
        <v>-3.768506599456177E-2</v>
      </c>
      <c r="H15" s="116">
        <f>$F$12*$H$8*(1+'Input | Inflation and Disc Rate'!J13)</f>
        <v>-4.0850380423332389E-2</v>
      </c>
      <c r="I15" s="77"/>
      <c r="J15" s="63"/>
      <c r="K15" s="63"/>
      <c r="L15" s="76"/>
      <c r="M15" s="76"/>
    </row>
    <row r="16" spans="2:13" ht="11.25" customHeight="1">
      <c r="C16" s="91" t="s">
        <v>80</v>
      </c>
      <c r="D16" s="70"/>
      <c r="E16" s="112"/>
      <c r="F16" s="112"/>
      <c r="G16" s="112"/>
      <c r="H16" s="116">
        <f>$G$12*$H$8</f>
        <v>-0.14876066908275867</v>
      </c>
      <c r="I16" s="77"/>
      <c r="J16" s="63"/>
      <c r="K16" s="63"/>
      <c r="L16" s="76"/>
      <c r="M16" s="76"/>
    </row>
    <row r="17" spans="3:8" ht="11.25" customHeight="1">
      <c r="C17" s="91" t="s">
        <v>81</v>
      </c>
      <c r="D17" s="70"/>
      <c r="E17" s="112"/>
      <c r="F17" s="112"/>
      <c r="G17" s="112"/>
      <c r="H17" s="116"/>
    </row>
    <row r="18" spans="3:8" s="14" customFormat="1" ht="11.25" customHeight="1">
      <c r="C18" s="92" t="s">
        <v>82</v>
      </c>
      <c r="D18" s="71">
        <f>SUM(D13:D17)</f>
        <v>0</v>
      </c>
      <c r="E18" s="72">
        <f>SUM(E13:E17)</f>
        <v>5.9997760979350903E-2</v>
      </c>
      <c r="F18" s="72">
        <f t="shared" ref="F18:H18" si="1">SUM(F13:F17)</f>
        <v>0.14887177712969427</v>
      </c>
      <c r="G18" s="72">
        <f t="shared" si="1"/>
        <v>0.13160555698584642</v>
      </c>
      <c r="H18" s="73">
        <f t="shared" si="1"/>
        <v>-6.1010524199620331E-3</v>
      </c>
    </row>
    <row r="19" spans="3:8" ht="11.25" customHeight="1">
      <c r="C19" s="93" t="s">
        <v>83</v>
      </c>
      <c r="D19" s="71">
        <f>E19*(1+E$9)</f>
        <v>1.3013488053885061</v>
      </c>
      <c r="E19" s="72">
        <f>F19*(1+F$9)</f>
        <v>1.2317787639339459</v>
      </c>
      <c r="F19" s="72">
        <f>G19*(1+G$9)</f>
        <v>1.119430049188243</v>
      </c>
      <c r="G19" s="72">
        <f>H19*(1+H$9)</f>
        <v>1.0531331500477785</v>
      </c>
      <c r="H19" s="117">
        <v>1</v>
      </c>
    </row>
    <row r="20" spans="3:8" s="14" customFormat="1" ht="11.25" customHeight="1">
      <c r="C20" s="91" t="s">
        <v>84</v>
      </c>
      <c r="D20" s="70">
        <f>D12*D19</f>
        <v>3.7592073780123703</v>
      </c>
      <c r="E20" s="112">
        <f>E12*E19</f>
        <v>5.2873877868964669</v>
      </c>
      <c r="F20" s="112">
        <f t="shared" ref="F20:H20" si="2">F12*F19</f>
        <v>-1.956794119686122</v>
      </c>
      <c r="G20" s="112">
        <f t="shared" si="2"/>
        <v>-6.975476122451659</v>
      </c>
      <c r="H20" s="116">
        <f t="shared" si="2"/>
        <v>-0.15172817623933543</v>
      </c>
    </row>
    <row r="21" spans="3:8" s="14" customFormat="1" ht="11.25" customHeight="1">
      <c r="C21" s="92" t="s">
        <v>85</v>
      </c>
      <c r="D21" s="71">
        <f>D18*D19</f>
        <v>0</v>
      </c>
      <c r="E21" s="72">
        <f>E18*E19</f>
        <v>7.3903967857949185E-2</v>
      </c>
      <c r="F21" s="72">
        <f t="shared" ref="F21:H21" si="3">F18*F19</f>
        <v>0.1666515407950348</v>
      </c>
      <c r="G21" s="72">
        <f t="shared" si="3"/>
        <v>0.13859817479229686</v>
      </c>
      <c r="H21" s="73">
        <f t="shared" si="3"/>
        <v>-6.1010524199620331E-3</v>
      </c>
    </row>
    <row r="22" spans="3:8" s="63" customFormat="1" ht="11.25" customHeight="1"/>
    <row r="23" spans="3:8" ht="11.25" customHeight="1">
      <c r="C23" s="96" t="s">
        <v>86</v>
      </c>
      <c r="D23" s="97"/>
      <c r="E23" s="98"/>
      <c r="F23" s="98"/>
      <c r="G23" s="98"/>
      <c r="H23" s="98"/>
    </row>
    <row r="24" spans="3:8" ht="11.25" customHeight="1">
      <c r="C24" s="90" t="s">
        <v>71</v>
      </c>
      <c r="D24" s="143" t="str">
        <f>'Input | General'!$D$18</f>
        <v>2025-26</v>
      </c>
      <c r="E24" s="143" t="str">
        <f>'Input | General'!$E$18</f>
        <v>2026–27</v>
      </c>
      <c r="F24" s="143" t="str">
        <f>'Input | General'!$F$18</f>
        <v>2027–28</v>
      </c>
      <c r="G24" s="143" t="str">
        <f>'Input | General'!$G$18</f>
        <v>2028–29</v>
      </c>
      <c r="H24" s="144" t="str">
        <f>'Input | General'!$H$18</f>
        <v>2029–30</v>
      </c>
    </row>
    <row r="25" spans="3:8" ht="11.25" customHeight="1">
      <c r="C25" s="94" t="s">
        <v>87</v>
      </c>
      <c r="D25" s="133">
        <f>'Input | Inflation and Disc Rate'!L$22</f>
        <v>6.0098946579550283E-2</v>
      </c>
      <c r="E25" s="133">
        <f>'Input | Inflation and Disc Rate'!M$22</f>
        <v>6.0301462379967363E-2</v>
      </c>
      <c r="F25" s="133">
        <f>'Input | Inflation and Disc Rate'!N$22</f>
        <v>6.0766465041139472E-2</v>
      </c>
      <c r="G25" s="133">
        <f>'Input | Inflation and Disc Rate'!O$22</f>
        <v>6.1568378873495755E-2</v>
      </c>
      <c r="H25" s="134">
        <f>'Input | Inflation and Disc Rate'!P$22</f>
        <v>6.2377511849851741E-2</v>
      </c>
    </row>
    <row r="26" spans="3:8" ht="11.25" customHeight="1">
      <c r="C26" s="95" t="s">
        <v>88</v>
      </c>
      <c r="D26" s="130">
        <f>'Input | Reported Capex'!H31</f>
        <v>0</v>
      </c>
      <c r="E26" s="130">
        <f>'Input | Reported Capex'!I31</f>
        <v>0</v>
      </c>
      <c r="F26" s="130">
        <f>'Input | Reported Capex'!J31</f>
        <v>0</v>
      </c>
      <c r="G26" s="130">
        <f>'Input | Reported Capex'!K31</f>
        <v>0</v>
      </c>
      <c r="H26" s="131">
        <f>'Input | Reported Capex'!L31</f>
        <v>0</v>
      </c>
    </row>
    <row r="27" spans="3:8" ht="11.25" customHeight="1">
      <c r="C27" s="95" t="s">
        <v>89</v>
      </c>
      <c r="D27" s="101">
        <f>1/(1+D25)^(0.5)</f>
        <v>0.97124053278835398</v>
      </c>
      <c r="E27" s="101">
        <f>1/((1+E25)^(0.5)*(1+D25))</f>
        <v>0.91609163355584255</v>
      </c>
      <c r="F27" s="101">
        <f>1/((1+F25)^(0.5)*(1+E25)*(1+D25))</f>
        <v>0.86380227971695589</v>
      </c>
      <c r="G27" s="101">
        <f>1/((1+G25)^(0.5)*(1+F25)*(1+E25)*(1+D25))</f>
        <v>0.81401136475230351</v>
      </c>
      <c r="H27" s="102">
        <f>1/((1+H25)^(0.5)*(1+G25)*(1+F25)*(1+E25)*(1+D25))</f>
        <v>0.76650862658580721</v>
      </c>
    </row>
    <row r="28" spans="3:8" ht="11.25" customHeight="1">
      <c r="C28" s="90" t="s">
        <v>90</v>
      </c>
      <c r="D28" s="72">
        <f>D26*D27</f>
        <v>0</v>
      </c>
      <c r="E28" s="72">
        <f t="shared" ref="E28:G28" si="4">E26*E27</f>
        <v>0</v>
      </c>
      <c r="F28" s="72">
        <f t="shared" si="4"/>
        <v>0</v>
      </c>
      <c r="G28" s="72">
        <f t="shared" si="4"/>
        <v>0</v>
      </c>
      <c r="H28" s="73">
        <f>H26*H27</f>
        <v>0</v>
      </c>
    </row>
    <row r="29" spans="3:8" ht="11.25" customHeight="1">
      <c r="C29" s="76"/>
      <c r="D29" s="78"/>
      <c r="E29" s="78"/>
      <c r="F29" s="78"/>
      <c r="G29" s="78"/>
      <c r="H29" s="78"/>
    </row>
    <row r="30" spans="3:8" ht="11.25" customHeight="1">
      <c r="C30" s="89" t="s">
        <v>91</v>
      </c>
      <c r="D30" s="99"/>
      <c r="E30" s="76"/>
      <c r="F30" s="76"/>
      <c r="G30" s="76"/>
      <c r="H30" s="76"/>
    </row>
    <row r="31" spans="3:8" ht="11.25" customHeight="1">
      <c r="C31" s="91" t="s">
        <v>92</v>
      </c>
      <c r="D31" s="82">
        <f>SUM(D20:H20)-SUM(D28:H28)</f>
        <v>-3.7403253468279551E-2</v>
      </c>
      <c r="E31" s="76"/>
      <c r="F31" s="76"/>
      <c r="G31" s="76"/>
      <c r="H31" s="76"/>
    </row>
    <row r="32" spans="3:8" ht="11.25" customHeight="1">
      <c r="C32" s="91" t="s">
        <v>106</v>
      </c>
      <c r="D32" s="82">
        <v>0.3</v>
      </c>
      <c r="E32" s="76"/>
      <c r="F32" s="76"/>
      <c r="G32" s="76"/>
      <c r="H32" s="76"/>
    </row>
    <row r="33" spans="2:8" ht="11.25" customHeight="1">
      <c r="C33" s="91" t="s">
        <v>93</v>
      </c>
      <c r="D33" s="81">
        <f>(1-D32)*D31</f>
        <v>-2.6182277427795685E-2</v>
      </c>
    </row>
    <row r="34" spans="2:8" ht="11.25" customHeight="1">
      <c r="C34" s="91" t="s">
        <v>94</v>
      </c>
      <c r="D34" s="81">
        <f>D32*D31</f>
        <v>-1.1220976040483865E-2</v>
      </c>
    </row>
    <row r="35" spans="2:8" ht="11.25" customHeight="1">
      <c r="C35" s="91" t="s">
        <v>95</v>
      </c>
      <c r="D35" s="81">
        <f>SUM(D21:H21)</f>
        <v>0.37305263102531883</v>
      </c>
    </row>
    <row r="36" spans="2:8" ht="11.25" customHeight="1">
      <c r="C36" s="92" t="s">
        <v>96</v>
      </c>
      <c r="D36" s="175">
        <f>D34-D35</f>
        <v>-0.38427360706580271</v>
      </c>
    </row>
    <row r="37" spans="2:8" ht="11.25" customHeight="1">
      <c r="D37" s="20"/>
    </row>
    <row r="38" spans="2:8" s="8" customFormat="1" ht="12" customHeight="1">
      <c r="B38" s="21" t="s">
        <v>97</v>
      </c>
    </row>
    <row r="40" spans="2:8" s="22" customFormat="1" ht="11.25" customHeight="1">
      <c r="C40" s="74"/>
      <c r="D40" s="145" t="str">
        <f>'Input | General'!D18</f>
        <v>2025-26</v>
      </c>
      <c r="E40" s="145" t="str">
        <f>'Input | General'!E18</f>
        <v>2026–27</v>
      </c>
      <c r="F40" s="145" t="str">
        <f>'Input | General'!F18</f>
        <v>2027–28</v>
      </c>
      <c r="G40" s="145" t="str">
        <f>'Input | General'!G18</f>
        <v>2028–29</v>
      </c>
      <c r="H40" s="145" t="str">
        <f>'Input | General'!H18</f>
        <v>2029–30</v>
      </c>
    </row>
    <row r="41" spans="2:8" s="22" customFormat="1" ht="11.25" customHeight="1">
      <c r="C41" s="80" t="s">
        <v>98</v>
      </c>
      <c r="D41" s="135">
        <f>1/(1+'Input | Inflation and Disc Rate'!L21)</f>
        <v>0.9701896466087474</v>
      </c>
      <c r="E41" s="135">
        <f>D41/(1+'Input | Inflation and Disc Rate'!M21)</f>
        <v>0.941088169787474</v>
      </c>
      <c r="F41" s="135">
        <f>E41/(1+'Input | Inflation and Disc Rate'!N21)</f>
        <v>0.91245944540665014</v>
      </c>
      <c r="G41" s="135">
        <f>F41/(1+'Input | Inflation and Disc Rate'!O21)</f>
        <v>0.88403332398978918</v>
      </c>
      <c r="H41" s="136">
        <f>G41/(1+'Input | Inflation and Disc Rate'!P21)</f>
        <v>0.85584044394966863</v>
      </c>
    </row>
    <row r="42" spans="2:8" s="22" customFormat="1" ht="11.25" customHeight="1">
      <c r="C42" s="151" t="str">
        <f>CONCATENATE("CESS Payment Per Year ($", 'Output | Models'!$F$8," million)")</f>
        <v>CESS Payment Per Year ($2024–25 million)</v>
      </c>
      <c r="D42" s="88">
        <f>D36/(SUM(D41:H41))</f>
        <v>-8.4203847471089041E-2</v>
      </c>
      <c r="E42" s="88">
        <f>D42</f>
        <v>-8.4203847471089041E-2</v>
      </c>
      <c r="F42" s="88">
        <f t="shared" ref="F42:H42" si="5">E42</f>
        <v>-8.4203847471089041E-2</v>
      </c>
      <c r="G42" s="88">
        <f t="shared" si="5"/>
        <v>-8.4203847471089041E-2</v>
      </c>
      <c r="H42" s="115">
        <f t="shared" si="5"/>
        <v>-8.4203847471089041E-2</v>
      </c>
    </row>
    <row r="43" spans="2:8" s="63" customFormat="1" ht="11.25" customHeight="1"/>
    <row r="44" spans="2:8" s="22" customFormat="1" ht="11.25" customHeight="1">
      <c r="C44" s="151" t="str">
        <f>CONCATENATE("Total CESS Payment ($", 'Output | Models'!$F$8," million)")</f>
        <v>Total CESS Payment ($2024–25 million)</v>
      </c>
      <c r="D44" s="120">
        <f>SUM(D42:H42)</f>
        <v>-0.42101923735544522</v>
      </c>
      <c r="E44" s="55"/>
      <c r="F44" s="55"/>
      <c r="G44" s="55"/>
      <c r="H44" s="55"/>
    </row>
    <row r="45" spans="2:8" s="22" customFormat="1" ht="11.25" customHeight="1">
      <c r="C45" s="54"/>
      <c r="D45" s="79"/>
      <c r="E45" s="55"/>
      <c r="F45" s="55"/>
      <c r="G45" s="55"/>
      <c r="H45" s="55"/>
    </row>
    <row r="46" spans="2:8" s="22" customFormat="1" ht="11.25" customHeight="1">
      <c r="C46" s="83"/>
      <c r="D46" s="83"/>
      <c r="E46" s="83"/>
      <c r="F46" s="83"/>
      <c r="G46" s="83"/>
      <c r="H46" s="83"/>
    </row>
    <row r="47" spans="2:8" ht="12" customHeight="1">
      <c r="B47" s="21" t="s">
        <v>14</v>
      </c>
      <c r="C47" s="49"/>
      <c r="D47" s="49"/>
      <c r="E47" s="49"/>
      <c r="F47" s="48"/>
      <c r="G47" s="48"/>
      <c r="H47" s="48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</sheetPr>
  <dimension ref="B1:X11"/>
  <sheetViews>
    <sheetView workbookViewId="0">
      <selection activeCell="N1" sqref="N1"/>
    </sheetView>
  </sheetViews>
  <sheetFormatPr defaultColWidth="0" defaultRowHeight="11.25" customHeight="1" zeroHeight="1"/>
  <cols>
    <col min="1" max="2" width="1.28515625" style="40" customWidth="1"/>
    <col min="3" max="3" width="36" style="40" customWidth="1"/>
    <col min="4" max="4" width="23.5703125" style="41" bestFit="1" customWidth="1"/>
    <col min="5" max="5" width="13.5703125" style="41" customWidth="1"/>
    <col min="6" max="6" width="9.140625" style="41" customWidth="1"/>
    <col min="7" max="9" width="2.85546875" style="41" customWidth="1"/>
    <col min="10" max="15" width="9.28515625" style="40" customWidth="1"/>
    <col min="16" max="17" width="3" style="40" customWidth="1"/>
    <col min="18" max="24" width="9.28515625" style="40" hidden="1" customWidth="1"/>
    <col min="25" max="48" width="0" style="40" hidden="1" customWidth="1"/>
    <col min="49" max="16384" width="0" style="40" hidden="1"/>
  </cols>
  <sheetData>
    <row r="1" spans="2:20" s="26" customFormat="1" ht="15.75">
      <c r="B1" s="3" t="str">
        <f>'Input | General'!$B$1</f>
        <v>Directlink 2025-30 Draft Decision - Capital expenditure sharing scheme model</v>
      </c>
      <c r="C1" s="27"/>
      <c r="D1" s="27"/>
      <c r="E1" s="27"/>
      <c r="F1" s="28"/>
      <c r="G1" s="28"/>
      <c r="H1" s="28"/>
      <c r="I1" s="28"/>
      <c r="J1" s="84"/>
      <c r="K1" s="85" t="s">
        <v>15</v>
      </c>
      <c r="L1" s="121" t="s">
        <v>16</v>
      </c>
      <c r="M1" s="125" t="s">
        <v>17</v>
      </c>
      <c r="R1" s="86"/>
      <c r="S1" s="63"/>
      <c r="T1" s="63"/>
    </row>
    <row r="2" spans="2:20" s="29" customFormat="1" ht="13.5" thickBot="1">
      <c r="B2" s="30" t="s">
        <v>12</v>
      </c>
      <c r="C2" s="30"/>
      <c r="D2" s="30"/>
      <c r="E2" s="30"/>
      <c r="F2" s="31"/>
      <c r="G2" s="31"/>
      <c r="H2" s="31"/>
      <c r="I2" s="31"/>
    </row>
    <row r="3" spans="2:20" s="32" customFormat="1">
      <c r="D3" s="169"/>
      <c r="E3" s="169"/>
      <c r="F3" s="169"/>
      <c r="G3" s="169"/>
      <c r="H3" s="169"/>
      <c r="I3" s="169"/>
      <c r="J3" s="183"/>
      <c r="K3" s="183"/>
      <c r="L3" s="183"/>
      <c r="M3" s="169"/>
      <c r="N3" s="183"/>
      <c r="O3" s="183"/>
      <c r="P3" s="183"/>
      <c r="Q3" s="183"/>
      <c r="R3" s="183"/>
      <c r="S3" s="183"/>
      <c r="T3" s="183"/>
    </row>
    <row r="4" spans="2:20" s="39" customFormat="1" ht="12.75">
      <c r="B4" s="34" t="s">
        <v>99</v>
      </c>
      <c r="C4" s="33"/>
      <c r="D4" s="33"/>
      <c r="E4" s="33"/>
      <c r="F4" s="33"/>
      <c r="G4" s="35"/>
      <c r="H4" s="35"/>
      <c r="I4" s="35"/>
      <c r="J4" s="36" t="s">
        <v>100</v>
      </c>
      <c r="K4" s="37"/>
      <c r="L4" s="38"/>
      <c r="M4" s="37"/>
      <c r="N4" s="38"/>
      <c r="O4" s="38"/>
      <c r="P4" s="38"/>
      <c r="Q4" s="38"/>
      <c r="R4" s="38"/>
      <c r="S4" s="38"/>
      <c r="T4" s="38"/>
    </row>
    <row r="5" spans="2:20" ht="11.25" customHeight="1">
      <c r="M5" s="42"/>
      <c r="N5" s="42"/>
      <c r="O5" s="42"/>
      <c r="P5" s="42"/>
      <c r="Q5" s="63"/>
      <c r="R5" s="63"/>
      <c r="S5" s="63"/>
      <c r="T5" s="63"/>
    </row>
    <row r="6" spans="2:20" ht="11.25" customHeight="1">
      <c r="C6" s="43" t="s">
        <v>101</v>
      </c>
      <c r="D6" s="44" t="s">
        <v>40</v>
      </c>
      <c r="E6" s="44" t="s">
        <v>41</v>
      </c>
      <c r="F6" s="44" t="s">
        <v>54</v>
      </c>
      <c r="H6" s="44"/>
      <c r="I6" s="44"/>
      <c r="J6" s="146" t="str">
        <f>'Calc | CESS Revenue Increments'!D40</f>
        <v>2025-26</v>
      </c>
      <c r="K6" s="146" t="str">
        <f>'Calc | CESS Revenue Increments'!E40</f>
        <v>2026–27</v>
      </c>
      <c r="L6" s="146" t="str">
        <f>'Calc | CESS Revenue Increments'!F40</f>
        <v>2027–28</v>
      </c>
      <c r="M6" s="146" t="str">
        <f>'Calc | CESS Revenue Increments'!G40</f>
        <v>2028–29</v>
      </c>
      <c r="N6" s="146" t="str">
        <f>'Calc | CESS Revenue Increments'!H40</f>
        <v>2029–30</v>
      </c>
      <c r="O6" s="45" t="s">
        <v>67</v>
      </c>
      <c r="P6" s="107"/>
      <c r="Q6" s="63"/>
      <c r="R6" s="63"/>
      <c r="S6" s="63"/>
      <c r="T6" s="63"/>
    </row>
    <row r="7" spans="2:20" ht="11.25" customHeight="1">
      <c r="C7" s="43"/>
      <c r="D7" s="44"/>
      <c r="E7" s="44"/>
      <c r="F7" s="44"/>
      <c r="H7" s="44"/>
      <c r="I7" s="44"/>
      <c r="O7" s="63"/>
      <c r="P7" s="63"/>
      <c r="Q7" s="63"/>
      <c r="R7" s="63"/>
      <c r="S7" s="63"/>
      <c r="T7" s="63"/>
    </row>
    <row r="8" spans="2:20" ht="11.25" customHeight="1">
      <c r="C8" s="46" t="s">
        <v>102</v>
      </c>
      <c r="D8" s="148" t="s">
        <v>10</v>
      </c>
      <c r="E8" s="41" t="s">
        <v>55</v>
      </c>
      <c r="F8" s="147" t="str">
        <f>IF(LEN(J6)&gt;4,CONCATENATE(LEFT(J6,4)-1&amp;"–"&amp;IF(RIGHT(J6,2)="00","99",IF(RIGHT(J6,2)-1&lt;10,"0","")&amp;RIGHT(J6,2)-1)),J6-1)</f>
        <v>2024–25</v>
      </c>
      <c r="H8" s="44"/>
      <c r="I8" s="44"/>
      <c r="J8" s="173">
        <f>'Calc | CESS Revenue Increments'!D42</f>
        <v>-8.4203847471089041E-2</v>
      </c>
      <c r="K8" s="173">
        <f>'Calc | CESS Revenue Increments'!E42</f>
        <v>-8.4203847471089041E-2</v>
      </c>
      <c r="L8" s="173">
        <f>'Calc | CESS Revenue Increments'!F42</f>
        <v>-8.4203847471089041E-2</v>
      </c>
      <c r="M8" s="173">
        <f>'Calc | CESS Revenue Increments'!G42</f>
        <v>-8.4203847471089041E-2</v>
      </c>
      <c r="N8" s="173">
        <f>'Calc | CESS Revenue Increments'!H42</f>
        <v>-8.4203847471089041E-2</v>
      </c>
      <c r="O8" s="174">
        <f>SUM(J8:N8)</f>
        <v>-0.42101923735544522</v>
      </c>
      <c r="P8" s="108"/>
      <c r="Q8" s="63"/>
      <c r="R8" s="63"/>
      <c r="S8" s="63"/>
      <c r="T8" s="63"/>
    </row>
    <row r="9" spans="2:20" ht="11.25" customHeight="1">
      <c r="C9" s="46"/>
      <c r="D9" s="47"/>
      <c r="H9" s="44"/>
      <c r="I9" s="44"/>
      <c r="Q9" s="63"/>
      <c r="R9" s="63"/>
      <c r="S9" s="63"/>
      <c r="T9" s="63"/>
    </row>
    <row r="10" spans="2:20" ht="11.25" customHeight="1">
      <c r="D10" s="47"/>
      <c r="H10" s="44"/>
      <c r="I10" s="44"/>
      <c r="J10" s="106"/>
      <c r="K10" s="106"/>
      <c r="L10" s="106"/>
      <c r="M10" s="106"/>
      <c r="N10" s="106"/>
      <c r="O10" s="106"/>
      <c r="Q10" s="63"/>
      <c r="R10" s="63"/>
      <c r="S10" s="63"/>
      <c r="T10" s="63"/>
    </row>
    <row r="11" spans="2:20" s="39" customFormat="1" ht="12.75">
      <c r="B11" s="34" t="s">
        <v>14</v>
      </c>
      <c r="C11" s="33"/>
      <c r="D11" s="33"/>
      <c r="E11" s="33"/>
      <c r="F11" s="35"/>
      <c r="G11" s="35"/>
      <c r="H11" s="35"/>
      <c r="I11" s="35"/>
      <c r="J11" s="38"/>
      <c r="K11" s="37"/>
      <c r="L11" s="38"/>
      <c r="M11" s="37"/>
      <c r="N11" s="38"/>
      <c r="O11" s="38"/>
      <c r="P11" s="38"/>
      <c r="Q11" s="38"/>
      <c r="R11" s="38"/>
      <c r="S11" s="38"/>
      <c r="T11" s="38"/>
    </row>
  </sheetData>
  <mergeCells count="2">
    <mergeCell ref="J3:L3"/>
    <mergeCell ref="N3:T3"/>
  </mergeCells>
  <dataValidations count="1">
    <dataValidation type="list" allowBlank="1" showInputMessage="1" showErrorMessage="1" sqref="F9:F10" xr:uid="{00000000-0002-0000-0500-000000000000}">
      <formula1>#REF!</formula1>
    </dataValidation>
  </dataValidations>
  <hyperlinks>
    <hyperlink ref="D8" location="'Calc | CESS Payments'!A1" display="Calc | CESS Revenue Increments" xr:uid="{00000000-0004-0000-0500-000000000000}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Input | General</vt:lpstr>
      <vt:lpstr>Input | Inflation and Disc Rate</vt:lpstr>
      <vt:lpstr>Input | Reported Capex</vt:lpstr>
      <vt:lpstr>Calc | CESS Revenue Increments</vt:lpstr>
      <vt:lpstr>Output | Models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2024-09-16T01:54:24Z</dcterms:created>
  <dcterms:modified xsi:type="dcterms:W3CDTF">2024-09-16T01:54:38Z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9d5a995-dfdf-4407-9a97-edbbc68c9f53_Enabled">
    <vt:lpwstr>true</vt:lpwstr>
  </property>
  <property fmtid="{D5CDD505-2E9C-101B-9397-08002B2CF9AE}" pid="3" name="MSIP_Label_d9d5a995-dfdf-4407-9a97-edbbc68c9f53_SetDate">
    <vt:lpwstr>2024-09-16T01:54:37Z</vt:lpwstr>
  </property>
  <property fmtid="{D5CDD505-2E9C-101B-9397-08002B2CF9AE}" pid="4" name="MSIP_Label_d9d5a995-dfdf-4407-9a97-edbbc68c9f53_Method">
    <vt:lpwstr>Privileged</vt:lpwstr>
  </property>
  <property fmtid="{D5CDD505-2E9C-101B-9397-08002B2CF9AE}" pid="5" name="MSIP_Label_d9d5a995-dfdf-4407-9a97-edbbc68c9f53_Name">
    <vt:lpwstr>OFFICIAL</vt:lpwstr>
  </property>
  <property fmtid="{D5CDD505-2E9C-101B-9397-08002B2CF9AE}" pid="6" name="MSIP_Label_d9d5a995-dfdf-4407-9a97-edbbc68c9f53_SiteId">
    <vt:lpwstr>b33e9e1a-e443-4edd-9789-24bed26d38d6</vt:lpwstr>
  </property>
  <property fmtid="{D5CDD505-2E9C-101B-9397-08002B2CF9AE}" pid="7" name="MSIP_Label_d9d5a995-dfdf-4407-9a97-edbbc68c9f53_ActionId">
    <vt:lpwstr>93709a39-6f8a-4b73-b2c0-bb107952edd6</vt:lpwstr>
  </property>
  <property fmtid="{D5CDD505-2E9C-101B-9397-08002B2CF9AE}" pid="8" name="MSIP_Label_d9d5a995-dfdf-4407-9a97-edbbc68c9f53_ContentBits">
    <vt:lpwstr>0</vt:lpwstr>
  </property>
</Properties>
</file>