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. Price Reviews\02. GAAR\2026-30\05. Revenue Scenarios\IP03b (Submitted)\03. Model Suite\03. Public\"/>
    </mc:Choice>
  </mc:AlternateContent>
  <xr:revisionPtr revIDLastSave="0" documentId="13_ncr:1_{2E871C7C-57D9-42A4-B4AF-8E50B8654ABE}" xr6:coauthVersionLast="47" xr6:coauthVersionMax="47" xr10:uidLastSave="{00000000-0000-0000-0000-000000000000}"/>
  <bookViews>
    <workbookView xWindow="30600" yWindow="-120" windowWidth="29040" windowHeight="15840" tabRatio="807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UAG" sheetId="59" r:id="rId6"/>
    <sheet name="Input|Step changes" sheetId="53" r:id="rId7"/>
    <sheet name="Calc|Opex forecast" sheetId="42" r:id="rId8"/>
    <sheet name="Output|Models" sheetId="44" r:id="rId9"/>
    <sheet name="Lookup|Tables" sheetId="4" r:id="rId10"/>
    <sheet name="Check|List" sheetId="16" r:id="rId11"/>
  </sheets>
  <externalReferences>
    <externalReference r:id="rId12"/>
    <externalReference r:id="rId13"/>
  </externalReferences>
  <definedNames>
    <definedName name="BaseYear">'Input|General'!$G$11</definedName>
    <definedName name="FPFirstYear">'Input|General'!$G$13</definedName>
    <definedName name="FPLastYear">'Input|General'!$G$14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'Lookup|Tables'!$H$65:$H$70</definedName>
    <definedName name="thousands">'Lookup|Tables'!$G$11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6" l="1"/>
  <c r="D16" i="16"/>
  <c r="D14" i="16"/>
  <c r="D13" i="16"/>
  <c r="C14" i="16"/>
  <c r="E30" i="59" l="1"/>
  <c r="E26" i="59"/>
  <c r="E23" i="59"/>
  <c r="E16" i="59"/>
  <c r="E13" i="59"/>
  <c r="B2" i="59"/>
  <c r="O26" i="59" l="1"/>
  <c r="S26" i="59"/>
  <c r="Q26" i="59"/>
  <c r="R26" i="59"/>
  <c r="P26" i="59"/>
  <c r="O16" i="59"/>
  <c r="S16" i="59"/>
  <c r="R16" i="59"/>
  <c r="Q16" i="59"/>
  <c r="P16" i="59"/>
  <c r="P30" i="59" l="1"/>
  <c r="Q30" i="59"/>
  <c r="S30" i="59"/>
  <c r="R30" i="59"/>
  <c r="O30" i="59"/>
  <c r="T4" i="59"/>
  <c r="T20" i="59" s="1"/>
  <c r="T28" i="59" s="1"/>
  <c r="S4" i="59"/>
  <c r="S20" i="59" s="1"/>
  <c r="R4" i="59"/>
  <c r="R20" i="59" s="1"/>
  <c r="Q4" i="59"/>
  <c r="Q20" i="59" s="1"/>
  <c r="P4" i="59"/>
  <c r="P20" i="59" s="1"/>
  <c r="O4" i="59"/>
  <c r="O20" i="59" s="1"/>
  <c r="N4" i="59"/>
  <c r="M4" i="59"/>
  <c r="L4" i="59"/>
  <c r="K4" i="59"/>
  <c r="K10" i="59" s="1"/>
  <c r="K18" i="59" s="1"/>
  <c r="J4" i="59"/>
  <c r="J10" i="59" s="1"/>
  <c r="J18" i="59" s="1"/>
  <c r="B1" i="59"/>
  <c r="Q58" i="2"/>
  <c r="R58" i="2"/>
  <c r="S58" i="2"/>
  <c r="T58" i="2"/>
  <c r="P58" i="2"/>
  <c r="L10" i="59" l="1"/>
  <c r="L18" i="59" s="1"/>
  <c r="R10" i="59"/>
  <c r="R18" i="59" s="1"/>
  <c r="M10" i="59"/>
  <c r="M18" i="59" s="1"/>
  <c r="N10" i="59"/>
  <c r="N18" i="59" s="1"/>
  <c r="O10" i="59"/>
  <c r="O18" i="59" s="1"/>
  <c r="P10" i="59"/>
  <c r="P18" i="59" s="1"/>
  <c r="Q10" i="59"/>
  <c r="Q18" i="59" s="1"/>
  <c r="S10" i="59"/>
  <c r="S18" i="59" s="1"/>
  <c r="J28" i="59"/>
  <c r="T10" i="59"/>
  <c r="T18" i="59" s="1"/>
  <c r="K28" i="59"/>
  <c r="L28" i="59"/>
  <c r="M28" i="59"/>
  <c r="N28" i="59"/>
  <c r="G77" i="55" l="1"/>
  <c r="O65" i="42" l="1"/>
  <c r="P65" i="42"/>
  <c r="S40" i="2"/>
  <c r="Q65" i="42"/>
  <c r="R65" i="42"/>
  <c r="S65" i="42"/>
  <c r="T40" i="2"/>
  <c r="Q77" i="2"/>
  <c r="Q73" i="2"/>
  <c r="P77" i="2"/>
  <c r="R77" i="2"/>
  <c r="S77" i="2"/>
  <c r="T77" i="2"/>
  <c r="N14" i="42"/>
  <c r="J19" i="42"/>
  <c r="J21" i="42"/>
  <c r="J23" i="42"/>
  <c r="L23" i="42"/>
  <c r="C78" i="42"/>
  <c r="C77" i="42"/>
  <c r="P79" i="2"/>
  <c r="G75" i="55"/>
  <c r="G76" i="55"/>
  <c r="E78" i="42"/>
  <c r="F15" i="53"/>
  <c r="E77" i="42"/>
  <c r="F16" i="53"/>
  <c r="C11" i="16"/>
  <c r="D11" i="16" s="1"/>
  <c r="C12" i="16"/>
  <c r="C13" i="16"/>
  <c r="C15" i="16"/>
  <c r="C16" i="16"/>
  <c r="C17" i="16"/>
  <c r="C10" i="16"/>
  <c r="D10" i="16" s="1"/>
  <c r="B2" i="16"/>
  <c r="B2" i="4"/>
  <c r="B2" i="44"/>
  <c r="B2" i="42"/>
  <c r="B2" i="53"/>
  <c r="B2" i="2"/>
  <c r="B2" i="54"/>
  <c r="B2" i="55"/>
  <c r="C2" i="58"/>
  <c r="G74" i="55"/>
  <c r="E19" i="44"/>
  <c r="E76" i="42"/>
  <c r="C76" i="42"/>
  <c r="F26" i="53"/>
  <c r="F27" i="53"/>
  <c r="F28" i="53"/>
  <c r="F25" i="53"/>
  <c r="F14" i="53"/>
  <c r="F13" i="53"/>
  <c r="T28" i="42"/>
  <c r="V75" i="2"/>
  <c r="J4" i="2"/>
  <c r="J36" i="2" s="1"/>
  <c r="J47" i="2" s="1"/>
  <c r="K4" i="2"/>
  <c r="K104" i="2" s="1"/>
  <c r="K108" i="2" s="1"/>
  <c r="K49" i="2"/>
  <c r="K60" i="2" s="1"/>
  <c r="L4" i="2"/>
  <c r="L104" i="2" s="1"/>
  <c r="L108" i="2" s="1"/>
  <c r="M4" i="2"/>
  <c r="M104" i="2" s="1"/>
  <c r="M108" i="2" s="1"/>
  <c r="N4" i="2"/>
  <c r="N36" i="2" s="1"/>
  <c r="N47" i="2" s="1"/>
  <c r="O4" i="2"/>
  <c r="O36" i="2"/>
  <c r="O47" i="2" s="1"/>
  <c r="P4" i="2"/>
  <c r="P36" i="2" s="1"/>
  <c r="Q4" i="2"/>
  <c r="Q49" i="2"/>
  <c r="Q60" i="2" s="1"/>
  <c r="R4" i="2"/>
  <c r="R36" i="2" s="1"/>
  <c r="S4" i="2"/>
  <c r="S36" i="2" s="1"/>
  <c r="T4" i="2"/>
  <c r="T36" i="2" s="1"/>
  <c r="U4" i="2"/>
  <c r="U95" i="2" s="1"/>
  <c r="K64" i="2"/>
  <c r="K73" i="2" s="1"/>
  <c r="J104" i="2"/>
  <c r="J108" i="2" s="1"/>
  <c r="J4" i="53"/>
  <c r="J34" i="53"/>
  <c r="J38" i="53" s="1"/>
  <c r="K4" i="53"/>
  <c r="K34" i="53"/>
  <c r="K38" i="53" s="1"/>
  <c r="L4" i="53"/>
  <c r="L34" i="53"/>
  <c r="L38" i="53" s="1"/>
  <c r="M4" i="53"/>
  <c r="N4" i="53"/>
  <c r="O4" i="53"/>
  <c r="P4" i="53"/>
  <c r="P22" i="53"/>
  <c r="Q4" i="53"/>
  <c r="R4" i="53"/>
  <c r="S4" i="53"/>
  <c r="S10" i="53" s="1"/>
  <c r="T4" i="53"/>
  <c r="T70" i="55"/>
  <c r="T83" i="55"/>
  <c r="T84" i="55"/>
  <c r="T68" i="55"/>
  <c r="G16" i="16"/>
  <c r="G17" i="16"/>
  <c r="N47" i="58"/>
  <c r="C15" i="44"/>
  <c r="C88" i="42"/>
  <c r="C89" i="42"/>
  <c r="T63" i="42"/>
  <c r="J4" i="42"/>
  <c r="J12" i="42" s="1"/>
  <c r="J58" i="42"/>
  <c r="J68" i="42" s="1" a="1"/>
  <c r="J68" i="42" s="1"/>
  <c r="F8" i="42"/>
  <c r="H68" i="4"/>
  <c r="G68" i="4" s="1"/>
  <c r="H70" i="4"/>
  <c r="G70" i="4" s="1"/>
  <c r="H65" i="4"/>
  <c r="G65" i="4"/>
  <c r="H66" i="4"/>
  <c r="G66" i="4"/>
  <c r="H67" i="4"/>
  <c r="G67" i="4" s="1"/>
  <c r="H69" i="4"/>
  <c r="H71" i="4"/>
  <c r="G71" i="4"/>
  <c r="K24" i="2"/>
  <c r="K4" i="42"/>
  <c r="K19" i="42" s="1"/>
  <c r="L4" i="42"/>
  <c r="L19" i="42" s="1"/>
  <c r="L72" i="42"/>
  <c r="M4" i="42"/>
  <c r="M23" i="42" s="1"/>
  <c r="N4" i="42"/>
  <c r="N21" i="42" s="1"/>
  <c r="N99" i="42"/>
  <c r="O75" i="2"/>
  <c r="O4" i="42"/>
  <c r="O31" i="42" s="1"/>
  <c r="P4" i="42"/>
  <c r="P31" i="42" s="1"/>
  <c r="Q4" i="42"/>
  <c r="Q16" i="42" s="1"/>
  <c r="R4" i="42"/>
  <c r="R31" i="42" s="1"/>
  <c r="S4" i="42"/>
  <c r="S31" i="42" s="1"/>
  <c r="S72" i="42"/>
  <c r="T4" i="42"/>
  <c r="T72" i="42"/>
  <c r="G58" i="55"/>
  <c r="G54" i="55"/>
  <c r="J4" i="58"/>
  <c r="J10" i="58"/>
  <c r="K4" i="58"/>
  <c r="L4" i="58"/>
  <c r="L10" i="58"/>
  <c r="L28" i="42" s="1"/>
  <c r="M4" i="58"/>
  <c r="M10" i="58"/>
  <c r="N4" i="58"/>
  <c r="N10" i="58" s="1"/>
  <c r="O4" i="58"/>
  <c r="O34" i="58" s="1"/>
  <c r="P4" i="58"/>
  <c r="P10" i="58" s="1"/>
  <c r="P28" i="42" s="1"/>
  <c r="Q4" i="58"/>
  <c r="Q34" i="58" s="1"/>
  <c r="R4" i="58"/>
  <c r="R10" i="58"/>
  <c r="S4" i="58"/>
  <c r="S10" i="58" s="1"/>
  <c r="F53" i="58"/>
  <c r="E53" i="58"/>
  <c r="E18" i="44"/>
  <c r="E89" i="42"/>
  <c r="E90" i="42"/>
  <c r="E16" i="44"/>
  <c r="O29" i="58"/>
  <c r="O15" i="58"/>
  <c r="T4" i="44"/>
  <c r="T11" i="44" s="1"/>
  <c r="T65" i="42"/>
  <c r="U79" i="2"/>
  <c r="T4" i="58"/>
  <c r="F12" i="42"/>
  <c r="E12" i="42"/>
  <c r="E13" i="42"/>
  <c r="L93" i="2" a="1"/>
  <c r="L93" i="2"/>
  <c r="M93" i="2" a="1"/>
  <c r="M93" i="2"/>
  <c r="D15" i="16"/>
  <c r="D12" i="16"/>
  <c r="F47" i="58"/>
  <c r="F42" i="58"/>
  <c r="F43" i="58"/>
  <c r="F44" i="58"/>
  <c r="F45" i="58"/>
  <c r="F41" i="58"/>
  <c r="C80" i="4"/>
  <c r="O47" i="58"/>
  <c r="P47" i="58"/>
  <c r="Q47" i="58"/>
  <c r="R47" i="58"/>
  <c r="S47" i="58"/>
  <c r="T93" i="2" a="1"/>
  <c r="T93" i="2"/>
  <c r="S93" i="2" a="1"/>
  <c r="S93" i="2"/>
  <c r="R93" i="2" a="1"/>
  <c r="R93" i="2"/>
  <c r="Q93" i="2" a="1"/>
  <c r="Q93" i="2"/>
  <c r="P93" i="2" a="1"/>
  <c r="P93" i="2"/>
  <c r="O93" i="2" a="1"/>
  <c r="O93" i="2"/>
  <c r="N93" i="2" a="1"/>
  <c r="N93" i="2"/>
  <c r="C91" i="2"/>
  <c r="C90" i="2"/>
  <c r="C89" i="2"/>
  <c r="C88" i="2"/>
  <c r="C87" i="2"/>
  <c r="C86" i="2"/>
  <c r="F36" i="53"/>
  <c r="F19" i="42"/>
  <c r="F8" i="44"/>
  <c r="F19" i="44" s="1"/>
  <c r="E24" i="42"/>
  <c r="E22" i="42"/>
  <c r="E20" i="42"/>
  <c r="P29" i="58"/>
  <c r="Q29" i="58"/>
  <c r="R29" i="58"/>
  <c r="S29" i="58"/>
  <c r="E19" i="58"/>
  <c r="E15" i="58"/>
  <c r="E16" i="42"/>
  <c r="F15" i="58"/>
  <c r="F27" i="58"/>
  <c r="F29" i="58"/>
  <c r="P15" i="58"/>
  <c r="Q15" i="58"/>
  <c r="R15" i="58"/>
  <c r="S15" i="58"/>
  <c r="E29" i="42"/>
  <c r="F28" i="42"/>
  <c r="C29" i="42"/>
  <c r="E69" i="58"/>
  <c r="E28" i="42"/>
  <c r="E35" i="42"/>
  <c r="O57" i="58"/>
  <c r="P57" i="58"/>
  <c r="Q57" i="58"/>
  <c r="R57" i="58"/>
  <c r="S57" i="58"/>
  <c r="E47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G69" i="4"/>
  <c r="H76" i="4"/>
  <c r="G76" i="4" s="1"/>
  <c r="H75" i="4"/>
  <c r="G75" i="4"/>
  <c r="H74" i="4"/>
  <c r="G74" i="4" s="1"/>
  <c r="H73" i="4"/>
  <c r="G73" i="4" s="1"/>
  <c r="H72" i="4"/>
  <c r="G72" i="4" s="1"/>
  <c r="C40" i="4"/>
  <c r="E31" i="42"/>
  <c r="E26" i="42"/>
  <c r="S4" i="44"/>
  <c r="S11" i="44" s="1"/>
  <c r="R4" i="44"/>
  <c r="R11" i="44" s="1"/>
  <c r="Q4" i="44"/>
  <c r="Q11" i="44" s="1"/>
  <c r="P4" i="44"/>
  <c r="P11" i="44"/>
  <c r="O4" i="44"/>
  <c r="O11" i="44" s="1"/>
  <c r="N4" i="44"/>
  <c r="N11" i="44"/>
  <c r="N13" i="44" s="1"/>
  <c r="M4" i="44"/>
  <c r="M11" i="44" s="1"/>
  <c r="L4" i="44"/>
  <c r="L11" i="44" s="1"/>
  <c r="K4" i="44"/>
  <c r="K11" i="44"/>
  <c r="K17" i="44" s="1"/>
  <c r="J4" i="44"/>
  <c r="J11" i="44" s="1"/>
  <c r="Q95" i="2"/>
  <c r="J78" i="2"/>
  <c r="K78" i="2"/>
  <c r="L78" i="2"/>
  <c r="M78" i="2"/>
  <c r="N78" i="2"/>
  <c r="O78" i="2"/>
  <c r="J79" i="2"/>
  <c r="K79" i="2"/>
  <c r="L79" i="2"/>
  <c r="M79" i="2"/>
  <c r="N79" i="2"/>
  <c r="O79" i="2"/>
  <c r="Q79" i="2"/>
  <c r="R79" i="2"/>
  <c r="S79" i="2"/>
  <c r="T79" i="2"/>
  <c r="J80" i="2"/>
  <c r="K80" i="2"/>
  <c r="L80" i="2"/>
  <c r="M80" i="2"/>
  <c r="N80" i="2"/>
  <c r="J81" i="2"/>
  <c r="K81" i="2"/>
  <c r="L81" i="2"/>
  <c r="M81" i="2"/>
  <c r="N81" i="2"/>
  <c r="J82" i="2"/>
  <c r="K82" i="2"/>
  <c r="L82" i="2"/>
  <c r="M82" i="2"/>
  <c r="N82" i="2"/>
  <c r="J77" i="2"/>
  <c r="K77" i="2"/>
  <c r="L77" i="2"/>
  <c r="M77" i="2"/>
  <c r="O77" i="2"/>
  <c r="N77" i="2"/>
  <c r="P34" i="58"/>
  <c r="Q14" i="2"/>
  <c r="Q10" i="2"/>
  <c r="Q12" i="2" s="1"/>
  <c r="K14" i="2"/>
  <c r="Q75" i="2"/>
  <c r="N14" i="2"/>
  <c r="J75" i="2"/>
  <c r="R10" i="42"/>
  <c r="S8" i="54"/>
  <c r="F49" i="42"/>
  <c r="C49" i="42"/>
  <c r="C50" i="42"/>
  <c r="F46" i="42"/>
  <c r="C46" i="42"/>
  <c r="C47" i="42"/>
  <c r="F43" i="42"/>
  <c r="C43" i="42"/>
  <c r="C44" i="42"/>
  <c r="F40" i="42"/>
  <c r="C40" i="42"/>
  <c r="C41" i="42"/>
  <c r="F37" i="42"/>
  <c r="C37" i="42"/>
  <c r="C38" i="42"/>
  <c r="E14" i="42"/>
  <c r="E67" i="58"/>
  <c r="E49" i="42"/>
  <c r="E66" i="58"/>
  <c r="E46" i="42"/>
  <c r="E65" i="58"/>
  <c r="E43" i="42"/>
  <c r="E64" i="58"/>
  <c r="E40" i="42"/>
  <c r="E63" i="58"/>
  <c r="E37" i="42"/>
  <c r="F55" i="58"/>
  <c r="E55" i="58"/>
  <c r="F54" i="58"/>
  <c r="E54" i="58"/>
  <c r="F52" i="58"/>
  <c r="E52" i="58"/>
  <c r="F51" i="58"/>
  <c r="E51" i="58"/>
  <c r="E45" i="58"/>
  <c r="E44" i="58"/>
  <c r="E43" i="58"/>
  <c r="E42" i="58"/>
  <c r="E41" i="58"/>
  <c r="E37" i="58"/>
  <c r="E26" i="58"/>
  <c r="E25" i="58"/>
  <c r="E24" i="58"/>
  <c r="E23" i="58"/>
  <c r="E22" i="58"/>
  <c r="E21" i="42"/>
  <c r="E21" i="58"/>
  <c r="E20" i="58"/>
  <c r="C1" i="58"/>
  <c r="E17" i="44"/>
  <c r="E15" i="44"/>
  <c r="E14" i="44"/>
  <c r="C13" i="44"/>
  <c r="C14" i="44"/>
  <c r="E98" i="42"/>
  <c r="F86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5" i="55"/>
  <c r="G56" i="55"/>
  <c r="G57" i="55"/>
  <c r="G59" i="55"/>
  <c r="G60" i="55"/>
  <c r="J10" i="2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C24" i="4"/>
  <c r="S9" i="54"/>
  <c r="R84" i="42"/>
  <c r="R72" i="42"/>
  <c r="R58" i="42"/>
  <c r="Q84" i="42"/>
  <c r="E50" i="42"/>
  <c r="E47" i="42"/>
  <c r="E44" i="42"/>
  <c r="E41" i="42"/>
  <c r="E38" i="42"/>
  <c r="E80" i="42"/>
  <c r="E100" i="42"/>
  <c r="F15" i="42"/>
  <c r="C86" i="42"/>
  <c r="E54" i="42"/>
  <c r="E52" i="42"/>
  <c r="E15" i="42"/>
  <c r="E13" i="44"/>
  <c r="E99" i="42"/>
  <c r="E17" i="42"/>
  <c r="E74" i="42"/>
  <c r="E75" i="42"/>
  <c r="E86" i="42"/>
  <c r="E87" i="42"/>
  <c r="E88" i="42"/>
  <c r="E92" i="42"/>
  <c r="E33" i="42"/>
  <c r="S11" i="54"/>
  <c r="S14" i="54"/>
  <c r="B1" i="55"/>
  <c r="E12" i="2"/>
  <c r="J63" i="42"/>
  <c r="J65" i="42"/>
  <c r="K63" i="42"/>
  <c r="K65" i="42"/>
  <c r="L63" i="42"/>
  <c r="L65" i="42"/>
  <c r="M63" i="42"/>
  <c r="M65" i="42"/>
  <c r="N63" i="42"/>
  <c r="N65" i="42"/>
  <c r="C78" i="2"/>
  <c r="C79" i="2"/>
  <c r="C80" i="2"/>
  <c r="C81" i="2"/>
  <c r="C82" i="2"/>
  <c r="C77" i="2"/>
  <c r="S7" i="54"/>
  <c r="S10" i="54"/>
  <c r="S12" i="54"/>
  <c r="S13" i="54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1" i="53"/>
  <c r="E106" i="2"/>
  <c r="B1" i="2"/>
  <c r="C64" i="4"/>
  <c r="B1" i="54"/>
  <c r="E44" i="2"/>
  <c r="E45" i="2"/>
  <c r="B1" i="44"/>
  <c r="B1" i="42"/>
  <c r="E43" i="2"/>
  <c r="E42" i="2"/>
  <c r="E41" i="2"/>
  <c r="E40" i="2"/>
  <c r="E39" i="2"/>
  <c r="E38" i="2"/>
  <c r="B1" i="16"/>
  <c r="C9" i="4"/>
  <c r="B1" i="4"/>
  <c r="F90" i="42"/>
  <c r="P72" i="42"/>
  <c r="K95" i="2"/>
  <c r="K100" i="2" s="1"/>
  <c r="U75" i="2"/>
  <c r="F33" i="42"/>
  <c r="F52" i="42"/>
  <c r="S58" i="42"/>
  <c r="P84" i="42"/>
  <c r="F74" i="42"/>
  <c r="F88" i="42"/>
  <c r="N75" i="2"/>
  <c r="K75" i="2"/>
  <c r="F35" i="42"/>
  <c r="F29" i="42"/>
  <c r="S35" i="42"/>
  <c r="L35" i="42"/>
  <c r="K10" i="2"/>
  <c r="R96" i="42"/>
  <c r="F17" i="42"/>
  <c r="F38" i="42"/>
  <c r="F44" i="42"/>
  <c r="F50" i="42"/>
  <c r="F87" i="42"/>
  <c r="F100" i="42"/>
  <c r="F26" i="42"/>
  <c r="F24" i="42"/>
  <c r="F54" i="42"/>
  <c r="F41" i="42"/>
  <c r="F47" i="42"/>
  <c r="F75" i="42"/>
  <c r="F80" i="42"/>
  <c r="F92" i="42"/>
  <c r="F98" i="42"/>
  <c r="N95" i="2"/>
  <c r="N100" i="2"/>
  <c r="F31" i="42"/>
  <c r="F22" i="42"/>
  <c r="F89" i="42"/>
  <c r="T58" i="42"/>
  <c r="U104" i="2"/>
  <c r="U108" i="2" s="1"/>
  <c r="S96" i="42"/>
  <c r="P61" i="58"/>
  <c r="K10" i="58"/>
  <c r="K61" i="58"/>
  <c r="K34" i="58"/>
  <c r="Q10" i="58"/>
  <c r="Q61" i="58"/>
  <c r="Q28" i="42" s="1"/>
  <c r="S10" i="2"/>
  <c r="S12" i="2" s="1"/>
  <c r="S75" i="2"/>
  <c r="L24" i="2"/>
  <c r="L75" i="2"/>
  <c r="L95" i="2"/>
  <c r="L99" i="2" s="1"/>
  <c r="L14" i="2"/>
  <c r="L10" i="2"/>
  <c r="P10" i="42"/>
  <c r="P58" i="42"/>
  <c r="P35" i="42"/>
  <c r="J95" i="2"/>
  <c r="J98" i="2" s="1"/>
  <c r="J14" i="2"/>
  <c r="J24" i="2"/>
  <c r="F20" i="42"/>
  <c r="O10" i="2"/>
  <c r="O14" i="2"/>
  <c r="R10" i="2"/>
  <c r="R12" i="2"/>
  <c r="N24" i="2"/>
  <c r="O24" i="2"/>
  <c r="O95" i="2"/>
  <c r="O98" i="2" s="1"/>
  <c r="J35" i="42"/>
  <c r="L99" i="42"/>
  <c r="J72" i="42"/>
  <c r="J100" i="42"/>
  <c r="L98" i="42"/>
  <c r="L58" i="42"/>
  <c r="L61" i="42" s="1"/>
  <c r="L67" i="42" s="1"/>
  <c r="F77" i="42"/>
  <c r="F78" i="42"/>
  <c r="J98" i="42"/>
  <c r="J84" i="42"/>
  <c r="J96" i="42"/>
  <c r="J99" i="42"/>
  <c r="L84" i="42"/>
  <c r="J10" i="42"/>
  <c r="L10" i="42"/>
  <c r="L100" i="42"/>
  <c r="F99" i="42"/>
  <c r="S84" i="42"/>
  <c r="N34" i="58"/>
  <c r="N61" i="58"/>
  <c r="N28" i="42" s="1"/>
  <c r="O104" i="2"/>
  <c r="O108" i="2"/>
  <c r="F22" i="58"/>
  <c r="E27" i="58"/>
  <c r="J61" i="42"/>
  <c r="J67" i="42" s="1"/>
  <c r="S14" i="2"/>
  <c r="S24" i="2"/>
  <c r="S95" i="2"/>
  <c r="M34" i="58"/>
  <c r="M61" i="58"/>
  <c r="M28" i="42" s="1"/>
  <c r="M35" i="42"/>
  <c r="U49" i="2"/>
  <c r="U60" i="2"/>
  <c r="M98" i="42"/>
  <c r="F20" i="58"/>
  <c r="F25" i="58"/>
  <c r="F19" i="58"/>
  <c r="F24" i="58"/>
  <c r="L34" i="58"/>
  <c r="F16" i="42"/>
  <c r="F23" i="58"/>
  <c r="F21" i="58"/>
  <c r="F26" i="58"/>
  <c r="F14" i="42"/>
  <c r="L61" i="58"/>
  <c r="J34" i="58"/>
  <c r="R24" i="2"/>
  <c r="N58" i="42"/>
  <c r="N61" i="42"/>
  <c r="N67" i="42" s="1"/>
  <c r="Q24" i="2"/>
  <c r="R95" i="2"/>
  <c r="R75" i="2"/>
  <c r="R14" i="2"/>
  <c r="E19" i="42"/>
  <c r="O64" i="2"/>
  <c r="T14" i="2"/>
  <c r="K84" i="42"/>
  <c r="T10" i="2"/>
  <c r="T12" i="2"/>
  <c r="K72" i="42"/>
  <c r="T64" i="2"/>
  <c r="K58" i="42"/>
  <c r="K68" i="42" s="1" a="1"/>
  <c r="K68" i="42" s="1"/>
  <c r="T75" i="2"/>
  <c r="T95" i="2"/>
  <c r="E23" i="42"/>
  <c r="T104" i="2"/>
  <c r="K98" i="42"/>
  <c r="S104" i="2"/>
  <c r="S108" i="2"/>
  <c r="N64" i="2"/>
  <c r="N73" i="2"/>
  <c r="K99" i="42"/>
  <c r="T24" i="2"/>
  <c r="O61" i="58"/>
  <c r="Q104" i="2"/>
  <c r="K100" i="42"/>
  <c r="S1" i="54"/>
  <c r="G10" i="16"/>
  <c r="T49" i="2"/>
  <c r="T60" i="2" s="1"/>
  <c r="N49" i="2"/>
  <c r="N60" i="2" s="1"/>
  <c r="F21" i="42"/>
  <c r="F23" i="42"/>
  <c r="Q36" i="2"/>
  <c r="O49" i="2"/>
  <c r="O60" i="2"/>
  <c r="J61" i="58"/>
  <c r="J28" i="42" s="1"/>
  <c r="M10" i="42"/>
  <c r="R34" i="58"/>
  <c r="M72" i="42"/>
  <c r="R61" i="58"/>
  <c r="R28" i="42"/>
  <c r="N97" i="2"/>
  <c r="M96" i="42"/>
  <c r="M100" i="42"/>
  <c r="M58" i="42"/>
  <c r="M61" i="42" s="1"/>
  <c r="M99" i="42"/>
  <c r="S49" i="2"/>
  <c r="S60" i="2" s="1"/>
  <c r="O10" i="58"/>
  <c r="K28" i="42"/>
  <c r="P95" i="2"/>
  <c r="J64" i="2"/>
  <c r="J73" i="2" s="1"/>
  <c r="J49" i="2"/>
  <c r="J60" i="2" s="1"/>
  <c r="P24" i="2"/>
  <c r="L97" i="2"/>
  <c r="P10" i="2"/>
  <c r="P14" i="2"/>
  <c r="P104" i="2"/>
  <c r="P108" i="2" s="1"/>
  <c r="J97" i="2"/>
  <c r="L100" i="2"/>
  <c r="P75" i="2"/>
  <c r="P64" i="2"/>
  <c r="P49" i="2"/>
  <c r="P60" i="2"/>
  <c r="L98" i="2"/>
  <c r="N72" i="42"/>
  <c r="N96" i="42"/>
  <c r="N98" i="42"/>
  <c r="N10" i="42"/>
  <c r="N84" i="42"/>
  <c r="N100" i="42"/>
  <c r="N98" i="2"/>
  <c r="N99" i="2"/>
  <c r="S12" i="42"/>
  <c r="S19" i="42"/>
  <c r="S37" i="42"/>
  <c r="S40" i="42"/>
  <c r="S43" i="42"/>
  <c r="S46" i="42"/>
  <c r="S49" i="42"/>
  <c r="M36" i="2"/>
  <c r="M47" i="2" s="1"/>
  <c r="R49" i="42"/>
  <c r="R12" i="42"/>
  <c r="R19" i="42"/>
  <c r="R37" i="42"/>
  <c r="R40" i="42"/>
  <c r="R46" i="42"/>
  <c r="R43" i="42"/>
  <c r="L33" i="42"/>
  <c r="L46" i="42"/>
  <c r="L49" i="42"/>
  <c r="L43" i="42"/>
  <c r="L37" i="42"/>
  <c r="L40" i="42"/>
  <c r="Q49" i="42"/>
  <c r="K49" i="42"/>
  <c r="K43" i="42"/>
  <c r="K40" i="42"/>
  <c r="K37" i="42"/>
  <c r="K46" i="42"/>
  <c r="U36" i="2"/>
  <c r="U47" i="2"/>
  <c r="L36" i="2"/>
  <c r="L47" i="2"/>
  <c r="F13" i="42"/>
  <c r="F76" i="42"/>
  <c r="P37" i="42"/>
  <c r="P43" i="42"/>
  <c r="P49" i="42"/>
  <c r="P40" i="42"/>
  <c r="P19" i="42"/>
  <c r="P46" i="42"/>
  <c r="P12" i="42"/>
  <c r="J37" i="42"/>
  <c r="J40" i="42"/>
  <c r="J49" i="42"/>
  <c r="J43" i="42"/>
  <c r="J46" i="42"/>
  <c r="M64" i="2"/>
  <c r="M73" i="2" s="1"/>
  <c r="K36" i="2"/>
  <c r="K47" i="2"/>
  <c r="O37" i="42"/>
  <c r="O46" i="42"/>
  <c r="O40" i="42"/>
  <c r="O43" i="42"/>
  <c r="O49" i="42"/>
  <c r="O12" i="42"/>
  <c r="O19" i="42"/>
  <c r="M49" i="2"/>
  <c r="M60" i="2" s="1"/>
  <c r="S64" i="2"/>
  <c r="L64" i="2"/>
  <c r="L73" i="2" s="1"/>
  <c r="N12" i="42"/>
  <c r="N46" i="42"/>
  <c r="N49" i="42"/>
  <c r="N19" i="42"/>
  <c r="R64" i="2"/>
  <c r="R49" i="2"/>
  <c r="R60" i="2" s="1"/>
  <c r="T19" i="42"/>
  <c r="T20" i="42" s="1"/>
  <c r="T37" i="42"/>
  <c r="T40" i="42"/>
  <c r="T12" i="42"/>
  <c r="T43" i="42"/>
  <c r="T46" i="42"/>
  <c r="T49" i="42"/>
  <c r="Q64" i="2"/>
  <c r="M43" i="42"/>
  <c r="M46" i="42"/>
  <c r="M49" i="42"/>
  <c r="M37" i="42"/>
  <c r="M40" i="42"/>
  <c r="R104" i="2"/>
  <c r="R108" i="2" s="1"/>
  <c r="K15" i="44"/>
  <c r="N17" i="44"/>
  <c r="N14" i="44"/>
  <c r="N15" i="44"/>
  <c r="N18" i="44"/>
  <c r="N57" i="58"/>
  <c r="O10" i="42"/>
  <c r="O58" i="42"/>
  <c r="L68" i="42" a="1"/>
  <c r="L68" i="42" s="1"/>
  <c r="O72" i="42"/>
  <c r="M10" i="53"/>
  <c r="M18" i="53" s="1"/>
  <c r="N10" i="53"/>
  <c r="N18" i="53" s="1"/>
  <c r="L10" i="53"/>
  <c r="L18" i="53" s="1"/>
  <c r="K10" i="53"/>
  <c r="K18" i="53" s="1"/>
  <c r="N30" i="53"/>
  <c r="J10" i="53"/>
  <c r="J18" i="53" s="1"/>
  <c r="K30" i="53"/>
  <c r="T10" i="53"/>
  <c r="T18" i="53" s="1"/>
  <c r="R22" i="53"/>
  <c r="Q22" i="53"/>
  <c r="N34" i="53"/>
  <c r="N38" i="53"/>
  <c r="P34" i="53"/>
  <c r="M34" i="53"/>
  <c r="M38" i="53"/>
  <c r="O22" i="53"/>
  <c r="P96" i="42"/>
  <c r="K96" i="42"/>
  <c r="N68" i="42" a="1"/>
  <c r="N68" i="42" s="1"/>
  <c r="T96" i="42"/>
  <c r="T61" i="42"/>
  <c r="T67" i="42" s="1"/>
  <c r="T84" i="42"/>
  <c r="K35" i="42"/>
  <c r="S16" i="42"/>
  <c r="S23" i="42"/>
  <c r="S21" i="42"/>
  <c r="S14" i="42"/>
  <c r="R14" i="42"/>
  <c r="R16" i="42"/>
  <c r="R23" i="42"/>
  <c r="R21" i="42"/>
  <c r="S33" i="42"/>
  <c r="Q23" i="42"/>
  <c r="L96" i="42"/>
  <c r="S10" i="42"/>
  <c r="O96" i="42"/>
  <c r="P14" i="42"/>
  <c r="P21" i="42"/>
  <c r="P16" i="42"/>
  <c r="P23" i="42"/>
  <c r="O23" i="42"/>
  <c r="O16" i="42"/>
  <c r="O14" i="42"/>
  <c r="O21" i="42"/>
  <c r="J33" i="42"/>
  <c r="R33" i="42"/>
  <c r="P33" i="42"/>
  <c r="R35" i="42"/>
  <c r="T31" i="42"/>
  <c r="T14" i="42"/>
  <c r="T21" i="42"/>
  <c r="T16" i="42"/>
  <c r="T35" i="42"/>
  <c r="T33" i="42"/>
  <c r="T23" i="42"/>
  <c r="M33" i="42"/>
  <c r="K33" i="42"/>
  <c r="G72" i="55"/>
  <c r="G62" i="55"/>
  <c r="J12" i="2"/>
  <c r="G67" i="55"/>
  <c r="G64" i="55"/>
  <c r="T34" i="53"/>
  <c r="T38" i="53" s="1"/>
  <c r="T22" i="53"/>
  <c r="T30" i="53" s="1"/>
  <c r="P10" i="53"/>
  <c r="R34" i="53"/>
  <c r="Q34" i="53"/>
  <c r="O34" i="53"/>
  <c r="M30" i="53"/>
  <c r="R10" i="53"/>
  <c r="L30" i="53"/>
  <c r="Q10" i="53"/>
  <c r="J30" i="53"/>
  <c r="O10" i="53"/>
  <c r="C16" i="44"/>
  <c r="C90" i="42"/>
  <c r="G70" i="55"/>
  <c r="L12" i="2"/>
  <c r="C87" i="42"/>
  <c r="T66" i="55"/>
  <c r="T65" i="55"/>
  <c r="G63" i="55"/>
  <c r="T63" i="55"/>
  <c r="T72" i="55"/>
  <c r="T67" i="55"/>
  <c r="G65" i="55"/>
  <c r="T61" i="55"/>
  <c r="G61" i="55"/>
  <c r="G73" i="55"/>
  <c r="G68" i="55"/>
  <c r="Q108" i="2"/>
  <c r="T64" i="55"/>
  <c r="T71" i="55"/>
  <c r="T62" i="55"/>
  <c r="G66" i="55"/>
  <c r="K12" i="2"/>
  <c r="G71" i="55"/>
  <c r="O28" i="42"/>
  <c r="K61" i="42"/>
  <c r="K67" i="42" s="1"/>
  <c r="M68" i="42" a="1"/>
  <c r="M68" i="42" s="1"/>
  <c r="P12" i="2"/>
  <c r="T13" i="42"/>
  <c r="T26" i="42" s="1"/>
  <c r="T73" i="55"/>
  <c r="T69" i="55"/>
  <c r="G69" i="55"/>
  <c r="U78" i="2"/>
  <c r="T68" i="42" a="1"/>
  <c r="T68" i="42" s="1"/>
  <c r="T74" i="55"/>
  <c r="T75" i="55"/>
  <c r="T76" i="55"/>
  <c r="T77" i="55"/>
  <c r="T79" i="55"/>
  <c r="T80" i="55"/>
  <c r="T81" i="55"/>
  <c r="O33" i="42"/>
  <c r="O35" i="42"/>
  <c r="T98" i="42"/>
  <c r="T99" i="42"/>
  <c r="T100" i="42"/>
  <c r="C75" i="42"/>
  <c r="C74" i="42"/>
  <c r="U77" i="2"/>
  <c r="T73" i="2" l="1"/>
  <c r="J15" i="44"/>
  <c r="J16" i="44"/>
  <c r="J13" i="44"/>
  <c r="J14" i="44"/>
  <c r="J17" i="44"/>
  <c r="J18" i="44"/>
  <c r="K13" i="44"/>
  <c r="K18" i="44"/>
  <c r="K16" i="44"/>
  <c r="K14" i="44"/>
  <c r="N16" i="44"/>
  <c r="F16" i="44"/>
  <c r="K57" i="58"/>
  <c r="J93" i="2" a="1"/>
  <c r="J93" i="2" s="1"/>
  <c r="U97" i="2"/>
  <c r="U98" i="2"/>
  <c r="U100" i="2"/>
  <c r="U99" i="2"/>
  <c r="T14" i="44"/>
  <c r="T18" i="44"/>
  <c r="T15" i="44"/>
  <c r="T13" i="44"/>
  <c r="T16" i="44"/>
  <c r="T17" i="44"/>
  <c r="L13" i="44"/>
  <c r="L16" i="44"/>
  <c r="L18" i="44"/>
  <c r="L14" i="44"/>
  <c r="L17" i="44"/>
  <c r="L15" i="44"/>
  <c r="M14" i="44"/>
  <c r="M16" i="44"/>
  <c r="M13" i="44"/>
  <c r="M15" i="44"/>
  <c r="M17" i="44"/>
  <c r="M18" i="44"/>
  <c r="Q21" i="42"/>
  <c r="Q40" i="42"/>
  <c r="F17" i="44"/>
  <c r="F13" i="44"/>
  <c r="Q72" i="42"/>
  <c r="K23" i="42"/>
  <c r="N43" i="42"/>
  <c r="Q14" i="42"/>
  <c r="Q12" i="42"/>
  <c r="Q58" i="42"/>
  <c r="O84" i="42"/>
  <c r="K10" i="42"/>
  <c r="L49" i="2"/>
  <c r="L60" i="2" s="1"/>
  <c r="L14" i="42"/>
  <c r="Q43" i="42"/>
  <c r="M95" i="2"/>
  <c r="K14" i="42"/>
  <c r="S22" i="53"/>
  <c r="Q96" i="42"/>
  <c r="Q35" i="42"/>
  <c r="Q37" i="42"/>
  <c r="S34" i="58"/>
  <c r="U64" i="2"/>
  <c r="U73" i="2" s="1"/>
  <c r="Q31" i="42"/>
  <c r="J14" i="42"/>
  <c r="S34" i="53"/>
  <c r="Q46" i="42"/>
  <c r="S61" i="58"/>
  <c r="S28" i="42" s="1"/>
  <c r="M31" i="42"/>
  <c r="Q19" i="42"/>
  <c r="O100" i="2"/>
  <c r="J99" i="2"/>
  <c r="J100" i="2"/>
  <c r="M75" i="2"/>
  <c r="N104" i="2"/>
  <c r="N108" i="2" s="1"/>
  <c r="L31" i="42"/>
  <c r="Q33" i="42"/>
  <c r="O97" i="2"/>
  <c r="K98" i="2"/>
  <c r="F14" i="44"/>
  <c r="N10" i="2"/>
  <c r="L21" i="42"/>
  <c r="K31" i="42"/>
  <c r="O99" i="2"/>
  <c r="K99" i="2"/>
  <c r="F15" i="44"/>
  <c r="M84" i="42"/>
  <c r="K21" i="42"/>
  <c r="M16" i="42"/>
  <c r="J31" i="42"/>
  <c r="Q10" i="42"/>
  <c r="F18" i="44"/>
  <c r="L16" i="42"/>
  <c r="L12" i="42"/>
  <c r="K97" i="2"/>
  <c r="M24" i="2"/>
  <c r="K16" i="42"/>
  <c r="K12" i="42"/>
  <c r="M14" i="2"/>
  <c r="M10" i="2"/>
  <c r="J16" i="42"/>
  <c r="J57" i="58"/>
  <c r="J29" i="58"/>
  <c r="J15" i="58"/>
  <c r="M15" i="58"/>
  <c r="M14" i="42" s="1"/>
  <c r="K15" i="58"/>
  <c r="L15" i="58"/>
  <c r="N15" i="58"/>
  <c r="N16" i="42" s="1"/>
  <c r="L57" i="58"/>
  <c r="P78" i="2"/>
  <c r="P99" i="2" s="1"/>
  <c r="S78" i="2"/>
  <c r="S99" i="2" s="1"/>
  <c r="K47" i="58"/>
  <c r="T108" i="2"/>
  <c r="X108" i="2" s="1"/>
  <c r="K29" i="58"/>
  <c r="R40" i="2"/>
  <c r="R42" i="2" s="1"/>
  <c r="J47" i="58"/>
  <c r="M67" i="42"/>
  <c r="X60" i="2"/>
  <c r="R73" i="2"/>
  <c r="R78" i="2"/>
  <c r="R99" i="2" s="1"/>
  <c r="T78" i="2"/>
  <c r="T100" i="2" s="1"/>
  <c r="S73" i="2"/>
  <c r="T42" i="2"/>
  <c r="P40" i="2"/>
  <c r="P42" i="2" s="1"/>
  <c r="L47" i="58"/>
  <c r="Q78" i="2"/>
  <c r="Q100" i="2" s="1"/>
  <c r="K93" i="2" a="1"/>
  <c r="K93" i="2" s="1"/>
  <c r="X93" i="2" s="1"/>
  <c r="Q40" i="2"/>
  <c r="Q42" i="2" s="1"/>
  <c r="O73" i="2"/>
  <c r="N29" i="58"/>
  <c r="N23" i="42" s="1"/>
  <c r="X29" i="58"/>
  <c r="L29" i="58"/>
  <c r="M29" i="58"/>
  <c r="M21" i="42" s="1"/>
  <c r="S42" i="2"/>
  <c r="C97" i="2" a="1"/>
  <c r="P73" i="2"/>
  <c r="R63" i="42" l="1"/>
  <c r="P63" i="42"/>
  <c r="P47" i="2"/>
  <c r="T47" i="2"/>
  <c r="R47" i="2"/>
  <c r="M97" i="2"/>
  <c r="M99" i="2"/>
  <c r="M100" i="2"/>
  <c r="M98" i="2"/>
  <c r="C26" i="2" a="1"/>
  <c r="C16" i="2" a="1"/>
  <c r="M12" i="2"/>
  <c r="R100" i="2"/>
  <c r="P97" i="2"/>
  <c r="P98" i="2"/>
  <c r="S98" i="2"/>
  <c r="P100" i="2"/>
  <c r="S100" i="2"/>
  <c r="S97" i="2"/>
  <c r="T97" i="2"/>
  <c r="R98" i="2"/>
  <c r="Q63" i="42"/>
  <c r="Q98" i="2"/>
  <c r="R97" i="2"/>
  <c r="S47" i="2"/>
  <c r="Q47" i="2"/>
  <c r="T98" i="2"/>
  <c r="X73" i="2"/>
  <c r="Q99" i="2"/>
  <c r="Q97" i="2"/>
  <c r="T99" i="2"/>
  <c r="S63" i="42"/>
  <c r="O63" i="42"/>
  <c r="C100" i="2"/>
  <c r="C98" i="2"/>
  <c r="C97" i="2"/>
  <c r="C99" i="2"/>
  <c r="O61" i="42" l="1"/>
  <c r="C28" i="2"/>
  <c r="C27" i="2"/>
  <c r="C32" i="2"/>
  <c r="C26" i="2"/>
  <c r="C31" i="2"/>
  <c r="C29" i="2"/>
  <c r="C30" i="2"/>
  <c r="C21" i="2"/>
  <c r="C22" i="2"/>
  <c r="C19" i="2"/>
  <c r="C16" i="2"/>
  <c r="C20" i="2"/>
  <c r="C18" i="2"/>
  <c r="C17" i="2"/>
  <c r="R61" i="42"/>
  <c r="P61" i="42"/>
  <c r="Q61" i="42"/>
  <c r="S61" i="42"/>
  <c r="X47" i="2"/>
  <c r="T1" i="2" s="1"/>
  <c r="G13" i="16" s="1"/>
  <c r="O67" i="42" l="1"/>
  <c r="O22" i="2"/>
  <c r="E22" i="2"/>
  <c r="D22" i="2"/>
  <c r="N22" i="2"/>
  <c r="P22" i="2"/>
  <c r="L22" i="2"/>
  <c r="K22" i="2"/>
  <c r="J22" i="2"/>
  <c r="Q30" i="2"/>
  <c r="T30" i="2"/>
  <c r="D30" i="2"/>
  <c r="S30" i="2"/>
  <c r="P30" i="2"/>
  <c r="E30" i="2"/>
  <c r="R30" i="2"/>
  <c r="E16" i="2"/>
  <c r="J16" i="2"/>
  <c r="J26" i="2" s="1"/>
  <c r="D16" i="2"/>
  <c r="P16" i="2"/>
  <c r="T26" i="2"/>
  <c r="D26" i="2"/>
  <c r="E26" i="2"/>
  <c r="P26" i="2"/>
  <c r="Q26" i="2"/>
  <c r="R26" i="2"/>
  <c r="S26" i="2"/>
  <c r="D19" i="2"/>
  <c r="E19" i="2"/>
  <c r="M19" i="2"/>
  <c r="M29" i="2" s="1"/>
  <c r="D21" i="2"/>
  <c r="E21" i="2"/>
  <c r="P21" i="2"/>
  <c r="O21" i="2"/>
  <c r="O29" i="42" s="1"/>
  <c r="T29" i="2"/>
  <c r="P29" i="2"/>
  <c r="E29" i="2"/>
  <c r="D29" i="2"/>
  <c r="Q29" i="2"/>
  <c r="R29" i="2"/>
  <c r="S29" i="2"/>
  <c r="Q31" i="2"/>
  <c r="D31" i="2"/>
  <c r="T31" i="2"/>
  <c r="E31" i="2"/>
  <c r="P31" i="2"/>
  <c r="R31" i="2"/>
  <c r="S31" i="2"/>
  <c r="J32" i="2"/>
  <c r="E32" i="2"/>
  <c r="O32" i="2"/>
  <c r="L32" i="2"/>
  <c r="P32" i="2"/>
  <c r="Q32" i="2"/>
  <c r="D32" i="2"/>
  <c r="T32" i="2"/>
  <c r="K32" i="2"/>
  <c r="S32" i="2"/>
  <c r="R32" i="2"/>
  <c r="P17" i="2"/>
  <c r="K17" i="2"/>
  <c r="J17" i="2" s="1"/>
  <c r="J27" i="2" s="1"/>
  <c r="D17" i="2"/>
  <c r="E17" i="2"/>
  <c r="Q27" i="2"/>
  <c r="E27" i="2"/>
  <c r="D27" i="2"/>
  <c r="P27" i="2"/>
  <c r="T27" i="2"/>
  <c r="S27" i="2"/>
  <c r="R27" i="2"/>
  <c r="L18" i="2"/>
  <c r="K18" i="2" s="1"/>
  <c r="P18" i="2"/>
  <c r="D18" i="2"/>
  <c r="E18" i="2"/>
  <c r="P28" i="2"/>
  <c r="T28" i="2"/>
  <c r="E28" i="2"/>
  <c r="Q28" i="2"/>
  <c r="D28" i="2"/>
  <c r="S28" i="2"/>
  <c r="R28" i="2"/>
  <c r="P20" i="2"/>
  <c r="N20" i="2"/>
  <c r="D20" i="2"/>
  <c r="E20" i="2"/>
  <c r="R67" i="42"/>
  <c r="P67" i="42"/>
  <c r="Q67" i="42"/>
  <c r="S67" i="42"/>
  <c r="L17" i="2" l="1"/>
  <c r="L27" i="2" s="1"/>
  <c r="K27" i="2"/>
  <c r="L19" i="2"/>
  <c r="L29" i="2" s="1"/>
  <c r="M18" i="2"/>
  <c r="M28" i="2" s="1"/>
  <c r="K16" i="2"/>
  <c r="L16" i="2" s="1"/>
  <c r="M16" i="2" s="1"/>
  <c r="M26" i="2" s="1"/>
  <c r="O68" i="42" a="1"/>
  <c r="O68" i="42" s="1"/>
  <c r="P68" i="42" a="1"/>
  <c r="P68" i="42" s="1"/>
  <c r="S44" i="42"/>
  <c r="M17" i="2"/>
  <c r="M27" i="2" s="1"/>
  <c r="K19" i="2"/>
  <c r="J19" i="2" s="1"/>
  <c r="J29" i="2" s="1"/>
  <c r="L28" i="2"/>
  <c r="J18" i="2"/>
  <c r="J28" i="2" s="1"/>
  <c r="K28" i="2"/>
  <c r="Q38" i="42"/>
  <c r="K86" i="42"/>
  <c r="S89" i="42"/>
  <c r="S17" i="44" s="1"/>
  <c r="J29" i="42"/>
  <c r="O89" i="42"/>
  <c r="O17" i="44" s="1"/>
  <c r="N88" i="42"/>
  <c r="J75" i="42"/>
  <c r="T77" i="42"/>
  <c r="K47" i="42"/>
  <c r="N74" i="42"/>
  <c r="J86" i="42"/>
  <c r="K90" i="42"/>
  <c r="P41" i="42"/>
  <c r="N47" i="42"/>
  <c r="M89" i="42"/>
  <c r="Q89" i="42"/>
  <c r="Q17" i="44" s="1"/>
  <c r="Q29" i="42"/>
  <c r="T75" i="42"/>
  <c r="T50" i="42"/>
  <c r="N89" i="42"/>
  <c r="J44" i="42"/>
  <c r="R47" i="42"/>
  <c r="O90" i="42"/>
  <c r="O18" i="44" s="1"/>
  <c r="K88" i="42"/>
  <c r="K38" i="42"/>
  <c r="N29" i="42"/>
  <c r="L77" i="42"/>
  <c r="R90" i="42"/>
  <c r="R18" i="44" s="1"/>
  <c r="O41" i="42"/>
  <c r="J41" i="42"/>
  <c r="T41" i="42"/>
  <c r="J50" i="42"/>
  <c r="S50" i="42"/>
  <c r="J89" i="42"/>
  <c r="L76" i="42"/>
  <c r="T76" i="42"/>
  <c r="L47" i="42"/>
  <c r="M90" i="42"/>
  <c r="K44" i="42"/>
  <c r="S38" i="42"/>
  <c r="N87" i="42"/>
  <c r="M74" i="42"/>
  <c r="L89" i="42"/>
  <c r="R50" i="42"/>
  <c r="K77" i="42"/>
  <c r="S47" i="42"/>
  <c r="M29" i="42"/>
  <c r="J38" i="42"/>
  <c r="P44" i="42"/>
  <c r="J77" i="42"/>
  <c r="O38" i="42"/>
  <c r="J90" i="42"/>
  <c r="L75" i="42"/>
  <c r="K29" i="42"/>
  <c r="R29" i="42"/>
  <c r="P38" i="42"/>
  <c r="M87" i="42"/>
  <c r="R89" i="42"/>
  <c r="R17" i="44" s="1"/>
  <c r="M76" i="42"/>
  <c r="J47" i="42"/>
  <c r="P50" i="42"/>
  <c r="T74" i="42"/>
  <c r="L50" i="42"/>
  <c r="L44" i="42"/>
  <c r="J88" i="42"/>
  <c r="K75" i="42"/>
  <c r="M47" i="42"/>
  <c r="J74" i="42"/>
  <c r="T87" i="42"/>
  <c r="N75" i="42"/>
  <c r="P13" i="42"/>
  <c r="P26" i="42" s="1"/>
  <c r="P20" i="42"/>
  <c r="R13" i="42"/>
  <c r="R26" i="42" s="1"/>
  <c r="R20" i="42"/>
  <c r="Q44" i="42"/>
  <c r="K89" i="42"/>
  <c r="P89" i="42"/>
  <c r="P17" i="44" s="1"/>
  <c r="T29" i="42"/>
  <c r="N86" i="42"/>
  <c r="S41" i="42"/>
  <c r="R41" i="42"/>
  <c r="L90" i="42"/>
  <c r="L86" i="42"/>
  <c r="M50" i="42"/>
  <c r="R44" i="42"/>
  <c r="Q90" i="42"/>
  <c r="Q18" i="44" s="1"/>
  <c r="O50" i="42"/>
  <c r="J76" i="42"/>
  <c r="L41" i="42"/>
  <c r="M77" i="42"/>
  <c r="L38" i="42"/>
  <c r="T38" i="42"/>
  <c r="K87" i="42"/>
  <c r="T44" i="42"/>
  <c r="M75" i="42"/>
  <c r="T90" i="42"/>
  <c r="N76" i="42"/>
  <c r="Q13" i="42"/>
  <c r="Q26" i="42" s="1"/>
  <c r="Q20" i="42"/>
  <c r="O20" i="42"/>
  <c r="O13" i="42"/>
  <c r="O26" i="42" s="1"/>
  <c r="L26" i="2"/>
  <c r="Q47" i="42"/>
  <c r="K76" i="42"/>
  <c r="M44" i="42"/>
  <c r="R38" i="42"/>
  <c r="M86" i="42"/>
  <c r="M88" i="42"/>
  <c r="N77" i="42"/>
  <c r="T86" i="42"/>
  <c r="K41" i="42"/>
  <c r="P47" i="42"/>
  <c r="P90" i="42"/>
  <c r="P18" i="44" s="1"/>
  <c r="K26" i="2"/>
  <c r="Q41" i="42"/>
  <c r="L29" i="42"/>
  <c r="P29" i="42"/>
  <c r="K74" i="42"/>
  <c r="L88" i="42"/>
  <c r="L74" i="42"/>
  <c r="T88" i="42"/>
  <c r="O47" i="42"/>
  <c r="T47" i="42"/>
  <c r="M38" i="42"/>
  <c r="K50" i="42"/>
  <c r="Q50" i="42"/>
  <c r="S13" i="42"/>
  <c r="S26" i="42" s="1"/>
  <c r="S20" i="42"/>
  <c r="S29" i="42"/>
  <c r="T89" i="42"/>
  <c r="N44" i="42"/>
  <c r="S90" i="42"/>
  <c r="S18" i="44" s="1"/>
  <c r="N90" i="42"/>
  <c r="L87" i="42"/>
  <c r="O44" i="42"/>
  <c r="N50" i="42"/>
  <c r="M41" i="42"/>
  <c r="J87" i="42"/>
  <c r="Q68" i="42" a="1"/>
  <c r="Q68" i="42" s="1"/>
  <c r="R68" i="42" a="1"/>
  <c r="R68" i="42" s="1"/>
  <c r="S68" i="42" a="1"/>
  <c r="S68" i="42" s="1"/>
  <c r="K29" i="2" l="1"/>
  <c r="L80" i="42"/>
  <c r="T80" i="42"/>
  <c r="N80" i="42"/>
  <c r="T52" i="42"/>
  <c r="T54" i="42" s="1"/>
  <c r="J80" i="42"/>
  <c r="P52" i="42"/>
  <c r="P54" i="42" s="1"/>
  <c r="L52" i="42"/>
  <c r="L54" i="42" s="1"/>
  <c r="N92" i="42"/>
  <c r="M80" i="42"/>
  <c r="S52" i="42"/>
  <c r="S54" i="42" s="1"/>
  <c r="O52" i="42"/>
  <c r="O54" i="42" s="1"/>
  <c r="M52" i="42"/>
  <c r="M54" i="42" s="1"/>
  <c r="K52" i="42"/>
  <c r="K54" i="42" s="1"/>
  <c r="K92" i="42"/>
  <c r="J52" i="42"/>
  <c r="J54" i="42" s="1"/>
  <c r="Q52" i="42"/>
  <c r="Q54" i="42" s="1"/>
  <c r="M92" i="42"/>
  <c r="L92" i="42"/>
  <c r="T92" i="42"/>
  <c r="K80" i="42"/>
  <c r="R52" i="42"/>
  <c r="R54" i="42" s="1"/>
  <c r="J92" i="42"/>
  <c r="S28" i="59" l="1"/>
  <c r="R28" i="59"/>
  <c r="Q28" i="59"/>
  <c r="P28" i="59"/>
  <c r="O28" i="59"/>
  <c r="W28" i="59" l="1"/>
  <c r="W18" i="59" l="1"/>
  <c r="S1" i="59" s="1"/>
  <c r="G14" i="16" s="1"/>
  <c r="M47" i="58" l="1"/>
  <c r="G78" i="55" l="1"/>
  <c r="G82" i="55"/>
  <c r="O12" i="2" s="1"/>
  <c r="M57" i="58"/>
  <c r="M19" i="42" s="1"/>
  <c r="X57" i="58"/>
  <c r="S1" i="58" s="1"/>
  <c r="G12" i="16" s="1"/>
  <c r="M12" i="42"/>
  <c r="O25" i="53"/>
  <c r="O20" i="2" l="1"/>
  <c r="O30" i="2" s="1"/>
  <c r="N21" i="2"/>
  <c r="O31" i="2"/>
  <c r="F78" i="55"/>
  <c r="N12" i="2"/>
  <c r="O87" i="42"/>
  <c r="P25" i="53"/>
  <c r="N20" i="42" l="1"/>
  <c r="N13" i="42"/>
  <c r="N26" i="42" s="1"/>
  <c r="M21" i="2"/>
  <c r="N31" i="2"/>
  <c r="N18" i="2"/>
  <c r="N30" i="2"/>
  <c r="N19" i="2"/>
  <c r="M20" i="2"/>
  <c r="N16" i="2"/>
  <c r="N17" i="2"/>
  <c r="T78" i="55"/>
  <c r="F82" i="55"/>
  <c r="T82" i="55" s="1"/>
  <c r="P87" i="42"/>
  <c r="Q25" i="53"/>
  <c r="O15" i="44"/>
  <c r="T1" i="55" l="1"/>
  <c r="G11" i="16" s="1"/>
  <c r="N29" i="2"/>
  <c r="O19" i="2"/>
  <c r="N28" i="2"/>
  <c r="O18" i="2"/>
  <c r="O28" i="2" s="1"/>
  <c r="N63" i="58"/>
  <c r="M20" i="42"/>
  <c r="M13" i="42"/>
  <c r="M26" i="42" s="1"/>
  <c r="M31" i="2"/>
  <c r="L21" i="2"/>
  <c r="N26" i="2"/>
  <c r="O16" i="2"/>
  <c r="N27" i="2"/>
  <c r="O17" i="2"/>
  <c r="O27" i="2" s="1"/>
  <c r="M30" i="2"/>
  <c r="L20" i="2"/>
  <c r="R25" i="53"/>
  <c r="Q87" i="42"/>
  <c r="P15" i="44"/>
  <c r="N37" i="42" l="1"/>
  <c r="N38" i="42" s="1"/>
  <c r="S77" i="42"/>
  <c r="L30" i="2"/>
  <c r="K20" i="2"/>
  <c r="K21" i="2"/>
  <c r="L31" i="2"/>
  <c r="Q78" i="42"/>
  <c r="L13" i="42"/>
  <c r="L26" i="42" s="1"/>
  <c r="L20" i="42"/>
  <c r="O77" i="42"/>
  <c r="R78" i="42"/>
  <c r="R76" i="42"/>
  <c r="Q77" i="42"/>
  <c r="O76" i="42"/>
  <c r="P76" i="42"/>
  <c r="Q76" i="42"/>
  <c r="P77" i="42"/>
  <c r="Q88" i="42"/>
  <c r="Q16" i="44" s="1"/>
  <c r="R88" i="42"/>
  <c r="R16" i="44" s="1"/>
  <c r="N24" i="42"/>
  <c r="K24" i="42"/>
  <c r="S24" i="42"/>
  <c r="R17" i="42"/>
  <c r="O26" i="2"/>
  <c r="T17" i="42"/>
  <c r="L24" i="42"/>
  <c r="T24" i="42"/>
  <c r="K17" i="42"/>
  <c r="J24" i="42"/>
  <c r="P22" i="42"/>
  <c r="Q24" i="42"/>
  <c r="Q15" i="42"/>
  <c r="K15" i="42"/>
  <c r="S15" i="42"/>
  <c r="R22" i="42"/>
  <c r="K22" i="42"/>
  <c r="M17" i="42"/>
  <c r="O24" i="42"/>
  <c r="R24" i="42"/>
  <c r="M22" i="42"/>
  <c r="P17" i="42"/>
  <c r="J15" i="42"/>
  <c r="O17" i="42"/>
  <c r="S17" i="42"/>
  <c r="O22" i="42"/>
  <c r="J17" i="42"/>
  <c r="M15" i="42"/>
  <c r="S22" i="42"/>
  <c r="Q22" i="42"/>
  <c r="R15" i="42"/>
  <c r="P15" i="42"/>
  <c r="T15" i="42"/>
  <c r="T22" i="42"/>
  <c r="P24" i="42"/>
  <c r="J22" i="42"/>
  <c r="L17" i="42"/>
  <c r="O15" i="42"/>
  <c r="L15" i="42"/>
  <c r="N17" i="42"/>
  <c r="M24" i="42"/>
  <c r="Q17" i="42"/>
  <c r="N15" i="42"/>
  <c r="L22" i="42"/>
  <c r="N22" i="42"/>
  <c r="S88" i="42"/>
  <c r="S16" i="44" s="1"/>
  <c r="P78" i="42"/>
  <c r="S78" i="42"/>
  <c r="O78" i="42"/>
  <c r="P88" i="42"/>
  <c r="P16" i="44" s="1"/>
  <c r="O24" i="53"/>
  <c r="Q24" i="53"/>
  <c r="P24" i="53"/>
  <c r="O29" i="2"/>
  <c r="R24" i="53"/>
  <c r="R30" i="53" s="1"/>
  <c r="S24" i="53"/>
  <c r="O88" i="42"/>
  <c r="O16" i="44" s="1"/>
  <c r="S76" i="42"/>
  <c r="R77" i="42"/>
  <c r="Q15" i="44"/>
  <c r="R87" i="42"/>
  <c r="S25" i="53"/>
  <c r="N40" i="42" l="1"/>
  <c r="N41" i="42" s="1"/>
  <c r="Q74" i="42"/>
  <c r="Q18" i="53"/>
  <c r="O18" i="53"/>
  <c r="O74" i="42"/>
  <c r="P74" i="42"/>
  <c r="P18" i="53"/>
  <c r="Q86" i="42"/>
  <c r="Q30" i="53"/>
  <c r="O86" i="42"/>
  <c r="O30" i="53"/>
  <c r="O75" i="42"/>
  <c r="S86" i="42"/>
  <c r="S14" i="44" s="1"/>
  <c r="P86" i="42"/>
  <c r="P30" i="53"/>
  <c r="S18" i="53"/>
  <c r="S74" i="42"/>
  <c r="Q75" i="42"/>
  <c r="R74" i="42"/>
  <c r="R18" i="53"/>
  <c r="R86" i="42"/>
  <c r="R14" i="44" s="1"/>
  <c r="S75" i="42"/>
  <c r="P75" i="42"/>
  <c r="R75" i="42"/>
  <c r="N31" i="42"/>
  <c r="K20" i="42"/>
  <c r="K13" i="42"/>
  <c r="K26" i="42" s="1"/>
  <c r="J21" i="2"/>
  <c r="J31" i="2" s="1"/>
  <c r="K31" i="2"/>
  <c r="J20" i="2"/>
  <c r="J30" i="2" s="1"/>
  <c r="K30" i="2"/>
  <c r="S87" i="42"/>
  <c r="S30" i="53"/>
  <c r="R15" i="44"/>
  <c r="W30" i="53" l="1"/>
  <c r="R92" i="42"/>
  <c r="J13" i="42"/>
  <c r="J26" i="42" s="1"/>
  <c r="N33" i="42" s="1"/>
  <c r="J20" i="42"/>
  <c r="N35" i="42" s="1"/>
  <c r="Q14" i="44"/>
  <c r="Q92" i="42"/>
  <c r="S80" i="42"/>
  <c r="O14" i="44"/>
  <c r="O92" i="42"/>
  <c r="R80" i="42"/>
  <c r="P14" i="44"/>
  <c r="P92" i="42"/>
  <c r="P80" i="42"/>
  <c r="O80" i="42"/>
  <c r="Q80" i="42"/>
  <c r="W18" i="53"/>
  <c r="S15" i="44"/>
  <c r="S92" i="42"/>
  <c r="N52" i="42" l="1"/>
  <c r="N54" i="42" s="1"/>
  <c r="S99" i="42" l="1"/>
  <c r="O99" i="42"/>
  <c r="S98" i="42"/>
  <c r="P98" i="42"/>
  <c r="O98" i="42"/>
  <c r="R98" i="42"/>
  <c r="Q98" i="42"/>
  <c r="R99" i="42"/>
  <c r="Q99" i="42"/>
  <c r="P99" i="42"/>
  <c r="Q13" i="44" l="1"/>
  <c r="R13" i="44"/>
  <c r="O13" i="44"/>
  <c r="P13" i="44"/>
  <c r="S13" i="44"/>
  <c r="O36" i="53" l="1"/>
  <c r="O38" i="53" l="1"/>
  <c r="O100" i="42"/>
  <c r="P36" i="53" l="1"/>
  <c r="Q36" i="53" l="1"/>
  <c r="P100" i="42"/>
  <c r="P38" i="53"/>
  <c r="Q100" i="42" l="1"/>
  <c r="Q38" i="53"/>
  <c r="R36" i="53"/>
  <c r="S36" i="53" l="1"/>
  <c r="R38" i="53"/>
  <c r="R100" i="42"/>
  <c r="S38" i="53" l="1"/>
  <c r="W38" i="53" s="1"/>
  <c r="S1" i="53" s="1"/>
  <c r="G15" i="16" s="1"/>
  <c r="S1" i="16" s="1"/>
  <c r="S100" i="42"/>
  <c r="W1" i="44" l="1"/>
  <c r="V1" i="54"/>
  <c r="W1" i="55"/>
  <c r="V1" i="4"/>
  <c r="W1" i="42"/>
  <c r="V1" i="59"/>
  <c r="V1" i="53"/>
  <c r="W1" i="58"/>
  <c r="X1" i="2"/>
</calcChain>
</file>

<file path=xl/sharedStrings.xml><?xml version="1.0" encoding="utf-8"?>
<sst xmlns="http://schemas.openxmlformats.org/spreadsheetml/2006/main" count="772" uniqueCount="237">
  <si>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</si>
  <si>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</si>
  <si>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</si>
  <si>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</si>
  <si>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</si>
  <si>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</si>
  <si>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</si>
  <si>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</si>
  <si>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</si>
  <si>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</si>
  <si>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</si>
  <si>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</si>
  <si>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</si>
  <si>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</si>
  <si>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</si>
  <si>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</si>
  <si>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</si>
  <si>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</si>
  <si>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</si>
  <si>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</si>
  <si>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</si>
  <si>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</si>
  <si>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</si>
  <si>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</si>
  <si>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</si>
  <si>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</si>
  <si>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</si>
  <si>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</si>
  <si>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</si>
  <si>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</si>
  <si>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</si>
  <si>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</si>
  <si>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</si>
  <si>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</si>
  <si>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</si>
  <si>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</si>
  <si>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</si>
  <si>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</si>
  <si>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</si>
  <si>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</si>
  <si>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</si>
  <si>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</si>
  <si>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</si>
  <si>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</si>
  <si>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</si>
  <si>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</si>
  <si>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</si>
  <si>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</si>
  <si>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</si>
  <si>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t>Shows checks on the calculations within the model</t>
  </si>
  <si>
    <t>Notes</t>
  </si>
  <si>
    <t>Inputs for Post Tax Revenue Model</t>
  </si>
  <si>
    <t>Note. The dollar base should be consistent with the post tax revenue model</t>
  </si>
  <si>
    <t>Input | Reported opex</t>
  </si>
  <si>
    <t>Includes the lookup tables used within this opex model.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</si>
  <si>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</si>
  <si>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</si>
  <si>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</si>
  <si>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</si>
  <si>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</si>
  <si>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</si>
  <si>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</si>
  <si>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</si>
  <si>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</si>
  <si>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</si>
  <si>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</si>
  <si>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</si>
  <si>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</si>
  <si>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</si>
  <si>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</si>
  <si>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</si>
  <si>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</si>
  <si>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</si>
  <si>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</si>
  <si>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</si>
  <si>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</si>
  <si>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</si>
  <si>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</si>
  <si>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</si>
  <si>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</si>
  <si>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</si>
  <si>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</si>
  <si>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</si>
  <si>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</si>
  <si>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</si>
  <si>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</si>
  <si>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</si>
  <si>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</si>
  <si>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</si>
  <si>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</si>
  <si>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</si>
  <si>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</si>
  <si>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</si>
  <si>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</si>
  <si>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</si>
  <si>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</si>
  <si>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</si>
  <si>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</si>
  <si>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</si>
  <si>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</si>
  <si>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</si>
  <si>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</si>
  <si>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</si>
  <si>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</si>
  <si>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</si>
  <si>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</si>
  <si>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4</t>
  </si>
  <si>
    <t>Adjustment 5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</si>
  <si>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</si>
  <si>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</si>
  <si>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</si>
  <si>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</si>
  <si>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</si>
  <si>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</si>
  <si>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</si>
  <si>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</si>
  <si>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</si>
  <si>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</si>
  <si>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</si>
  <si>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</si>
  <si>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</si>
  <si>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</si>
  <si>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</si>
  <si>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</si>
  <si>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</si>
  <si>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</si>
  <si>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</si>
  <si>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</si>
  <si>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</si>
  <si>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</si>
  <si>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</si>
  <si>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</si>
  <si>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</si>
  <si>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</si>
  <si>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</si>
  <si>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</si>
  <si>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</si>
  <si>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</si>
  <si>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</si>
  <si>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</si>
  <si>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</si>
  <si>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</si>
  <si>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</si>
  <si>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</si>
  <si>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</si>
  <si>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</si>
  <si>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</si>
  <si>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</si>
  <si>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</si>
  <si>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</si>
  <si>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</si>
  <si>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</si>
  <si>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</si>
  <si>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</si>
  <si>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</si>
  <si>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</si>
  <si>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</si>
  <si>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</si>
  <si>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</si>
  <si>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AER PTRM in the previous regulatory period.</t>
  </si>
  <si>
    <t>Customer numbers (#)</t>
  </si>
  <si>
    <t>Output weights</t>
  </si>
  <si>
    <t>Forecast output growth</t>
  </si>
  <si>
    <t>These inputs should be entered as positive values.</t>
  </si>
  <si>
    <t>Total opex to be trended</t>
  </si>
  <si>
    <t>Non-recurrent efficiency gain in the base year</t>
  </si>
  <si>
    <t>Categories of opex to be excluded from forecast opex (excluding category specific forecasts)</t>
  </si>
  <si>
    <t>Option 1</t>
  </si>
  <si>
    <t>Option 2</t>
  </si>
  <si>
    <t>Final</t>
  </si>
  <si>
    <t>AER opex model v1.8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</si>
  <si>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</si>
  <si>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</si>
  <si>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</si>
  <si>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</si>
  <si>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Previous period year 6</t>
  </si>
  <si>
    <t>Main length (km)</t>
  </si>
  <si>
    <t>Jemena Gas Network</t>
  </si>
  <si>
    <t>proposal</t>
  </si>
  <si>
    <t>placeholder</t>
  </si>
  <si>
    <t>AER FD</t>
  </si>
  <si>
    <t>JGN</t>
  </si>
  <si>
    <t>UAG costs</t>
  </si>
  <si>
    <t>WPI - KPMG forecast (placeholder from NSW draft decision)</t>
  </si>
  <si>
    <t>Superannuation guarantee increases</t>
  </si>
  <si>
    <t>WPI - average + super guarantee increases</t>
  </si>
  <si>
    <t>Debt raising costs</t>
  </si>
  <si>
    <t>Safeguard mechanism costs</t>
  </si>
  <si>
    <t>Input | Category specific forecasts</t>
  </si>
  <si>
    <t>Input|General</t>
  </si>
  <si>
    <t>Input|Inflation</t>
  </si>
  <si>
    <t>Input|Reported opex</t>
  </si>
  <si>
    <t>Input|Rate of change</t>
  </si>
  <si>
    <t>Input|Step changes</t>
  </si>
  <si>
    <t>Calc|Opex forecast</t>
  </si>
  <si>
    <t>Output|Models</t>
  </si>
  <si>
    <t>Lookup|Tables</t>
  </si>
  <si>
    <t>Check|List</t>
  </si>
  <si>
    <t>Inputs the operating expenditure (opex) data, including historical opex by category, one-off costs, step changes, demand forecasts, carbon costs, self insurance, network growth, and partial factor productivity</t>
  </si>
  <si>
    <t>Inputs the reported operating expenditure (opex) from the prior regulatory control period.</t>
  </si>
  <si>
    <t>Incremental ICT project opex</t>
  </si>
  <si>
    <t>New IFRS treatment - SaaS implementation costs in base year</t>
  </si>
  <si>
    <t>Estimated base year ancillary service opex</t>
  </si>
  <si>
    <t>Input|UAG</t>
  </si>
  <si>
    <t>Inputs the forecast UAG</t>
  </si>
  <si>
    <t>Input |UAG Forecast</t>
  </si>
  <si>
    <t>Demand</t>
  </si>
  <si>
    <t>TJ</t>
  </si>
  <si>
    <t>$/GJ</t>
  </si>
  <si>
    <t>Total UAG (tariff and demand market)</t>
  </si>
  <si>
    <t>UAG rate</t>
  </si>
  <si>
    <t>Wholesale gas price</t>
  </si>
  <si>
    <t>Support for customers experiencing vulnerability</t>
  </si>
  <si>
    <t>ICT services for new recurrent projects</t>
  </si>
  <si>
    <t>Emissions reduction – Climate change reporting</t>
  </si>
  <si>
    <t>Emissions measurement – Picarro leak detection services</t>
  </si>
  <si>
    <t>Pipeline Integrity Management Program</t>
  </si>
  <si>
    <t>UAG</t>
  </si>
  <si>
    <t>License fees</t>
  </si>
  <si>
    <t>Movement in provisions</t>
  </si>
  <si>
    <t>AEMO 2024 GSOO Sydney Industrial  Step Change</t>
  </si>
  <si>
    <t>WPI - average of KPMG and Oxford Economics</t>
  </si>
  <si>
    <t>Oxford Economics</t>
  </si>
  <si>
    <t>ATO</t>
  </si>
  <si>
    <t>CEG</t>
  </si>
  <si>
    <t>Core</t>
  </si>
  <si>
    <t>Frontier Economics</t>
  </si>
  <si>
    <t>UAG cost forecast - Volume market</t>
  </si>
  <si>
    <t>UAG cost forecast - Demand market</t>
  </si>
  <si>
    <t>Total UAG Cost - Volume market</t>
  </si>
  <si>
    <t>Total UAG Cost - Demand market</t>
  </si>
  <si>
    <t>Total Government levies (Mains tax and licence fees)</t>
  </si>
  <si>
    <t/>
  </si>
  <si>
    <t>SaaS costs that would have been capitalised under old IFRS</t>
  </si>
  <si>
    <t>SFA</t>
  </si>
  <si>
    <t>GLS</t>
  </si>
  <si>
    <t>Oxford Economics (EGWWS  WPI - NSW, 08 April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</si>
</sst>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64" formatCode="&quot;$&quot;#,##0.00_);[Red]\(&quot;$&quot;#,##0.00\)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_-* #,##0_-;\-* #,##0_-;_-* &quot;-&quot;??_-;_-@_-"/>
    <numFmt numFmtId="170" formatCode="dd\-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_-* #,##0.0000_-;\-* #,##0.0000_-;_-* &quot;-&quot;??_-;_-@_-"/>
    <numFmt numFmtId="176" formatCode="_(#,##0.0000_);\(#,##0.0000\);_(&quot;-&quot;_)"/>
    <numFmt numFmtId="177" formatCode="0.0%"/>
    <numFmt numFmtId="178" formatCode="_(#,##0.0_);\(#,##0.0\);_(&quot;-&quot;_)"/>
    <numFmt numFmtId="179" formatCode="0.0"/>
    <numFmt numFmtId="180" formatCode=";;_(&quot;-&quot;_)"/>
    <numFmt numFmtId="181" formatCode="_-* #,##0.0_-;\-* #,##0.0_-;_-* &quot;-&quot;??_-;_-@_-"/>
    <numFmt numFmtId="182" formatCode="0.00;\-0.00;_(&quot;-&quot;_)"/>
    <numFmt numFmtId="183" formatCode="[$-C09]mmm\-yyyy;@"/>
    <numFmt numFmtId="184" formatCode="_-* #\ ##0.00_-;\-* #\ ##0.00_-;_-* &quot;-&quot;??_-;_-@_-"/>
    <numFmt numFmtId="185" formatCode="_(#\ ##0.00_);\(#\ ##0.00\);_(&quot;-&quot;_)"/>
    <numFmt numFmtId="186" formatCode="#\ ##0.00_ ;\-#\ ##0.00\ ;&quot;-&quot;"/>
    <numFmt numFmtId="187" formatCode="#\ ##0.00;\-#\ ##0.00;&quot;-&quot;"/>
    <numFmt numFmtId="188" formatCode="mmmm"/>
    <numFmt numFmtId="189" formatCode="mmm\ yyyy"/>
    <numFmt numFmtId="190" formatCode="0.00_ ;\-0.00\ "/>
    <numFmt numFmtId="191" formatCode="0_ ;\-0\ "/>
    <numFmt numFmtId="192" formatCode="_-* #,##0.00_-;\-* #,##0.00_-;_-* &quot;-&quot;_-;_-@_-"/>
    <numFmt numFmtId="193" formatCode="[Red]\●;[Red]\●;[Color10]\●"/>
    <numFmt numFmtId="194" formatCode="&quot;Fail&quot;;&quot;Fail&quot;;&quot;Ok&quot;"/>
    <numFmt numFmtId="195" formatCode="&quot;[c-i-c &quot;#,##0.00&quot;]&quot;;&quot;[c-i-c &quot;\-#,##0.00&quot;]&quot;;_(&quot;[c-i-c -]&quot;_)"/>
    <numFmt numFmtId="196" formatCode="_(* #,##0_);_(* \(#,##0\);_(* &quot;-&quot;??_);_(@_)"/>
  </numFmts>
  <fonts count="58" x14ac:knownFonts="1">
    <font>
      <sz val="8"/>
      <color theme="1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10"/>
      <color indexed="16"/>
      <name val="Arial"/>
      <family val="2"/>
    </font>
    <font>
      <b/>
      <i/>
      <sz val="8"/>
      <color theme="0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 tint="0.249977111117893"/>
      <name val="Arial"/>
      <family val="2"/>
    </font>
    <font>
      <sz val="8"/>
      <name val="Helvetica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57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i/>
      <sz val="8"/>
      <color rgb="FF7F7F7F"/>
      <name val="Arial"/>
      <family val="2"/>
    </font>
    <font>
      <sz val="8"/>
      <color theme="0"/>
      <name val="Arial"/>
      <family val="2"/>
    </font>
    <font>
      <sz val="8"/>
      <color rgb="FF595959"/>
      <name val="Arial"/>
      <family val="2"/>
    </font>
    <font>
      <sz val="8"/>
      <color theme="1" tint="0.24994659260841701"/>
      <name val="Arial"/>
      <family val="2"/>
    </font>
    <font>
      <b/>
      <sz val="8"/>
      <color rgb="FFDC1414"/>
      <name val="Arial"/>
      <family val="2"/>
    </font>
    <font>
      <sz val="8"/>
      <color rgb="FF3B3C3E"/>
      <name val="Arial"/>
      <family val="2"/>
    </font>
    <font>
      <b/>
      <sz val="8"/>
      <color rgb="FF595959"/>
      <name val="Arial"/>
      <family val="2"/>
    </font>
    <font>
      <sz val="8"/>
      <color rgb="FFBFBFBF"/>
      <name val="Arial"/>
      <family val="2"/>
    </font>
    <font>
      <b/>
      <sz val="8"/>
      <color theme="1" tint="0.249977111117893"/>
      <name val="Arial"/>
      <family val="2"/>
    </font>
    <font>
      <u/>
      <sz val="10"/>
      <color indexed="12"/>
      <name val="Arial"/>
      <family val="2"/>
    </font>
    <font>
      <i/>
      <sz val="8"/>
      <color rgb="FF009644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rgb="FF336633"/>
      <name val="Arial"/>
      <family val="2"/>
    </font>
    <font>
      <b/>
      <sz val="8"/>
      <color rgb="FF20509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theme="1" tint="0.34998626667073579"/>
        <bgColor theme="0"/>
      </patternFill>
    </fill>
    <fill>
      <patternFill patternType="solid">
        <fgColor rgb="FFD9D9D9"/>
        <bgColor indexed="64"/>
      </patternFill>
    </fill>
    <fill>
      <patternFill patternType="lightUp">
        <fgColor rgb="FFBFBFBF"/>
        <bgColor rgb="FFFFFFFF"/>
      </patternFill>
    </fill>
    <fill>
      <patternFill patternType="solid">
        <fgColor rgb="FF0070C0"/>
        <bgColor indexed="64"/>
      </patternFill>
    </fill>
    <fill>
      <patternFill patternType="solid">
        <fgColor rgb="FF26BCD7"/>
        <bgColor indexed="64"/>
      </patternFill>
    </fill>
    <fill>
      <patternFill patternType="solid">
        <fgColor rgb="FFB9DDD7"/>
        <bgColor indexed="64"/>
      </patternFill>
    </fill>
    <fill>
      <patternFill patternType="solid">
        <fgColor rgb="FFFDD5B4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DC1414"/>
      </left>
      <right style="thin">
        <color rgb="FFDC1414"/>
      </right>
      <top style="thin">
        <color rgb="FFDC1414"/>
      </top>
      <bottom style="thin">
        <color rgb="FFDC1414"/>
      </bottom>
      <diagonal/>
    </border>
    <border>
      <left style="thin">
        <color indexed="22"/>
      </left>
      <right style="thin">
        <color rgb="FFC2C2C2"/>
      </right>
      <top style="thin">
        <color rgb="FFC2C2C2"/>
      </top>
      <bottom style="thin">
        <color rgb="FFC2C2C2"/>
      </bottom>
      <diagonal/>
    </border>
    <border>
      <left style="thin">
        <color rgb="FF595959" tint="0.34998626667073579"/>
      </left>
      <right style="thin">
        <color rgb="FF595959" tint="0.34998626667073579"/>
      </right>
      <top style="thin">
        <color rgb="FF595959" tint="0.34998626667073579"/>
      </top>
      <bottom style="thin">
        <color rgb="FF595959" tint="0.34998626667073579"/>
      </bottom>
      <diagonal/>
    </border>
    <border>
      <left style="thin">
        <color rgb="FF2F4F4F"/>
      </left>
      <right style="thin">
        <color rgb="FF2F4F4F"/>
      </right>
      <top style="thin">
        <color indexed="63"/>
      </top>
      <bottom style="thin">
        <color rgb="FF2F4F4F"/>
      </bottom>
      <diagonal/>
    </border>
    <border>
      <left style="thin">
        <color rgb="FF205090"/>
      </left>
      <right style="thin">
        <color rgb="FF205090"/>
      </right>
      <top style="thin">
        <color indexed="62"/>
      </top>
      <bottom style="thin">
        <color rgb="FF205090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91">
    <xf numFmtId="0" fontId="0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56" fillId="56" borderId="33" applyNumberFormat="0" applyFill="0"/>
    <xf numFmtId="178" fontId="55" fillId="0" borderId="0" applyFill="0" applyBorder="0">
      <alignment horizontal="right" vertical="center"/>
    </xf>
    <xf numFmtId="0" fontId="55" fillId="0" borderId="0" applyFill="0" applyBorder="0">
      <alignment vertical="center"/>
    </xf>
    <xf numFmtId="0" fontId="54" fillId="0" borderId="0" applyFill="0" applyBorder="0">
      <alignment vertical="center"/>
    </xf>
    <xf numFmtId="9" fontId="16" fillId="0" borderId="0" applyFont="0" applyFill="0" applyBorder="0" applyAlignment="0" applyProtection="0"/>
    <xf numFmtId="172" fontId="29" fillId="0" borderId="0" applyFont="0" applyFill="0" applyBorder="0" applyProtection="0">
      <alignment horizontal="center" vertical="center"/>
    </xf>
    <xf numFmtId="0" fontId="53" fillId="0" borderId="0" applyNumberFormat="0" applyFill="0" applyBorder="0" applyAlignment="0" applyProtection="0"/>
    <xf numFmtId="0" fontId="9" fillId="0" borderId="0"/>
    <xf numFmtId="171" fontId="51" fillId="0" borderId="8" applyNumberFormat="0" applyFill="0" applyAlignment="0">
      <alignment horizontal="center"/>
    </xf>
    <xf numFmtId="0" fontId="46" fillId="6" borderId="29" applyNumberFormat="0" applyAlignment="0" applyProtection="0">
      <alignment horizontal="center" vertical="center"/>
    </xf>
    <xf numFmtId="0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74" fontId="48" fillId="7" borderId="0" applyBorder="0" applyProtection="0">
      <alignment horizontal="center" vertical="center"/>
    </xf>
    <xf numFmtId="0" fontId="46" fillId="5" borderId="29" applyNumberFormat="0" applyBorder="0" applyAlignment="0">
      <alignment horizontal="center"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1" fillId="53" borderId="0" applyNumberFormat="0"/>
    <xf numFmtId="0" fontId="6" fillId="51" borderId="0" applyNumberFormat="0" applyAlignment="0"/>
    <xf numFmtId="169" fontId="42" fillId="52" borderId="0" applyNumberFormat="0"/>
    <xf numFmtId="196" fontId="50" fillId="50" borderId="31" applyAlignment="0"/>
    <xf numFmtId="0" fontId="49" fillId="49" borderId="28" applyNumberFormat="0"/>
    <xf numFmtId="174" fontId="48" fillId="14" borderId="0" applyBorder="0" applyProtection="0">
      <alignment horizontal="center" vertical="center"/>
    </xf>
    <xf numFmtId="0" fontId="47" fillId="0" borderId="30" applyNumberFormat="0" applyFill="0"/>
    <xf numFmtId="0" fontId="57" fillId="56" borderId="34" applyNumberFormat="0" applyFill="0"/>
    <xf numFmtId="0" fontId="46" fillId="48" borderId="6" applyNumberFormat="0" applyFont="0" applyAlignment="0"/>
    <xf numFmtId="0" fontId="46" fillId="4" borderId="29" applyNumberFormat="0" applyBorder="0" applyAlignment="0" applyProtection="0">
      <alignment horizontal="center" vertical="center"/>
    </xf>
    <xf numFmtId="0" fontId="11" fillId="8" borderId="18" applyNumberFormat="0" applyFont="0" applyFill="0" applyAlignment="0" applyProtection="0">
      <alignment horizontal="center" vertical="center"/>
    </xf>
    <xf numFmtId="0" fontId="51" fillId="0" borderId="7" applyNumberFormat="0">
      <alignment horizontal="center"/>
    </xf>
    <xf numFmtId="0" fontId="45" fillId="57" borderId="28" applyNumberFormat="0">
      <alignment horizontal="center"/>
    </xf>
    <xf numFmtId="15" fontId="29" fillId="0" borderId="0" applyFont="0" applyFill="0" applyBorder="0">
      <alignment horizontal="center"/>
    </xf>
    <xf numFmtId="195" fontId="29" fillId="0" borderId="0" applyFont="0" applyFill="0" applyBorder="0">
      <alignment horizontal="center"/>
    </xf>
    <xf numFmtId="194" fontId="45" fillId="0" borderId="28">
      <alignment horizontal="center"/>
    </xf>
    <xf numFmtId="176" fontId="29" fillId="0" borderId="0" applyFont="0" applyFill="0" applyBorder="0" applyProtection="0">
      <alignment horizontal="center" vertical="center"/>
    </xf>
    <xf numFmtId="171" fontId="29" fillId="0" borderId="0" applyFont="0" applyFill="0" applyBorder="0">
      <alignment horizontal="center"/>
    </xf>
    <xf numFmtId="171" fontId="11" fillId="0" borderId="5">
      <alignment horizontal="right" vertical="center"/>
      <protection locked="0"/>
    </xf>
    <xf numFmtId="0" fontId="16" fillId="0" borderId="0"/>
    <xf numFmtId="0" fontId="46" fillId="55" borderId="32" applyNumberFormat="0">
      <alignment vertical="center"/>
    </xf>
    <xf numFmtId="0" fontId="16" fillId="12" borderId="10"/>
    <xf numFmtId="0" fontId="16" fillId="8" borderId="12" applyNumberFormat="0" applyFont="0" applyAlignment="0"/>
    <xf numFmtId="0" fontId="25" fillId="6" borderId="13" applyNumberFormat="0"/>
    <xf numFmtId="0" fontId="46" fillId="54" borderId="29" applyNumberFormat="0">
      <alignment horizontal="center" vertical="center"/>
    </xf>
    <xf numFmtId="165" fontId="9" fillId="0" borderId="0" applyFont="0" applyFill="0" applyBorder="0" applyAlignment="0" applyProtection="0"/>
    <xf numFmtId="174" fontId="29" fillId="0" borderId="0" applyFont="0" applyFill="0" applyBorder="0">
      <alignment horizontal="center"/>
    </xf>
    <xf numFmtId="193" fontId="30" fillId="0" borderId="0">
      <alignment horizontal="center" vertical="center"/>
    </xf>
    <xf numFmtId="0" fontId="31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4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6" fillId="18" borderId="0" applyNumberFormat="0" applyBorder="0" applyAlignment="0" applyProtection="0"/>
    <xf numFmtId="0" fontId="37" fillId="19" borderId="0" applyNumberFormat="0" applyBorder="0" applyAlignment="0" applyProtection="0"/>
    <xf numFmtId="0" fontId="38" fillId="20" borderId="22" applyNumberFormat="0" applyAlignment="0" applyProtection="0"/>
    <xf numFmtId="0" fontId="39" fillId="21" borderId="23" applyNumberFormat="0" applyAlignment="0" applyProtection="0"/>
    <xf numFmtId="0" fontId="40" fillId="21" borderId="22" applyNumberFormat="0" applyAlignment="0" applyProtection="0"/>
    <xf numFmtId="0" fontId="41" fillId="0" borderId="24" applyNumberFormat="0" applyFill="0" applyAlignment="0" applyProtection="0"/>
    <xf numFmtId="0" fontId="42" fillId="22" borderId="25" applyNumberFormat="0" applyAlignment="0" applyProtection="0"/>
    <xf numFmtId="0" fontId="15" fillId="0" borderId="0" applyNumberFormat="0" applyFill="0" applyBorder="0" applyAlignment="0" applyProtection="0"/>
    <xf numFmtId="0" fontId="9" fillId="23" borderId="26" applyNumberFormat="0" applyFont="0" applyAlignment="0" applyProtection="0"/>
    <xf numFmtId="0" fontId="43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44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44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44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44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44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44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7" borderId="0" applyNumberFormat="0" applyBorder="0" applyAlignment="0" applyProtection="0"/>
  </cellStyleXfs>
  <cellXfs count="296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1" fillId="2" borderId="1" xfId="0" applyFont="1" applyFill="1" applyBorder="1"/>
    <xf numFmtId="169" fontId="2" fillId="3" borderId="0" xfId="0" applyNumberFormat="1" applyFont="1" applyFill="1"/>
    <xf numFmtId="169" fontId="3" fillId="0" borderId="0" xfId="0" applyNumberFormat="1" applyFont="1"/>
    <xf numFmtId="169" fontId="2" fillId="0" borderId="0" xfId="0" applyNumberFormat="1" applyFont="1"/>
    <xf numFmtId="169" fontId="4" fillId="0" borderId="0" xfId="0" applyNumberFormat="1" applyFont="1"/>
    <xf numFmtId="169" fontId="5" fillId="0" borderId="0" xfId="0" applyNumberFormat="1" applyFont="1" applyAlignment="1" applyProtection="1"/>
    <xf numFmtId="0" fontId="2" fillId="4" borderId="0" xfId="0" applyFont="1" applyFill="1" applyBorder="1"/>
    <xf numFmtId="0" fontId="2" fillId="5" borderId="0" xfId="0" applyFont="1" applyFill="1" applyBorder="1"/>
    <xf numFmtId="169" fontId="8" fillId="0" borderId="0" xfId="0" applyNumberFormat="1" applyFont="1"/>
    <xf numFmtId="169" fontId="4" fillId="0" borderId="0" xfId="0" applyNumberFormat="1" applyFont="1" applyAlignment="1">
      <alignment horizontal="center"/>
    </xf>
    <xf numFmtId="169" fontId="2" fillId="0" borderId="0" xfId="0" applyNumberFormat="1" applyFont="1" applyAlignment="1">
      <alignment horizontal="left" indent="1"/>
    </xf>
    <xf numFmtId="169" fontId="3" fillId="0" borderId="0" xfId="0" applyNumberFormat="1" applyFont="1" applyAlignment="1">
      <alignment horizontal="center"/>
    </xf>
    <xf numFmtId="169" fontId="0" fillId="0" borderId="0" xfId="0" applyNumberFormat="1"/>
    <xf numFmtId="169" fontId="3" fillId="3" borderId="0" xfId="0" applyNumberFormat="1" applyFont="1" applyFill="1"/>
    <xf numFmtId="169" fontId="13" fillId="0" borderId="0" xfId="0" applyNumberFormat="1" applyFont="1" applyAlignment="1">
      <alignment horizontal="center"/>
    </xf>
    <xf numFmtId="173" fontId="11" fillId="0" borderId="0" xfId="0" applyNumberFormat="1" applyFont="1" applyFill="1" applyBorder="1" applyAlignment="1" applyProtection="1">
      <alignment horizontal="center" vertical="center"/>
    </xf>
    <xf numFmtId="174" fontId="8" fillId="0" borderId="0" xfId="0" applyNumberFormat="1" applyFont="1" applyFill="1" applyBorder="1" applyAlignment="1" applyProtection="1">
      <alignment horizontal="center" vertical="center"/>
    </xf>
    <xf numFmtId="174" fontId="15" fillId="0" borderId="0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169" fontId="2" fillId="3" borderId="0" xfId="0" applyNumberFormat="1" applyFont="1" applyFill="1" applyProtection="1"/>
    <xf numFmtId="169" fontId="3" fillId="3" borderId="0" xfId="0" applyNumberFormat="1" applyFont="1" applyFill="1" applyAlignment="1" applyProtection="1">
      <alignment horizontal="center"/>
    </xf>
    <xf numFmtId="169" fontId="2" fillId="0" borderId="0" xfId="0" applyNumberFormat="1" applyFont="1" applyProtection="1"/>
    <xf numFmtId="169" fontId="3" fillId="0" borderId="0" xfId="0" applyNumberFormat="1" applyFont="1" applyAlignment="1" applyProtection="1">
      <alignment horizontal="center"/>
    </xf>
    <xf numFmtId="169" fontId="8" fillId="0" borderId="0" xfId="0" applyNumberFormat="1" applyFont="1" applyProtection="1"/>
    <xf numFmtId="169" fontId="13" fillId="0" borderId="0" xfId="0" applyNumberFormat="1" applyFont="1" applyAlignment="1" applyProtection="1">
      <alignment horizontal="center"/>
    </xf>
    <xf numFmtId="169" fontId="4" fillId="0" borderId="0" xfId="0" applyNumberFormat="1" applyFont="1" applyAlignment="1" applyProtection="1">
      <alignment horizontal="center"/>
    </xf>
    <xf numFmtId="169" fontId="12" fillId="0" borderId="0" xfId="2" applyNumberFormat="1" applyFont="1" applyAlignment="1" applyProtection="1">
      <alignment horizontal="center"/>
    </xf>
    <xf numFmtId="0" fontId="20" fillId="8" borderId="0" xfId="0" applyFont="1" applyFill="1" applyBorder="1" applyAlignment="1">
      <alignment horizontal="left" vertical="center"/>
    </xf>
    <xf numFmtId="0" fontId="20" fillId="8" borderId="0" xfId="0" applyFont="1" applyFill="1" applyBorder="1" applyAlignment="1">
      <alignment horizontal="left" indent="9"/>
    </xf>
    <xf numFmtId="0" fontId="21" fillId="8" borderId="0" xfId="0" applyFont="1" applyFill="1" applyBorder="1" applyAlignment="1" applyProtection="1"/>
    <xf numFmtId="0" fontId="0" fillId="8" borderId="0" xfId="0" applyFont="1" applyFill="1" applyBorder="1"/>
    <xf numFmtId="0" fontId="0" fillId="8" borderId="0" xfId="0" applyFont="1" applyFill="1" applyBorder="1" applyAlignment="1">
      <alignment horizontal="right"/>
    </xf>
    <xf numFmtId="166" fontId="17" fillId="8" borderId="0" xfId="0" applyNumberFormat="1" applyFont="1" applyFill="1" applyBorder="1" applyAlignment="1">
      <alignment horizontal="center"/>
    </xf>
    <xf numFmtId="0" fontId="22" fillId="8" borderId="1" xfId="0" applyFont="1" applyFill="1" applyBorder="1" applyAlignment="1">
      <alignment horizontal="left"/>
    </xf>
    <xf numFmtId="0" fontId="0" fillId="8" borderId="1" xfId="0" applyFont="1" applyFill="1" applyBorder="1"/>
    <xf numFmtId="0" fontId="0" fillId="9" borderId="4" xfId="0" applyFill="1" applyBorder="1"/>
    <xf numFmtId="0" fontId="18" fillId="9" borderId="4" xfId="0" applyFont="1" applyFill="1" applyBorder="1" applyAlignment="1">
      <alignment vertical="center"/>
    </xf>
    <xf numFmtId="0" fontId="0" fillId="9" borderId="4" xfId="0" applyFill="1" applyBorder="1" applyAlignment="1">
      <alignment wrapText="1"/>
    </xf>
    <xf numFmtId="168" fontId="18" fillId="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17" fillId="9" borderId="4" xfId="0" applyFont="1" applyFill="1" applyBorder="1"/>
    <xf numFmtId="170" fontId="2" fillId="11" borderId="3" xfId="0" applyNumberFormat="1" applyFont="1" applyFill="1" applyBorder="1" applyAlignment="1" applyProtection="1">
      <alignment horizontal="center"/>
      <protection locked="0"/>
    </xf>
    <xf numFmtId="0" fontId="22" fillId="8" borderId="0" xfId="0" applyFont="1" applyFill="1" applyBorder="1" applyAlignment="1">
      <alignment horizontal="left"/>
    </xf>
    <xf numFmtId="0" fontId="22" fillId="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2" fillId="10" borderId="0" xfId="0" applyFont="1" applyFill="1" applyBorder="1" applyAlignment="1">
      <alignment horizontal="center"/>
    </xf>
    <xf numFmtId="10" fontId="2" fillId="11" borderId="3" xfId="1" applyNumberFormat="1" applyFont="1" applyFill="1" applyBorder="1" applyAlignment="1" applyProtection="1">
      <alignment horizontal="center"/>
      <protection locked="0"/>
    </xf>
    <xf numFmtId="49" fontId="2" fillId="11" borderId="3" xfId="0" applyNumberFormat="1" applyFont="1" applyFill="1" applyBorder="1" applyAlignment="1" applyProtection="1">
      <alignment horizontal="left" indent="1"/>
      <protection locked="0"/>
    </xf>
    <xf numFmtId="169" fontId="13" fillId="0" borderId="0" xfId="0" applyNumberFormat="1" applyFont="1" applyAlignment="1" applyProtection="1">
      <alignment horizontal="center" wrapText="1"/>
    </xf>
    <xf numFmtId="179" fontId="2" fillId="11" borderId="3" xfId="0" applyNumberFormat="1" applyFont="1" applyFill="1" applyBorder="1" applyAlignment="1" applyProtection="1">
      <alignment horizontal="center"/>
      <protection locked="0"/>
    </xf>
    <xf numFmtId="181" fontId="2" fillId="0" borderId="0" xfId="0" applyNumberFormat="1" applyFont="1" applyProtection="1"/>
    <xf numFmtId="169" fontId="3" fillId="0" borderId="0" xfId="0" applyNumberFormat="1" applyFont="1" applyAlignment="1" applyProtection="1">
      <alignment horizontal="center" wrapText="1"/>
    </xf>
    <xf numFmtId="169" fontId="4" fillId="0" borderId="0" xfId="0" applyNumberFormat="1" applyFont="1" applyProtection="1"/>
    <xf numFmtId="0" fontId="0" fillId="8" borderId="0" xfId="0" applyFont="1" applyFill="1" applyBorder="1" applyProtection="1"/>
    <xf numFmtId="0" fontId="20" fillId="8" borderId="0" xfId="0" applyFont="1" applyFill="1" applyBorder="1" applyAlignment="1" applyProtection="1">
      <alignment horizontal="left" vertical="center"/>
    </xf>
    <xf numFmtId="0" fontId="20" fillId="8" borderId="0" xfId="0" applyFont="1" applyFill="1" applyBorder="1" applyAlignment="1" applyProtection="1">
      <alignment horizontal="left" indent="9"/>
    </xf>
    <xf numFmtId="0" fontId="0" fillId="8" borderId="0" xfId="0" applyFont="1" applyFill="1" applyBorder="1" applyAlignment="1" applyProtection="1">
      <alignment horizontal="right"/>
    </xf>
    <xf numFmtId="0" fontId="2" fillId="10" borderId="0" xfId="0" applyFont="1" applyFill="1" applyBorder="1" applyAlignment="1" applyProtection="1">
      <alignment horizontal="center"/>
    </xf>
    <xf numFmtId="0" fontId="2" fillId="4" borderId="0" xfId="0" applyFont="1" applyFill="1" applyBorder="1" applyProtection="1"/>
    <xf numFmtId="0" fontId="2" fillId="5" borderId="0" xfId="0" applyFont="1" applyFill="1" applyBorder="1" applyProtection="1"/>
    <xf numFmtId="166" fontId="17" fillId="8" borderId="0" xfId="0" applyNumberFormat="1" applyFont="1" applyFill="1" applyBorder="1" applyAlignment="1" applyProtection="1">
      <alignment horizontal="center"/>
    </xf>
    <xf numFmtId="0" fontId="0" fillId="8" borderId="1" xfId="0" applyFont="1" applyFill="1" applyBorder="1" applyProtection="1"/>
    <xf numFmtId="0" fontId="22" fillId="8" borderId="1" xfId="0" applyFont="1" applyFill="1" applyBorder="1" applyAlignment="1" applyProtection="1">
      <alignment horizontal="left"/>
    </xf>
    <xf numFmtId="0" fontId="22" fillId="8" borderId="1" xfId="0" applyFont="1" applyFill="1" applyBorder="1" applyAlignment="1" applyProtection="1">
      <alignment horizontal="left" indent="9"/>
    </xf>
    <xf numFmtId="0" fontId="17" fillId="8" borderId="2" xfId="0" applyNumberFormat="1" applyFont="1" applyFill="1" applyBorder="1" applyProtection="1"/>
    <xf numFmtId="0" fontId="17" fillId="8" borderId="2" xfId="0" applyFont="1" applyFill="1" applyBorder="1" applyProtection="1"/>
    <xf numFmtId="0" fontId="23" fillId="8" borderId="2" xfId="0" applyNumberFormat="1" applyFont="1" applyFill="1" applyBorder="1" applyProtection="1"/>
    <xf numFmtId="0" fontId="23" fillId="9" borderId="4" xfId="0" applyFont="1" applyFill="1" applyBorder="1" applyProtection="1"/>
    <xf numFmtId="0" fontId="23" fillId="9" borderId="4" xfId="0" applyFont="1" applyFill="1" applyBorder="1" applyAlignment="1" applyProtection="1">
      <alignment horizontal="center"/>
    </xf>
    <xf numFmtId="0" fontId="14" fillId="9" borderId="4" xfId="0" applyFont="1" applyFill="1" applyBorder="1" applyAlignment="1" applyProtection="1">
      <alignment horizontal="center" vertical="center"/>
    </xf>
    <xf numFmtId="0" fontId="14" fillId="9" borderId="4" xfId="0" applyFont="1" applyFill="1" applyBorder="1" applyAlignment="1" applyProtection="1">
      <alignment vertical="center"/>
    </xf>
    <xf numFmtId="0" fontId="23" fillId="9" borderId="4" xfId="0" applyFont="1" applyFill="1" applyBorder="1" applyAlignment="1" applyProtection="1">
      <alignment wrapText="1"/>
    </xf>
    <xf numFmtId="168" fontId="14" fillId="9" borderId="4" xfId="0" applyNumberFormat="1" applyFont="1" applyFill="1" applyBorder="1" applyAlignment="1" applyProtection="1">
      <alignment horizontal="center" wrapText="1"/>
    </xf>
    <xf numFmtId="0" fontId="23" fillId="3" borderId="0" xfId="0" applyFont="1" applyFill="1" applyBorder="1" applyAlignment="1" applyProtection="1">
      <alignment wrapText="1"/>
    </xf>
    <xf numFmtId="0" fontId="23" fillId="3" borderId="0" xfId="0" applyFont="1" applyFill="1" applyAlignment="1" applyProtection="1">
      <alignment wrapText="1"/>
    </xf>
    <xf numFmtId="0" fontId="23" fillId="3" borderId="0" xfId="0" applyFont="1" applyFill="1" applyProtection="1"/>
    <xf numFmtId="0" fontId="23" fillId="0" borderId="0" xfId="0" applyFont="1" applyFill="1" applyProtection="1"/>
    <xf numFmtId="0" fontId="23" fillId="0" borderId="0" xfId="0" applyFont="1" applyProtection="1"/>
    <xf numFmtId="0" fontId="0" fillId="9" borderId="4" xfId="0" applyFill="1" applyBorder="1" applyProtection="1"/>
    <xf numFmtId="0" fontId="17" fillId="9" borderId="4" xfId="0" applyFont="1" applyFill="1" applyBorder="1" applyProtection="1"/>
    <xf numFmtId="0" fontId="18" fillId="9" borderId="4" xfId="0" applyFont="1" applyFill="1" applyBorder="1" applyAlignment="1" applyProtection="1">
      <alignment vertical="center"/>
    </xf>
    <xf numFmtId="0" fontId="0" fillId="9" borderId="4" xfId="0" applyFill="1" applyBorder="1" applyAlignment="1" applyProtection="1">
      <alignment wrapText="1"/>
    </xf>
    <xf numFmtId="168" fontId="18" fillId="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9" fontId="4" fillId="0" borderId="0" xfId="0" applyNumberFormat="1" applyFont="1" applyFill="1" applyBorder="1" applyProtection="1"/>
    <xf numFmtId="169" fontId="3" fillId="0" borderId="0" xfId="0" applyNumberFormat="1" applyFont="1" applyFill="1" applyAlignment="1" applyProtection="1">
      <alignment horizontal="center"/>
    </xf>
    <xf numFmtId="169" fontId="2" fillId="0" borderId="0" xfId="0" applyNumberFormat="1" applyFont="1" applyBorder="1" applyAlignment="1" applyProtection="1">
      <alignment horizontal="left" indent="1"/>
    </xf>
    <xf numFmtId="169" fontId="2" fillId="0" borderId="0" xfId="0" applyNumberFormat="1" applyFont="1" applyAlignment="1" applyProtection="1">
      <alignment horizontal="center"/>
    </xf>
    <xf numFmtId="184" fontId="2" fillId="0" borderId="0" xfId="0" applyNumberFormat="1" applyFont="1" applyAlignment="1" applyProtection="1">
      <alignment horizontal="center"/>
    </xf>
    <xf numFmtId="169" fontId="3" fillId="0" borderId="0" xfId="0" applyNumberFormat="1" applyFont="1" applyBorder="1" applyAlignment="1" applyProtection="1">
      <alignment horizontal="center"/>
    </xf>
    <xf numFmtId="169" fontId="2" fillId="0" borderId="0" xfId="0" applyNumberFormat="1" applyFont="1" applyAlignment="1" applyProtection="1">
      <alignment horizontal="left" indent="1"/>
    </xf>
    <xf numFmtId="169" fontId="3" fillId="0" borderId="7" xfId="0" applyNumberFormat="1" applyFont="1" applyBorder="1" applyAlignment="1" applyProtection="1">
      <alignment horizontal="center"/>
    </xf>
    <xf numFmtId="169" fontId="4" fillId="0" borderId="8" xfId="0" applyNumberFormat="1" applyFont="1" applyBorder="1" applyAlignment="1" applyProtection="1">
      <alignment horizontal="left" indent="1"/>
    </xf>
    <xf numFmtId="169" fontId="3" fillId="0" borderId="8" xfId="0" applyNumberFormat="1" applyFont="1" applyBorder="1" applyAlignment="1" applyProtection="1">
      <alignment horizontal="center"/>
    </xf>
    <xf numFmtId="184" fontId="4" fillId="0" borderId="0" xfId="0" applyNumberFormat="1" applyFont="1" applyAlignment="1" applyProtection="1">
      <alignment horizontal="center"/>
    </xf>
    <xf numFmtId="169" fontId="3" fillId="0" borderId="0" xfId="0" applyNumberFormat="1" applyFont="1" applyAlignment="1" applyProtection="1">
      <alignment horizontal="left"/>
    </xf>
    <xf numFmtId="10" fontId="2" fillId="0" borderId="0" xfId="1" applyNumberFormat="1" applyFont="1" applyAlignment="1" applyProtection="1">
      <alignment horizontal="center"/>
    </xf>
    <xf numFmtId="169" fontId="4" fillId="0" borderId="8" xfId="0" applyNumberFormat="1" applyFont="1" applyBorder="1" applyProtection="1"/>
    <xf numFmtId="175" fontId="2" fillId="0" borderId="0" xfId="0" applyNumberFormat="1" applyFont="1" applyAlignment="1" applyProtection="1">
      <alignment horizontal="center"/>
    </xf>
    <xf numFmtId="169" fontId="4" fillId="0" borderId="0" xfId="0" applyNumberFormat="1" applyFont="1" applyBorder="1" applyAlignment="1" applyProtection="1">
      <alignment horizontal="center"/>
    </xf>
    <xf numFmtId="169" fontId="2" fillId="0" borderId="0" xfId="0" applyNumberFormat="1" applyFont="1" applyFill="1" applyAlignment="1" applyProtection="1">
      <alignment horizontal="left" indent="2"/>
    </xf>
    <xf numFmtId="169" fontId="13" fillId="0" borderId="8" xfId="0" applyNumberFormat="1" applyFont="1" applyBorder="1" applyAlignment="1" applyProtection="1">
      <alignment horizontal="center"/>
    </xf>
    <xf numFmtId="169" fontId="4" fillId="0" borderId="0" xfId="0" applyNumberFormat="1" applyFont="1" applyBorder="1" applyAlignment="1" applyProtection="1">
      <alignment horizontal="left" indent="1"/>
    </xf>
    <xf numFmtId="169" fontId="4" fillId="0" borderId="0" xfId="0" applyNumberFormat="1" applyFont="1" applyBorder="1" applyProtection="1"/>
    <xf numFmtId="181" fontId="4" fillId="0" borderId="0" xfId="0" applyNumberFormat="1" applyFont="1" applyBorder="1" applyAlignment="1" applyProtection="1">
      <alignment horizontal="center"/>
    </xf>
    <xf numFmtId="169" fontId="13" fillId="0" borderId="0" xfId="0" applyNumberFormat="1" applyFont="1" applyBorder="1" applyAlignment="1" applyProtection="1">
      <alignment horizontal="center"/>
    </xf>
    <xf numFmtId="187" fontId="2" fillId="0" borderId="0" xfId="0" applyNumberFormat="1" applyFont="1" applyAlignment="1" applyProtection="1">
      <alignment horizontal="center"/>
    </xf>
    <xf numFmtId="185" fontId="8" fillId="0" borderId="4" xfId="0" applyNumberFormat="1" applyFont="1" applyFill="1" applyBorder="1" applyAlignment="1" applyProtection="1">
      <alignment horizontal="center" vertical="center"/>
    </xf>
    <xf numFmtId="49" fontId="3" fillId="11" borderId="11" xfId="0" applyNumberFormat="1" applyFont="1" applyFill="1" applyBorder="1" applyAlignment="1" applyProtection="1">
      <alignment horizontal="center"/>
      <protection locked="0"/>
    </xf>
    <xf numFmtId="166" fontId="8" fillId="0" borderId="0" xfId="0" applyNumberFormat="1" applyFont="1" applyBorder="1" applyAlignment="1" applyProtection="1">
      <alignment horizontal="center"/>
    </xf>
    <xf numFmtId="0" fontId="6" fillId="8" borderId="2" xfId="0" applyNumberFormat="1" applyFont="1" applyFill="1" applyBorder="1" applyProtection="1"/>
    <xf numFmtId="0" fontId="6" fillId="8" borderId="2" xfId="0" applyFont="1" applyFill="1" applyBorder="1" applyProtection="1"/>
    <xf numFmtId="0" fontId="7" fillId="8" borderId="2" xfId="0" applyNumberFormat="1" applyFont="1" applyFill="1" applyBorder="1" applyAlignment="1" applyProtection="1">
      <alignment horizontal="center"/>
    </xf>
    <xf numFmtId="0" fontId="7" fillId="8" borderId="2" xfId="0" applyNumberFormat="1" applyFont="1" applyFill="1" applyBorder="1" applyProtection="1"/>
    <xf numFmtId="169" fontId="4" fillId="0" borderId="7" xfId="0" applyNumberFormat="1" applyFont="1" applyBorder="1" applyProtection="1"/>
    <xf numFmtId="169" fontId="2" fillId="0" borderId="7" xfId="0" applyNumberFormat="1" applyFont="1" applyBorder="1" applyProtection="1"/>
    <xf numFmtId="169" fontId="4" fillId="0" borderId="4" xfId="0" applyNumberFormat="1" applyFont="1" applyBorder="1" applyAlignment="1" applyProtection="1">
      <alignment horizontal="left"/>
    </xf>
    <xf numFmtId="169" fontId="3" fillId="0" borderId="4" xfId="0" applyNumberFormat="1" applyFont="1" applyBorder="1" applyAlignment="1" applyProtection="1">
      <alignment horizontal="center"/>
    </xf>
    <xf numFmtId="166" fontId="2" fillId="0" borderId="0" xfId="0" applyNumberFormat="1" applyFont="1" applyProtection="1"/>
    <xf numFmtId="169" fontId="2" fillId="0" borderId="0" xfId="0" applyNumberFormat="1" applyFont="1" applyBorder="1" applyProtection="1"/>
    <xf numFmtId="10" fontId="2" fillId="0" borderId="0" xfId="1" applyNumberFormat="1" applyFont="1" applyBorder="1" applyAlignment="1" applyProtection="1">
      <alignment horizontal="center"/>
    </xf>
    <xf numFmtId="169" fontId="3" fillId="0" borderId="0" xfId="3" applyNumberFormat="1" applyFont="1" applyAlignment="1" applyProtection="1">
      <alignment horizontal="center"/>
    </xf>
    <xf numFmtId="172" fontId="11" fillId="0" borderId="0" xfId="1" applyNumberFormat="1" applyFont="1" applyFill="1" applyBorder="1" applyAlignment="1" applyProtection="1">
      <alignment horizontal="center" vertical="center"/>
    </xf>
    <xf numFmtId="175" fontId="2" fillId="0" borderId="0" xfId="0" applyNumberFormat="1" applyFont="1" applyProtection="1"/>
    <xf numFmtId="169" fontId="2" fillId="0" borderId="0" xfId="0" applyNumberFormat="1" applyFont="1" applyAlignment="1" applyProtection="1">
      <alignment horizontal="left"/>
    </xf>
    <xf numFmtId="180" fontId="2" fillId="7" borderId="3" xfId="0" applyNumberFormat="1" applyFont="1" applyFill="1" applyBorder="1" applyAlignment="1" applyProtection="1">
      <alignment horizontal="left" indent="1"/>
    </xf>
    <xf numFmtId="0" fontId="24" fillId="9" borderId="4" xfId="0" applyFont="1" applyFill="1" applyBorder="1" applyAlignment="1" applyProtection="1"/>
    <xf numFmtId="182" fontId="3" fillId="11" borderId="3" xfId="1" applyNumberFormat="1" applyFont="1" applyFill="1" applyBorder="1" applyAlignment="1" applyProtection="1">
      <alignment horizontal="center"/>
      <protection locked="0"/>
    </xf>
    <xf numFmtId="169" fontId="2" fillId="0" borderId="0" xfId="0" applyNumberFormat="1" applyFont="1" applyProtection="1">
      <protection locked="0"/>
    </xf>
    <xf numFmtId="188" fontId="2" fillId="11" borderId="3" xfId="0" applyNumberFormat="1" applyFont="1" applyFill="1" applyBorder="1" applyAlignment="1" applyProtection="1">
      <alignment horizontal="center"/>
      <protection locked="0"/>
    </xf>
    <xf numFmtId="1" fontId="2" fillId="11" borderId="3" xfId="0" applyNumberFormat="1" applyFont="1" applyFill="1" applyBorder="1" applyAlignment="1" applyProtection="1">
      <alignment horizontal="center"/>
      <protection locked="0"/>
    </xf>
    <xf numFmtId="189" fontId="26" fillId="8" borderId="2" xfId="0" applyNumberFormat="1" applyFont="1" applyFill="1" applyBorder="1" applyAlignment="1" applyProtection="1">
      <alignment horizontal="center"/>
    </xf>
    <xf numFmtId="189" fontId="23" fillId="8" borderId="2" xfId="0" applyNumberFormat="1" applyFont="1" applyFill="1" applyBorder="1" applyAlignment="1" applyProtection="1">
      <alignment horizontal="left"/>
    </xf>
    <xf numFmtId="189" fontId="4" fillId="0" borderId="7" xfId="0" applyNumberFormat="1" applyFont="1" applyBorder="1" applyAlignment="1" applyProtection="1">
      <alignment horizontal="center"/>
    </xf>
    <xf numFmtId="189" fontId="3" fillId="0" borderId="0" xfId="0" applyNumberFormat="1" applyFont="1" applyAlignment="1" applyProtection="1">
      <alignment horizontal="center"/>
    </xf>
    <xf numFmtId="189" fontId="3" fillId="11" borderId="11" xfId="0" applyNumberFormat="1" applyFont="1" applyFill="1" applyBorder="1" applyAlignment="1" applyProtection="1">
      <alignment horizontal="center"/>
      <protection locked="0"/>
    </xf>
    <xf numFmtId="189" fontId="4" fillId="0" borderId="0" xfId="0" applyNumberFormat="1" applyFont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169" fontId="2" fillId="0" borderId="0" xfId="0" applyNumberFormat="1" applyFont="1" applyFill="1" applyBorder="1" applyProtection="1"/>
    <xf numFmtId="169" fontId="3" fillId="0" borderId="0" xfId="0" applyNumberFormat="1" applyFont="1" applyFill="1" applyBorder="1" applyAlignment="1" applyProtection="1">
      <alignment horizontal="center"/>
    </xf>
    <xf numFmtId="10" fontId="2" fillId="0" borderId="0" xfId="1" applyNumberFormat="1" applyFont="1" applyFill="1" applyBorder="1" applyAlignment="1" applyProtection="1">
      <alignment horizontal="center"/>
      <protection locked="0"/>
    </xf>
    <xf numFmtId="182" fontId="2" fillId="0" borderId="0" xfId="1" applyNumberFormat="1" applyFont="1" applyFill="1" applyBorder="1" applyAlignment="1" applyProtection="1">
      <alignment horizontal="center"/>
      <protection locked="0"/>
    </xf>
    <xf numFmtId="189" fontId="2" fillId="11" borderId="3" xfId="1" applyNumberFormat="1" applyFont="1" applyFill="1" applyBorder="1" applyAlignment="1" applyProtection="1">
      <alignment horizontal="center"/>
      <protection locked="0"/>
    </xf>
    <xf numFmtId="0" fontId="23" fillId="8" borderId="15" xfId="0" applyNumberFormat="1" applyFont="1" applyFill="1" applyBorder="1" applyAlignment="1" applyProtection="1"/>
    <xf numFmtId="169" fontId="2" fillId="0" borderId="0" xfId="0" applyNumberFormat="1" applyFont="1" applyBorder="1" applyAlignment="1" applyProtection="1">
      <alignment horizontal="center"/>
    </xf>
    <xf numFmtId="187" fontId="2" fillId="0" borderId="0" xfId="0" applyNumberFormat="1" applyFont="1" applyBorder="1" applyAlignment="1" applyProtection="1">
      <alignment horizontal="center"/>
    </xf>
    <xf numFmtId="184" fontId="4" fillId="0" borderId="0" xfId="0" applyNumberFormat="1" applyFont="1" applyBorder="1" applyAlignment="1" applyProtection="1">
      <alignment horizontal="center"/>
    </xf>
    <xf numFmtId="169" fontId="4" fillId="0" borderId="7" xfId="0" applyNumberFormat="1" applyFont="1" applyBorder="1" applyAlignment="1" applyProtection="1">
      <alignment horizontal="left" indent="1"/>
    </xf>
    <xf numFmtId="190" fontId="2" fillId="0" borderId="0" xfId="1" applyNumberFormat="1" applyFont="1" applyFill="1" applyBorder="1" applyAlignment="1" applyProtection="1">
      <alignment horizontal="center"/>
    </xf>
    <xf numFmtId="0" fontId="10" fillId="8" borderId="0" xfId="2" applyFill="1" applyBorder="1" applyAlignment="1">
      <alignment horizontal="right"/>
    </xf>
    <xf numFmtId="0" fontId="23" fillId="8" borderId="2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/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189" fontId="2" fillId="0" borderId="3" xfId="0" applyNumberFormat="1" applyFont="1" applyFill="1" applyBorder="1" applyAlignment="1" applyProtection="1">
      <alignment horizontal="center"/>
      <protection locked="0"/>
    </xf>
    <xf numFmtId="2" fontId="8" fillId="0" borderId="4" xfId="0" applyNumberFormat="1" applyFont="1" applyFill="1" applyBorder="1" applyAlignment="1" applyProtection="1">
      <alignment horizontal="center" vertical="center"/>
    </xf>
    <xf numFmtId="0" fontId="10" fillId="8" borderId="0" xfId="2" applyFill="1" applyBorder="1" applyAlignment="1" applyProtection="1">
      <alignment horizontal="right"/>
    </xf>
    <xf numFmtId="181" fontId="2" fillId="0" borderId="0" xfId="0" applyNumberFormat="1" applyFont="1" applyProtection="1">
      <protection locked="0"/>
    </xf>
    <xf numFmtId="181" fontId="4" fillId="0" borderId="0" xfId="0" applyNumberFormat="1" applyFont="1" applyProtection="1">
      <protection locked="0"/>
    </xf>
    <xf numFmtId="49" fontId="3" fillId="0" borderId="11" xfId="0" applyNumberFormat="1" applyFont="1" applyFill="1" applyBorder="1" applyAlignment="1" applyProtection="1">
      <alignment horizontal="center"/>
    </xf>
    <xf numFmtId="189" fontId="3" fillId="0" borderId="11" xfId="0" applyNumberFormat="1" applyFont="1" applyFill="1" applyBorder="1" applyAlignment="1" applyProtection="1">
      <alignment horizontal="center"/>
    </xf>
    <xf numFmtId="10" fontId="2" fillId="0" borderId="0" xfId="1" applyNumberFormat="1" applyFont="1" applyFill="1" applyBorder="1" applyAlignment="1" applyProtection="1">
      <alignment horizontal="center"/>
    </xf>
    <xf numFmtId="177" fontId="2" fillId="0" borderId="0" xfId="1" applyNumberFormat="1" applyFont="1" applyAlignment="1" applyProtection="1">
      <alignment horizontal="center"/>
      <protection locked="0"/>
    </xf>
    <xf numFmtId="174" fontId="8" fillId="0" borderId="0" xfId="0" applyNumberFormat="1" applyFont="1" applyFill="1" applyBorder="1" applyAlignment="1" applyProtection="1">
      <alignment horizontal="center" vertical="center"/>
      <protection locked="0"/>
    </xf>
    <xf numFmtId="169" fontId="11" fillId="0" borderId="0" xfId="0" applyNumberFormat="1" applyFont="1" applyFill="1" applyBorder="1" applyAlignment="1" applyProtection="1">
      <alignment horizontal="center" vertical="center"/>
      <protection locked="0"/>
    </xf>
    <xf numFmtId="169" fontId="2" fillId="0" borderId="0" xfId="0" applyNumberFormat="1" applyFont="1" applyAlignment="1" applyProtection="1">
      <alignment horizontal="center"/>
      <protection locked="0"/>
    </xf>
    <xf numFmtId="169" fontId="2" fillId="0" borderId="0" xfId="0" applyNumberFormat="1" applyFont="1" applyFill="1" applyProtection="1"/>
    <xf numFmtId="189" fontId="2" fillId="0" borderId="0" xfId="1" applyNumberFormat="1" applyFont="1" applyFill="1" applyBorder="1" applyAlignment="1" applyProtection="1">
      <alignment horizontal="center"/>
      <protection locked="0"/>
    </xf>
    <xf numFmtId="169" fontId="13" fillId="0" borderId="0" xfId="0" applyNumberFormat="1" applyFont="1" applyFill="1" applyAlignment="1" applyProtection="1">
      <alignment horizontal="center"/>
    </xf>
    <xf numFmtId="169" fontId="2" fillId="0" borderId="0" xfId="0" applyNumberFormat="1" applyFont="1" applyFill="1" applyBorder="1" applyAlignment="1" applyProtection="1">
      <alignment horizontal="center"/>
      <protection locked="0"/>
    </xf>
    <xf numFmtId="177" fontId="2" fillId="0" borderId="0" xfId="1" applyNumberFormat="1" applyFont="1" applyFill="1" applyBorder="1" applyAlignment="1" applyProtection="1">
      <alignment horizontal="center"/>
      <protection locked="0"/>
    </xf>
    <xf numFmtId="189" fontId="3" fillId="0" borderId="11" xfId="0" applyNumberFormat="1" applyFont="1" applyFill="1" applyBorder="1" applyAlignment="1" applyProtection="1">
      <alignment horizontal="center"/>
      <protection locked="0"/>
    </xf>
    <xf numFmtId="169" fontId="3" fillId="0" borderId="0" xfId="0" applyNumberFormat="1" applyFont="1" applyAlignment="1" applyProtection="1">
      <alignment horizontal="center"/>
      <protection locked="0"/>
    </xf>
    <xf numFmtId="169" fontId="3" fillId="0" borderId="0" xfId="0" applyNumberFormat="1" applyFont="1" applyFill="1" applyBorder="1" applyAlignment="1" applyProtection="1">
      <alignment horizontal="center"/>
      <protection locked="0"/>
    </xf>
    <xf numFmtId="189" fontId="14" fillId="7" borderId="9" xfId="0" applyNumberFormat="1" applyFont="1" applyFill="1" applyBorder="1" applyAlignment="1" applyProtection="1">
      <alignment horizontal="center"/>
      <protection locked="0"/>
    </xf>
    <xf numFmtId="191" fontId="2" fillId="0" borderId="0" xfId="0" applyNumberFormat="1" applyFont="1" applyProtection="1">
      <protection locked="0"/>
    </xf>
    <xf numFmtId="10" fontId="11" fillId="0" borderId="0" xfId="1" applyNumberFormat="1" applyFont="1" applyFill="1" applyBorder="1" applyAlignment="1" applyProtection="1">
      <alignment horizontal="center" vertical="center"/>
    </xf>
    <xf numFmtId="10" fontId="2" fillId="0" borderId="0" xfId="1" applyNumberFormat="1" applyFont="1" applyProtection="1">
      <protection locked="0"/>
    </xf>
    <xf numFmtId="189" fontId="11" fillId="7" borderId="9" xfId="0" applyNumberFormat="1" applyFont="1" applyFill="1" applyBorder="1" applyAlignment="1" applyProtection="1">
      <alignment horizontal="center"/>
      <protection locked="0"/>
    </xf>
    <xf numFmtId="180" fontId="4" fillId="7" borderId="16" xfId="0" applyNumberFormat="1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89" fontId="2" fillId="0" borderId="0" xfId="0" applyNumberFormat="1" applyFont="1" applyFill="1" applyBorder="1" applyAlignment="1" applyProtection="1">
      <alignment horizontal="center"/>
      <protection locked="0"/>
    </xf>
    <xf numFmtId="169" fontId="4" fillId="0" borderId="0" xfId="0" applyNumberFormat="1" applyFont="1" applyBorder="1" applyAlignment="1">
      <alignment horizontal="center"/>
    </xf>
    <xf numFmtId="169" fontId="3" fillId="11" borderId="3" xfId="0" applyNumberFormat="1" applyFont="1" applyFill="1" applyBorder="1" applyAlignment="1" applyProtection="1">
      <alignment horizontal="center"/>
    </xf>
    <xf numFmtId="189" fontId="3" fillId="11" borderId="3" xfId="0" applyNumberFormat="1" applyFont="1" applyFill="1" applyBorder="1" applyAlignment="1" applyProtection="1">
      <alignment horizontal="center"/>
    </xf>
    <xf numFmtId="0" fontId="21" fillId="8" borderId="0" xfId="2" applyFont="1" applyFill="1" applyBorder="1" applyAlignment="1" applyProtection="1"/>
    <xf numFmtId="10" fontId="2" fillId="11" borderId="3" xfId="1" applyNumberFormat="1" applyFont="1" applyFill="1" applyBorder="1" applyAlignment="1" applyProtection="1">
      <alignment horizontal="center"/>
    </xf>
    <xf numFmtId="49" fontId="2" fillId="11" borderId="3" xfId="0" applyNumberFormat="1" applyFont="1" applyFill="1" applyBorder="1" applyAlignment="1" applyProtection="1">
      <alignment horizontal="left" indent="1"/>
    </xf>
    <xf numFmtId="0" fontId="23" fillId="8" borderId="2" xfId="0" applyNumberFormat="1" applyFont="1" applyFill="1" applyBorder="1" applyAlignment="1" applyProtection="1">
      <alignment horizontal="center"/>
    </xf>
    <xf numFmtId="179" fontId="11" fillId="11" borderId="3" xfId="0" applyNumberFormat="1" applyFont="1" applyFill="1" applyBorder="1" applyAlignment="1" applyProtection="1">
      <alignment horizontal="center"/>
      <protection locked="0"/>
    </xf>
    <xf numFmtId="179" fontId="11" fillId="11" borderId="17" xfId="0" applyNumberFormat="1" applyFont="1" applyFill="1" applyBorder="1" applyAlignment="1" applyProtection="1">
      <alignment horizontal="center"/>
      <protection locked="0"/>
    </xf>
    <xf numFmtId="169" fontId="13" fillId="0" borderId="0" xfId="0" applyNumberFormat="1" applyFont="1" applyAlignment="1">
      <alignment horizontal="left"/>
    </xf>
    <xf numFmtId="10" fontId="2" fillId="0" borderId="0" xfId="0" applyNumberFormat="1" applyFont="1" applyProtection="1"/>
    <xf numFmtId="192" fontId="2" fillId="0" borderId="0" xfId="47" applyNumberFormat="1" applyFont="1" applyFill="1" applyBorder="1" applyProtection="1"/>
    <xf numFmtId="181" fontId="15" fillId="0" borderId="0" xfId="0" applyNumberFormat="1" applyFont="1" applyProtection="1">
      <protection locked="0"/>
    </xf>
    <xf numFmtId="169" fontId="27" fillId="0" borderId="0" xfId="0" applyNumberFormat="1" applyFont="1" applyAlignment="1" applyProtection="1">
      <alignment horizontal="center"/>
    </xf>
    <xf numFmtId="169" fontId="28" fillId="0" borderId="0" xfId="0" applyNumberFormat="1" applyFont="1" applyProtection="1"/>
    <xf numFmtId="184" fontId="2" fillId="0" borderId="0" xfId="0" applyNumberFormat="1" applyFont="1" applyFill="1" applyAlignment="1" applyProtection="1">
      <alignment horizontal="center"/>
    </xf>
    <xf numFmtId="186" fontId="4" fillId="0" borderId="0" xfId="0" applyNumberFormat="1" applyFont="1" applyFill="1" applyBorder="1" applyAlignment="1" applyProtection="1">
      <alignment horizontal="center"/>
    </xf>
    <xf numFmtId="187" fontId="4" fillId="0" borderId="0" xfId="0" applyNumberFormat="1" applyFont="1" applyFill="1" applyBorder="1" applyAlignment="1" applyProtection="1">
      <alignment horizontal="center"/>
    </xf>
    <xf numFmtId="184" fontId="4" fillId="0" borderId="0" xfId="0" applyNumberFormat="1" applyFont="1" applyFill="1" applyBorder="1" applyAlignment="1" applyProtection="1">
      <alignment horizontal="center"/>
    </xf>
    <xf numFmtId="0" fontId="20" fillId="15" borderId="0" xfId="0" applyFont="1" applyFill="1" applyBorder="1" applyAlignment="1" applyProtection="1">
      <alignment horizontal="left" vertical="center"/>
    </xf>
    <xf numFmtId="0" fontId="22" fillId="15" borderId="1" xfId="0" applyFont="1" applyFill="1" applyBorder="1" applyAlignment="1" applyProtection="1">
      <alignment horizontal="left"/>
    </xf>
    <xf numFmtId="166" fontId="17" fillId="15" borderId="0" xfId="0" applyNumberFormat="1" applyFont="1" applyFill="1" applyBorder="1" applyAlignment="1" applyProtection="1">
      <alignment horizontal="center"/>
    </xf>
    <xf numFmtId="189" fontId="23" fillId="16" borderId="4" xfId="0" applyNumberFormat="1" applyFont="1" applyFill="1" applyBorder="1" applyAlignment="1" applyProtection="1">
      <alignment horizontal="center" wrapText="1"/>
    </xf>
    <xf numFmtId="169" fontId="14" fillId="11" borderId="9" xfId="0" applyNumberFormat="1" applyFont="1" applyFill="1" applyBorder="1" applyAlignment="1" applyProtection="1">
      <alignment horizontal="center"/>
      <protection locked="0"/>
    </xf>
    <xf numFmtId="189" fontId="4" fillId="0" borderId="0" xfId="0" applyNumberFormat="1" applyFont="1" applyFill="1" applyBorder="1" applyAlignment="1" applyProtection="1">
      <alignment horizontal="center"/>
    </xf>
    <xf numFmtId="189" fontId="3" fillId="0" borderId="0" xfId="0" applyNumberFormat="1" applyFont="1" applyFill="1" applyAlignment="1" applyProtection="1">
      <alignment horizontal="center"/>
    </xf>
    <xf numFmtId="169" fontId="3" fillId="0" borderId="8" xfId="0" applyNumberFormat="1" applyFont="1" applyFill="1" applyBorder="1" applyAlignment="1" applyProtection="1">
      <alignment horizontal="center"/>
    </xf>
    <xf numFmtId="184" fontId="4" fillId="0" borderId="0" xfId="0" applyNumberFormat="1" applyFont="1" applyFill="1" applyAlignment="1" applyProtection="1">
      <alignment horizontal="center"/>
    </xf>
    <xf numFmtId="169" fontId="4" fillId="0" borderId="0" xfId="0" applyNumberFormat="1" applyFont="1" applyFill="1" applyBorder="1" applyAlignment="1" applyProtection="1">
      <alignment horizontal="left" indent="1"/>
    </xf>
    <xf numFmtId="169" fontId="3" fillId="0" borderId="7" xfId="0" applyNumberFormat="1" applyFont="1" applyFill="1" applyBorder="1" applyAlignment="1" applyProtection="1">
      <alignment horizontal="center"/>
    </xf>
    <xf numFmtId="189" fontId="3" fillId="0" borderId="7" xfId="0" applyNumberFormat="1" applyFont="1" applyFill="1" applyBorder="1" applyAlignment="1" applyProtection="1">
      <alignment horizontal="center"/>
    </xf>
    <xf numFmtId="181" fontId="2" fillId="0" borderId="0" xfId="0" applyNumberFormat="1" applyFont="1" applyFill="1" applyProtection="1"/>
    <xf numFmtId="10" fontId="2" fillId="0" borderId="0" xfId="1" applyNumberFormat="1" applyFont="1" applyFill="1" applyAlignment="1" applyProtection="1">
      <alignment horizontal="center"/>
    </xf>
    <xf numFmtId="187" fontId="2" fillId="0" borderId="0" xfId="0" applyNumberFormat="1" applyFont="1" applyFill="1" applyAlignment="1" applyProtection="1">
      <alignment horizontal="center"/>
    </xf>
    <xf numFmtId="169" fontId="13" fillId="0" borderId="8" xfId="0" applyNumberFormat="1" applyFont="1" applyFill="1" applyBorder="1" applyAlignment="1" applyProtection="1">
      <alignment horizontal="center"/>
    </xf>
    <xf numFmtId="189" fontId="13" fillId="0" borderId="0" xfId="0" applyNumberFormat="1" applyFont="1" applyFill="1" applyAlignment="1" applyProtection="1">
      <alignment horizontal="center"/>
    </xf>
    <xf numFmtId="187" fontId="4" fillId="0" borderId="0" xfId="0" applyNumberFormat="1" applyFont="1" applyFill="1" applyAlignment="1" applyProtection="1">
      <alignment horizontal="center"/>
    </xf>
    <xf numFmtId="169" fontId="13" fillId="0" borderId="0" xfId="0" applyNumberFormat="1" applyFont="1" applyFill="1" applyBorder="1" applyAlignment="1" applyProtection="1">
      <alignment horizontal="center"/>
    </xf>
    <xf numFmtId="189" fontId="4" fillId="0" borderId="7" xfId="0" applyNumberFormat="1" applyFont="1" applyFill="1" applyBorder="1" applyAlignment="1" applyProtection="1">
      <alignment horizontal="center"/>
    </xf>
    <xf numFmtId="169" fontId="4" fillId="0" borderId="0" xfId="0" applyNumberFormat="1" applyFont="1" applyFill="1" applyProtection="1"/>
    <xf numFmtId="169" fontId="4" fillId="0" borderId="0" xfId="0" applyNumberFormat="1" applyFont="1" applyFill="1" applyBorder="1" applyAlignment="1" applyProtection="1">
      <alignment horizontal="center"/>
    </xf>
    <xf numFmtId="189" fontId="2" fillId="0" borderId="0" xfId="0" applyNumberFormat="1" applyFont="1" applyFill="1" applyAlignment="1" applyProtection="1">
      <alignment horizontal="left" indent="1"/>
    </xf>
    <xf numFmtId="169" fontId="3" fillId="0" borderId="0" xfId="3" applyNumberFormat="1" applyFont="1" applyFill="1" applyAlignment="1" applyProtection="1">
      <alignment horizontal="center"/>
    </xf>
    <xf numFmtId="0" fontId="2" fillId="5" borderId="0" xfId="0" applyNumberFormat="1" applyFont="1" applyFill="1" applyBorder="1" applyProtection="1"/>
    <xf numFmtId="189" fontId="2" fillId="7" borderId="3" xfId="1" applyNumberFormat="1" applyFont="1" applyFill="1" applyBorder="1" applyAlignment="1" applyProtection="1">
      <alignment horizontal="center"/>
      <protection locked="0"/>
    </xf>
    <xf numFmtId="169" fontId="2" fillId="0" borderId="0" xfId="0" applyNumberFormat="1" applyFont="1" applyFill="1" applyAlignment="1" applyProtection="1">
      <alignment horizontal="left" indent="1"/>
    </xf>
    <xf numFmtId="169" fontId="15" fillId="0" borderId="0" xfId="0" applyNumberFormat="1" applyFont="1" applyProtection="1"/>
    <xf numFmtId="169" fontId="3" fillId="0" borderId="4" xfId="0" applyNumberFormat="1" applyFont="1" applyFill="1" applyBorder="1" applyAlignment="1" applyProtection="1">
      <alignment horizontal="center"/>
    </xf>
    <xf numFmtId="166" fontId="17" fillId="15" borderId="0" xfId="0" applyNumberFormat="1" applyFont="1" applyFill="1" applyBorder="1" applyAlignment="1">
      <alignment horizontal="center"/>
    </xf>
    <xf numFmtId="166" fontId="2" fillId="0" borderId="0" xfId="0" applyNumberFormat="1" applyFont="1" applyProtection="1"/>
    <xf numFmtId="183" fontId="2" fillId="0" borderId="0" xfId="0" applyNumberFormat="1" applyFont="1" applyFill="1" applyAlignment="1" applyProtection="1">
      <alignment horizontal="left"/>
    </xf>
    <xf numFmtId="166" fontId="8" fillId="0" borderId="3" xfId="0" applyNumberFormat="1" applyFont="1" applyFill="1" applyBorder="1" applyAlignment="1" applyProtection="1">
      <alignment horizontal="center"/>
    </xf>
    <xf numFmtId="166" fontId="8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Protection="1"/>
    <xf numFmtId="10" fontId="2" fillId="14" borderId="3" xfId="0" applyNumberFormat="1" applyFont="1" applyFill="1" applyBorder="1" applyAlignment="1" applyProtection="1">
      <alignment horizontal="center"/>
      <protection locked="0"/>
    </xf>
    <xf numFmtId="172" fontId="2" fillId="14" borderId="14" xfId="1" applyNumberFormat="1" applyFont="1" applyFill="1" applyBorder="1" applyAlignment="1" applyProtection="1">
      <alignment horizontal="center"/>
      <protection locked="0"/>
    </xf>
    <xf numFmtId="172" fontId="2" fillId="11" borderId="3" xfId="1" applyNumberFormat="1" applyFont="1" applyFill="1" applyBorder="1" applyAlignment="1" applyProtection="1">
      <alignment horizontal="center"/>
      <protection locked="0"/>
    </xf>
    <xf numFmtId="172" fontId="2" fillId="13" borderId="14" xfId="1" applyNumberFormat="1" applyFont="1" applyFill="1" applyBorder="1" applyAlignment="1" applyProtection="1">
      <alignment horizontal="center"/>
      <protection locked="0"/>
    </xf>
    <xf numFmtId="172" fontId="2" fillId="0" borderId="0" xfId="1" applyNumberFormat="1" applyFont="1" applyFill="1" applyAlignment="1" applyProtection="1">
      <alignment horizontal="center"/>
      <protection locked="0"/>
    </xf>
    <xf numFmtId="172" fontId="2" fillId="0" borderId="0" xfId="0" applyNumberFormat="1" applyFont="1" applyProtection="1">
      <protection locked="0"/>
    </xf>
    <xf numFmtId="172" fontId="2" fillId="0" borderId="0" xfId="1" applyNumberFormat="1" applyFont="1" applyProtection="1">
      <protection locked="0"/>
    </xf>
    <xf numFmtId="171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Fill="1" applyAlignment="1" applyProtection="1">
      <alignment horizontal="center"/>
      <protection locked="0"/>
    </xf>
    <xf numFmtId="2" fontId="2" fillId="11" borderId="3" xfId="0" applyNumberFormat="1" applyFont="1" applyFill="1" applyBorder="1" applyAlignment="1" applyProtection="1"/>
    <xf numFmtId="2" fontId="2" fillId="11" borderId="3" xfId="0" applyNumberFormat="1" applyFont="1" applyFill="1" applyBorder="1" applyAlignment="1" applyProtection="1">
      <alignment horizontal="center"/>
    </xf>
    <xf numFmtId="187" fontId="2" fillId="11" borderId="3" xfId="0" applyNumberFormat="1" applyFont="1" applyFill="1" applyBorder="1" applyAlignment="1" applyProtection="1">
      <alignment horizontal="center"/>
    </xf>
    <xf numFmtId="169" fontId="10" fillId="0" borderId="0" xfId="2" applyNumberFormat="1"/>
    <xf numFmtId="169" fontId="12" fillId="0" borderId="0" xfId="2" applyNumberFormat="1" applyFont="1"/>
    <xf numFmtId="171" fontId="2" fillId="0" borderId="0" xfId="39" applyFont="1" applyFill="1">
      <alignment horizontal="center"/>
    </xf>
    <xf numFmtId="0" fontId="10" fillId="9" borderId="4" xfId="2" applyFill="1" applyBorder="1"/>
    <xf numFmtId="172" fontId="11" fillId="0" borderId="0" xfId="12" applyFont="1" applyFill="1" applyBorder="1" applyProtection="1">
      <alignment horizontal="center" vertical="center"/>
    </xf>
    <xf numFmtId="2" fontId="2" fillId="11" borderId="18" xfId="32" applyNumberFormat="1" applyFont="1" applyFill="1" applyAlignment="1" applyProtection="1">
      <alignment horizontal="center"/>
    </xf>
    <xf numFmtId="174" fontId="2" fillId="0" borderId="0" xfId="48" applyFont="1">
      <alignment horizontal="center"/>
    </xf>
    <xf numFmtId="171" fontId="2" fillId="0" borderId="0" xfId="39" applyFont="1" applyFill="1" applyBorder="1">
      <alignment horizontal="center"/>
    </xf>
    <xf numFmtId="176" fontId="0" fillId="0" borderId="0" xfId="38" applyFont="1">
      <alignment horizontal="center" vertical="center"/>
    </xf>
    <xf numFmtId="176" fontId="2" fillId="0" borderId="0" xfId="38" applyFont="1" applyFill="1" applyBorder="1" applyProtection="1">
      <alignment horizontal="center" vertical="center"/>
      <protection locked="0"/>
    </xf>
    <xf numFmtId="174" fontId="2" fillId="0" borderId="0" xfId="48" applyFont="1" applyFill="1">
      <alignment horizontal="center"/>
    </xf>
    <xf numFmtId="172" fontId="2" fillId="0" borderId="0" xfId="12" applyFont="1" applyProtection="1">
      <alignment horizontal="center" vertical="center"/>
      <protection locked="0"/>
    </xf>
    <xf numFmtId="172" fontId="3" fillId="0" borderId="0" xfId="12" applyFont="1" applyProtection="1">
      <alignment horizontal="center" vertical="center"/>
    </xf>
    <xf numFmtId="0" fontId="23" fillId="8" borderId="2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171" fontId="2" fillId="11" borderId="3" xfId="39" applyFont="1" applyFill="1" applyBorder="1">
      <alignment horizontal="center"/>
    </xf>
    <xf numFmtId="172" fontId="2" fillId="11" borderId="3" xfId="12" applyFont="1" applyFill="1" applyBorder="1" applyProtection="1">
      <alignment horizontal="center" vertical="center"/>
    </xf>
    <xf numFmtId="2" fontId="51" fillId="0" borderId="8" xfId="15" applyNumberFormat="1" applyFill="1" applyAlignment="1"/>
    <xf numFmtId="169" fontId="51" fillId="0" borderId="8" xfId="15" applyNumberFormat="1" applyAlignment="1">
      <alignment horizontal="center"/>
    </xf>
    <xf numFmtId="189" fontId="4" fillId="11" borderId="35" xfId="1" applyNumberFormat="1" applyFont="1" applyFill="1" applyBorder="1" applyAlignment="1" applyProtection="1">
      <alignment horizontal="center"/>
      <protection locked="0"/>
    </xf>
    <xf numFmtId="49" fontId="2" fillId="0" borderId="36" xfId="0" applyNumberFormat="1" applyFont="1" applyFill="1" applyBorder="1" applyAlignment="1" applyProtection="1">
      <alignment horizontal="left" indent="1"/>
      <protection locked="0"/>
    </xf>
    <xf numFmtId="174" fontId="2" fillId="11" borderId="3" xfId="48" applyFont="1" applyFill="1" applyBorder="1">
      <alignment horizontal="center"/>
    </xf>
    <xf numFmtId="0" fontId="0" fillId="0" borderId="0" xfId="0" applyFill="1" applyAlignment="1">
      <alignment horizontal="center"/>
    </xf>
    <xf numFmtId="0" fontId="51" fillId="0" borderId="8" xfId="15" applyNumberFormat="1" applyFill="1" applyAlignment="1">
      <alignment horizontal="center"/>
    </xf>
    <xf numFmtId="174" fontId="51" fillId="0" borderId="8" xfId="15" applyNumberFormat="1" applyFill="1">
      <alignment horizontal="center"/>
    </xf>
    <xf numFmtId="0" fontId="20" fillId="15" borderId="0" xfId="0" applyFont="1" applyFill="1" applyBorder="1" applyAlignment="1">
      <alignment horizontal="left" vertical="center"/>
    </xf>
    <xf numFmtId="0" fontId="22" fillId="15" borderId="0" xfId="0" applyFont="1" applyFill="1" applyBorder="1" applyAlignment="1">
      <alignment horizontal="left"/>
    </xf>
    <xf numFmtId="169" fontId="8" fillId="0" borderId="0" xfId="0" applyNumberFormat="1" applyFont="1" applyFill="1"/>
    <xf numFmtId="189" fontId="2" fillId="0" borderId="0" xfId="0" applyNumberFormat="1" applyFont="1" applyFill="1" applyAlignment="1">
      <alignment horizontal="left" indent="1"/>
    </xf>
    <xf numFmtId="169" fontId="2" fillId="0" borderId="0" xfId="0" applyNumberFormat="1" applyFont="1" applyFill="1" applyAlignment="1">
      <alignment horizontal="left" indent="1"/>
    </xf>
    <xf numFmtId="169" fontId="12" fillId="0" borderId="0" xfId="2" applyNumberFormat="1" applyFont="1" applyFill="1" applyAlignment="1" applyProtection="1">
      <alignment horizontal="left"/>
    </xf>
    <xf numFmtId="166" fontId="8" fillId="0" borderId="6" xfId="0" applyNumberFormat="1" applyFont="1" applyFill="1" applyBorder="1" applyAlignment="1">
      <alignment horizontal="center"/>
    </xf>
    <xf numFmtId="2" fontId="46" fillId="4" borderId="3" xfId="31" applyNumberFormat="1" applyBorder="1" applyAlignment="1" applyProtection="1">
      <alignment horizontal="center"/>
    </xf>
    <xf numFmtId="0" fontId="23" fillId="8" borderId="2" xfId="0" applyNumberFormat="1" applyFont="1" applyFill="1" applyBorder="1" applyAlignment="1" applyProtection="1">
      <alignment horizontal="center"/>
    </xf>
  </cellXfs>
  <cellStyles count="91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20% - Accent1" xfId="68" builtinId="30" hidden="1"/>
    <cellStyle name="20% - Accent2" xfId="72" builtinId="34" hidden="1"/>
    <cellStyle name="20% - Accent3" xfId="76" builtinId="38" hidden="1"/>
    <cellStyle name="20% - Accent4" xfId="80" builtinId="42" hidden="1"/>
    <cellStyle name="20% - Accent5" xfId="84" builtinId="46" hidden="1"/>
    <cellStyle name="20% - Accent6" xfId="88" builtinId="50" hidden="1"/>
    <cellStyle name="40% - Accent1" xfId="69" builtinId="31" hidden="1"/>
    <cellStyle name="40% - Accent2" xfId="73" builtinId="35" hidden="1"/>
    <cellStyle name="40% - Accent3" xfId="77" builtinId="39" hidden="1"/>
    <cellStyle name="40% - Accent4" xfId="81" builtinId="43" hidden="1"/>
    <cellStyle name="40% - Accent5" xfId="85" builtinId="47" hidden="1"/>
    <cellStyle name="40% - Accent6" xfId="89" builtinId="51" hidden="1"/>
    <cellStyle name="60% - Accent1" xfId="70" builtinId="32" hidden="1"/>
    <cellStyle name="60% - Accent2" xfId="74" builtinId="36" hidden="1"/>
    <cellStyle name="60% - Accent3" xfId="78" builtinId="40" hidden="1"/>
    <cellStyle name="60% - Accent4" xfId="82" builtinId="44" hidden="1"/>
    <cellStyle name="60% - Accent5" xfId="86" builtinId="48" hidden="1"/>
    <cellStyle name="60% - Accent6" xfId="90" builtinId="52" hidden="1"/>
    <cellStyle name="Accent1" xfId="67" builtinId="29" hidden="1"/>
    <cellStyle name="Accent2" xfId="71" builtinId="33" hidden="1"/>
    <cellStyle name="Accent3" xfId="75" builtinId="37" hidden="1"/>
    <cellStyle name="Accent4" xfId="79" builtinId="41" hidden="1"/>
    <cellStyle name="Accent5" xfId="83" builtinId="45" hidden="1"/>
    <cellStyle name="Accent6" xfId="87" builtinId="49" hidden="1"/>
    <cellStyle name="Assumptions Right Number" xfId="40" xr:uid="{1CE312C0-C844-49D7-91FA-66CA82F2BFF6}"/>
    <cellStyle name="Bad" xfId="56" builtinId="27" hidden="1"/>
    <cellStyle name="C0 Comma0" xfId="39" xr:uid="{13C2E7C6-DACB-4127-821C-86F9A16BDCF7}"/>
    <cellStyle name="C2 Comma2" xfId="48" xr:uid="{C081450D-39C6-4638-88F7-0D6753737766}"/>
    <cellStyle name="C4 Comma4" xfId="38" xr:uid="{65DC59F2-1FB5-468D-92EC-388C3B1A862E}"/>
    <cellStyle name="Calculation" xfId="60" builtinId="22" hidden="1"/>
    <cellStyle name="CH Check" xfId="37" xr:uid="{4EE969B8-0EBE-47C3-A68C-08AA10291FB0}"/>
    <cellStyle name="Check Cell" xfId="62" builtinId="23" hidden="1"/>
    <cellStyle name="Check RedRedGreen" xfId="49" xr:uid="{B511EAA0-FA5A-4453-B272-3000870A1B3E}"/>
    <cellStyle name="CI Confidential2" xfId="36" xr:uid="{198615B4-4EEC-4ED2-9100-3D65D466B38C}"/>
    <cellStyle name="Comma" xfId="3" builtinId="3"/>
    <cellStyle name="Comma [0]" xfId="47" builtinId="6"/>
    <cellStyle name="Comma 0" xfId="17" xr:uid="{00000000-0005-0000-0000-000041000000}"/>
    <cellStyle name="D4_B8B1_005004B79812_.wvu.PrintTitlest" xfId="18" xr:uid="{00000000-0005-0000-0000-00005C000000}"/>
    <cellStyle name="DA Date" xfId="35" xr:uid="{FA03374E-D551-4210-B2B2-088580193F01}"/>
    <cellStyle name="EL External Link" xfId="31" xr:uid="{A68F5CF3-4DCC-4C77-AB74-19E7DD2E86A8}"/>
    <cellStyle name="EM Empty_Cell" xfId="30" xr:uid="{D450AC42-3642-4D07-9ACB-BA0DC7B9EF5E}"/>
    <cellStyle name="Empty_Cell" xfId="43" xr:uid="{00000000-0005-0000-0000-000063000000}"/>
    <cellStyle name="ER Error" xfId="28" xr:uid="{2925C6E9-5695-4827-AB25-98B60F3C5310}"/>
    <cellStyle name="Explanatory Text" xfId="65" builtinId="53" hidden="1"/>
    <cellStyle name="External_Link_$" xfId="27" xr:uid="{AE4BB760-335C-4B9A-8CFF-64458A181DA7}"/>
    <cellStyle name="FI Fixed" xfId="26" xr:uid="{5407B02C-4DE2-43DB-9312-1C8B5690E39B}"/>
    <cellStyle name="FL Flag" xfId="25" xr:uid="{091A3191-F671-46C7-9532-51ADEB2FC508}"/>
    <cellStyle name="Good" xfId="55" builtinId="26" hidden="1"/>
    <cellStyle name="H1 Header" xfId="23" xr:uid="{86B6A449-C5A2-442D-9508-3CA62D92E760}"/>
    <cellStyle name="H2 Header2" xfId="24" xr:uid="{E89D824D-4055-4D64-8574-1D65254203D7}"/>
    <cellStyle name="H3 Header3" xfId="22" xr:uid="{65A0B1EA-8C50-4F50-AC52-766E0EE6004D}"/>
    <cellStyle name="Heading 1" xfId="51" builtinId="16" hidden="1"/>
    <cellStyle name="Heading 2" xfId="52" builtinId="17" hidden="1"/>
    <cellStyle name="Heading 3" xfId="53" builtinId="18" hidden="1"/>
    <cellStyle name="Heading 4" xfId="54" builtinId="19" hidden="1"/>
    <cellStyle name="Hyperlink" xfId="2" builtinId="8"/>
    <cellStyle name="Hyperlink 2" xfId="21" xr:uid="{30C6E134-7D7E-4E2D-9DE9-E5F63AD0F7CC}"/>
    <cellStyle name="IF Interface" xfId="46" xr:uid="{106D8DA6-502C-4804-A14A-7368E1377A03}"/>
    <cellStyle name="IL Internal Link" xfId="20" xr:uid="{25E18960-DB58-49A5-86F0-C10F1DA267DC}"/>
    <cellStyle name="Input" xfId="58" builtinId="20" hidden="1"/>
    <cellStyle name="InSheet" xfId="44" xr:uid="{00000000-0005-0000-0000-00008A000000}"/>
    <cellStyle name="Internal_Link_$" xfId="19" xr:uid="{48D58382-DB1E-4F2A-8968-48436F17A8D2}"/>
    <cellStyle name="IP Input" xfId="16" xr:uid="{7541F2C6-CA80-4F6A-B9B9-AB790C93384B}"/>
    <cellStyle name="Linked Cell" xfId="61" builtinId="24" hidden="1"/>
    <cellStyle name="LT Line Total" xfId="15" xr:uid="{21A4D383-5EEA-4E8D-8C63-649F1E4C45E8}"/>
    <cellStyle name="LU Line_Summary" xfId="42" xr:uid="{E544527E-EC07-4410-9294-10C991652E3F}"/>
    <cellStyle name="Neutral" xfId="57" builtinId="28" hidden="1"/>
    <cellStyle name="Normal" xfId="0" builtinId="0"/>
    <cellStyle name="Normal 10" xfId="14" xr:uid="{E9845145-C5E3-4FF8-8CEE-DF9F23C0ACF6}"/>
    <cellStyle name="Normal 2" xfId="41" xr:uid="{9D209319-EF47-44D3-A94B-30D8F53475FD}"/>
    <cellStyle name="Note" xfId="64" builtinId="10" hidden="1"/>
    <cellStyle name="NR NamedRange" xfId="13" xr:uid="{B17F8930-410F-478F-96B7-877EF472D6AE}"/>
    <cellStyle name="OffSheet" xfId="45" xr:uid="{00000000-0005-0000-0000-0000BF000000}"/>
    <cellStyle name="Output" xfId="59" builtinId="21" hidden="1"/>
    <cellStyle name="P2 Percent2" xfId="12" xr:uid="{D70998A9-F862-4496-9A87-6B4918873E67}"/>
    <cellStyle name="Percent" xfId="1" builtinId="5"/>
    <cellStyle name="Percent 2" xfId="11" xr:uid="{CCC550D6-0564-43EB-B616-962783B7B574}"/>
    <cellStyle name="Presentation Heading 3" xfId="10" xr:uid="{67D49DE7-0D21-4607-A999-D30EF34BDD19}"/>
    <cellStyle name="Presentation Normal" xfId="9" xr:uid="{F12FBBE8-306D-4E80-9243-427278E56A33}"/>
    <cellStyle name="Presentation Number" xfId="8" xr:uid="{6A500F54-81ED-477A-AA35-07439F18994C}"/>
    <cellStyle name="QU Query" xfId="7" xr:uid="{FDF0F353-9A38-4DC2-9652-A91D3DAAD2D5}"/>
    <cellStyle name="TE Technical_Input" xfId="34" xr:uid="{4A1566FC-B931-4BA2-A42F-A8F57DD5139D}"/>
    <cellStyle name="TH Table Header" xfId="33" xr:uid="{94456DC5-6ED7-4F31-9870-7909C1DB7ED1}"/>
    <cellStyle name="Title" xfId="50" builtinId="15" hidden="1"/>
    <cellStyle name="Total" xfId="66" builtinId="25" hidden="1"/>
    <cellStyle name="UQ Unique" xfId="32" xr:uid="{2A4D0C59-DC65-4D70-B2FD-D3458F99D2AA}"/>
    <cellStyle name="Warning Text" xfId="63" builtinId="11" hidden="1"/>
    <cellStyle name="WI WIP" xfId="29" xr:uid="{43BF8BF0-1A5E-4B2A-9E9C-F629C8D43E5E}"/>
  </cellStyles>
  <dxfs count="23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3" formatCode="#,##0"/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rgb="FFDAEEF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99"/>
      <color rgb="FFCCFFCC"/>
      <color rgb="FFFFFFCC"/>
      <color rgb="FFDBE5F1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01.%20Price%20Reviews\02.%20GAAR\2026-30\05.%20Revenue%20Scenarios\IP03b%20(Submitted)\03.%20Model%20Suite\03.%20Public\JGN%20-%20Att%207.13M%20-%20Rate%20of%20return%20model%20-%2020240628%20-%20Public.xlsb" TargetMode="External"/><Relationship Id="rId1" Type="http://schemas.openxmlformats.org/officeDocument/2006/relationships/externalLinkPath" Target="JGN%20-%20Att%207.13M%20-%20Rate%20of%20return%20model%20-%2020240628%20-%20Public.xlsb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01.%20Price%20Reviews\02.%20GAAR\2026-30\05.%20Revenue%20Scenarios\IP03b%20(Submitted)\03.%20Model%20Suite\03.%20Public\JGN%20-%20Att%207.6.1M%20-%20PTRM%20-%20Step%201%20-%2020240628%20-%20Public.xlsm" TargetMode="External"/><Relationship Id="rId1" Type="http://schemas.openxmlformats.org/officeDocument/2006/relationships/externalLinkPath" Target="JGN%20-%20Att%207.6.1M%20-%20PTRM%20-%20Step%201%20-%2020240628%20-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Input|Rate of return"/>
      <sheetName val="Calc|Placeholder RfR"/>
      <sheetName val="Calc|Rate of return"/>
      <sheetName val="Output|Rate of return"/>
      <sheetName val="Lookup|Tables"/>
      <sheetName val="Check|Li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3">
          <cell r="S33">
            <v>3.3000000000000002E-2</v>
          </cell>
          <cell r="T33">
            <v>3.1E-2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ER NRs"/>
      <sheetName val="AER lookups"/>
      <sheetName val="AER ETL"/>
      <sheetName val="Business &amp; other details"/>
      <sheetName val="Intro"/>
      <sheetName val="DMS input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40">
          <cell r="G340">
            <v>1.9854633653473015</v>
          </cell>
          <cell r="H340">
            <v>1.9679109275037572</v>
          </cell>
          <cell r="I340">
            <v>1.957346614987312</v>
          </cell>
          <cell r="J340">
            <v>1.9286063766568553</v>
          </cell>
          <cell r="K340">
            <v>1.8739932499448937</v>
          </cell>
        </row>
      </sheetData>
      <sheetData sheetId="7">
        <row r="19">
          <cell r="G19">
            <v>2.5296486629326865E-2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8">
    <wetp:webextensionref xmlns:r="http://schemas.openxmlformats.org/officeDocument/2006/relationships" r:id="rId1"/>
  </wetp:taskpane>
  <wetp:taskpane dockstate="right" visibility="0" width="438" row="9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107D50ED-0463-41CE-B0BD-D4646328CA2A}">
  <we:reference id="wa200003696" version="1.1.0.0" store="en-US" storeType="OMEX"/>
  <we:alternateReferences>
    <we:reference id="WA200003696" version="1.1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ebextensions/webextension2.xml><?xml version="1.0" encoding="utf-8"?>
<we:webextension xmlns:we="http://schemas.microsoft.com/office/webextensions/webextension/2010/11" id="{5DF45133-85FB-462A-A96D-0537F52FF5F9}">
  <we:reference id="wa200002346" version="1.1.0.0" store="en-US" storeType="OMEX"/>
  <we:alternateReferences>
    <we:reference id="WA200002346" version="1.1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outlinePr summaryBelow="0" summaryRight="0"/>
  </sheetPr>
  <dimension ref="A1:AU30"/>
  <sheetViews>
    <sheetView showGridLines="0" tabSelected="1" workbookViewId="0"/>
  </sheetViews>
  <sheetFormatPr defaultColWidth="0" defaultRowHeight="11.25" x14ac:dyDescent="0.2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 x14ac:dyDescent="0.2">
      <c r="A1" s="35"/>
      <c r="B1" s="32" t="s">
        <v>170</v>
      </c>
      <c r="C1" s="32"/>
      <c r="D1" s="35"/>
      <c r="E1" s="35"/>
      <c r="G1" s="2"/>
      <c r="H1" s="3"/>
      <c r="I1" s="4"/>
    </row>
    <row r="2" spans="1:47" s="5" customFormat="1" ht="13.7" customHeight="1" thickBot="1" x14ac:dyDescent="0.25">
      <c r="A2" s="39"/>
      <c r="B2" s="38" t="s">
        <v>39</v>
      </c>
      <c r="C2" s="38"/>
      <c r="D2" s="39"/>
      <c r="E2" s="39"/>
    </row>
    <row r="3" spans="1:47" s="6" customFormat="1" ht="3.2" customHeight="1" x14ac:dyDescent="0.2"/>
    <row r="4" spans="1:47" customFormat="1" ht="12.75" x14ac:dyDescent="0.2">
      <c r="A4" s="40"/>
      <c r="B4" s="48" t="s">
        <v>56</v>
      </c>
      <c r="C4" s="40"/>
      <c r="D4" s="40"/>
      <c r="E4" s="40"/>
      <c r="F4" s="41"/>
      <c r="G4" s="41"/>
      <c r="H4" s="41"/>
      <c r="I4" s="41"/>
      <c r="J4" s="42"/>
      <c r="K4" s="43"/>
      <c r="L4" s="42"/>
      <c r="M4" s="43"/>
      <c r="N4" s="42"/>
      <c r="O4" s="42"/>
      <c r="P4" s="42"/>
      <c r="Q4" s="42"/>
      <c r="R4" s="42"/>
      <c r="S4" s="42"/>
      <c r="T4" s="42"/>
      <c r="U4" s="42"/>
      <c r="V4" s="43"/>
      <c r="W4" s="43"/>
      <c r="X4" s="44"/>
      <c r="Y4" s="44"/>
      <c r="Z4" s="44"/>
      <c r="AA4" s="44"/>
      <c r="AB4" s="45"/>
      <c r="AC4" s="46"/>
      <c r="AD4" s="46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</row>
    <row r="6" spans="1:47" x14ac:dyDescent="0.2">
      <c r="C6" s="9" t="s">
        <v>0</v>
      </c>
      <c r="D6" s="9" t="s">
        <v>1</v>
      </c>
    </row>
    <row r="7" spans="1:47" x14ac:dyDescent="0.2">
      <c r="C7" s="262" t="s">
        <v>189</v>
      </c>
      <c r="D7" s="7" t="s">
        <v>55</v>
      </c>
    </row>
    <row r="8" spans="1:47" x14ac:dyDescent="0.2">
      <c r="C8" s="262" t="s">
        <v>190</v>
      </c>
      <c r="D8" s="7" t="s">
        <v>88</v>
      </c>
    </row>
    <row r="9" spans="1:47" x14ac:dyDescent="0.2">
      <c r="C9" s="262" t="s">
        <v>191</v>
      </c>
      <c r="D9" s="7" t="s">
        <v>199</v>
      </c>
    </row>
    <row r="10" spans="1:47" x14ac:dyDescent="0.2">
      <c r="C10" s="262" t="s">
        <v>192</v>
      </c>
      <c r="D10" s="7" t="s">
        <v>171</v>
      </c>
    </row>
    <row r="11" spans="1:47" x14ac:dyDescent="0.2">
      <c r="C11" s="262" t="s">
        <v>203</v>
      </c>
      <c r="D11" s="7" t="s">
        <v>204</v>
      </c>
    </row>
    <row r="12" spans="1:47" x14ac:dyDescent="0.2">
      <c r="C12" s="262" t="s">
        <v>193</v>
      </c>
      <c r="D12" s="7" t="s">
        <v>198</v>
      </c>
    </row>
    <row r="13" spans="1:47" x14ac:dyDescent="0.2">
      <c r="C13" s="262" t="s">
        <v>194</v>
      </c>
      <c r="D13" s="7" t="s">
        <v>172</v>
      </c>
    </row>
    <row r="14" spans="1:47" x14ac:dyDescent="0.2">
      <c r="C14" s="262" t="s">
        <v>195</v>
      </c>
      <c r="D14" s="7" t="s">
        <v>173</v>
      </c>
    </row>
    <row r="15" spans="1:47" x14ac:dyDescent="0.2">
      <c r="C15" s="262" t="s">
        <v>196</v>
      </c>
      <c r="D15" s="7" t="s">
        <v>54</v>
      </c>
    </row>
    <row r="16" spans="1:47" x14ac:dyDescent="0.2">
      <c r="C16" s="262" t="s">
        <v>197</v>
      </c>
      <c r="D16" s="7" t="s">
        <v>49</v>
      </c>
    </row>
    <row r="17" spans="1:47" ht="12.75" x14ac:dyDescent="0.2">
      <c r="C17" s="10"/>
      <c r="D17" s="262"/>
    </row>
    <row r="18" spans="1:47" customFormat="1" ht="12.75" x14ac:dyDescent="0.2">
      <c r="A18" s="40"/>
      <c r="B18" s="48" t="s">
        <v>21</v>
      </c>
      <c r="C18" s="40"/>
      <c r="D18" s="265"/>
      <c r="E18" s="40"/>
      <c r="F18" s="41"/>
      <c r="G18" s="41"/>
      <c r="H18" s="41"/>
      <c r="I18" s="41"/>
      <c r="J18" s="42"/>
      <c r="K18" s="43"/>
      <c r="L18" s="42"/>
      <c r="M18" s="43"/>
      <c r="N18" s="42"/>
      <c r="O18" s="42"/>
      <c r="P18" s="42"/>
      <c r="Q18" s="42"/>
      <c r="R18" s="42"/>
      <c r="S18" s="42"/>
      <c r="T18" s="42"/>
      <c r="U18" s="42"/>
      <c r="V18" s="43"/>
      <c r="W18" s="43"/>
      <c r="X18" s="44"/>
      <c r="Y18" s="44"/>
      <c r="Z18" s="44"/>
      <c r="AA18" s="44"/>
      <c r="AB18" s="45"/>
      <c r="AC18" s="46"/>
      <c r="AD18" s="46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</row>
    <row r="19" spans="1:47" x14ac:dyDescent="0.2">
      <c r="D19" s="262"/>
    </row>
    <row r="20" spans="1:47" x14ac:dyDescent="0.2">
      <c r="C20"/>
      <c r="D20" s="262"/>
    </row>
    <row r="21" spans="1:47" x14ac:dyDescent="0.2">
      <c r="C21"/>
      <c r="D21" s="262"/>
    </row>
    <row r="22" spans="1:47" x14ac:dyDescent="0.2">
      <c r="C22"/>
    </row>
    <row r="23" spans="1:47" x14ac:dyDescent="0.2">
      <c r="C23"/>
    </row>
    <row r="24" spans="1:47" x14ac:dyDescent="0.2">
      <c r="C24"/>
    </row>
    <row r="25" spans="1:47" x14ac:dyDescent="0.2">
      <c r="C25"/>
    </row>
    <row r="26" spans="1:47" x14ac:dyDescent="0.2">
      <c r="C26"/>
    </row>
    <row r="27" spans="1:47" x14ac:dyDescent="0.2">
      <c r="C27"/>
    </row>
    <row r="28" spans="1:47" x14ac:dyDescent="0.2">
      <c r="C28"/>
    </row>
    <row r="29" spans="1:47" x14ac:dyDescent="0.2">
      <c r="C29"/>
    </row>
    <row r="30" spans="1:47" x14ac:dyDescent="0.2">
      <c r="C30"/>
    </row>
  </sheetData>
  <hyperlinks>
    <hyperlink ref="C7" location="'Input|General'!A1" display="Input|General" xr:uid="{5FF1689D-6A23-4229-AC7A-A0BBC0733A3D}"/>
    <hyperlink ref="C8" location="'Input|Inflation'!A1" display="Input|Inflation" xr:uid="{1B7AA483-1A14-438F-A3C6-A42B6C1ACB26}"/>
    <hyperlink ref="C9" location="'Input|Reported opex'!A1" display="Input|Reported opex" xr:uid="{0DEDC303-F818-45C8-A306-5807458F036C}"/>
    <hyperlink ref="C10" location="'Input|Rate of change'!A1" display="Input|Rate of change" xr:uid="{872D1938-EC8C-47A4-BFD4-BA88882C182E}"/>
    <hyperlink ref="C12" location="'Input|Step changes'!A1" display="Input|Step changes" xr:uid="{7E6C140B-C757-40F8-B283-8A65E46076C8}"/>
    <hyperlink ref="C13" location="'Calc|Opex forecast'!A1" display="Calc|Opex forecast" xr:uid="{13FCCFD4-AC4F-4C38-B803-13A4E407D501}"/>
    <hyperlink ref="C14" location="'Output|Models'!A1" display="Output|Models" xr:uid="{3745F0B5-FCDC-4679-89F2-BE3182D2BCC9}"/>
    <hyperlink ref="C15" location="'Lookup|Tables'!A1" display="Lookup|Tables" xr:uid="{784E754D-487D-4C88-81A0-AD981386659D}"/>
    <hyperlink ref="C16" location="'Check|List'!A1" display="Check|List" xr:uid="{C7169D06-402F-45A4-BECF-6C2D9CA8A03C}"/>
    <hyperlink ref="C11" location="'Input|UAG'!A1" display="Input|UAG" xr:uid="{E2E51FA7-BD69-4B83-BFCE-4662290313DA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  <outlinePr summaryBelow="0" summaryRight="0"/>
  </sheetPr>
  <dimension ref="A1:AU26"/>
  <sheetViews>
    <sheetView showGridLines="0" zoomScaleNormal="100" workbookViewId="0"/>
  </sheetViews>
  <sheetFormatPr defaultColWidth="0" defaultRowHeight="11.25" zeroHeight="1" x14ac:dyDescent="0.2"/>
  <cols>
    <col min="1" max="2" width="1.5" style="26" customWidth="1"/>
    <col min="3" max="3" width="42" style="26" customWidth="1"/>
    <col min="4" max="4" width="11.1640625" style="27" customWidth="1"/>
    <col min="5" max="6" width="3.33203125" style="27" customWidth="1"/>
    <col min="7" max="7" width="16.1640625" style="27" customWidth="1"/>
    <col min="8" max="9" width="3.33203125" style="27" customWidth="1"/>
    <col min="10" max="23" width="10.83203125" style="26" customWidth="1"/>
    <col min="24" max="38" width="10.5" style="26" hidden="1" customWidth="1"/>
    <col min="39" max="16384" width="10.5" style="26" hidden="1"/>
  </cols>
  <sheetData>
    <row r="1" spans="1:47" s="64" customFormat="1" ht="15.75" x14ac:dyDescent="0.25">
      <c r="B1" s="215" t="str">
        <f>Index!$B$1</f>
        <v>AER opex model v1.8</v>
      </c>
      <c r="C1" s="65"/>
      <c r="D1" s="65"/>
      <c r="E1" s="65"/>
      <c r="F1" s="66"/>
      <c r="G1" s="66"/>
      <c r="H1" s="66"/>
      <c r="I1" s="66"/>
      <c r="J1" s="34" t="s">
        <v>2</v>
      </c>
      <c r="L1" s="67" t="s">
        <v>3</v>
      </c>
      <c r="M1" s="68" t="s">
        <v>4</v>
      </c>
      <c r="N1" s="69" t="s">
        <v>5</v>
      </c>
      <c r="O1" s="70" t="s">
        <v>6</v>
      </c>
      <c r="R1" s="67" t="s">
        <v>74</v>
      </c>
      <c r="S1" s="217" t="str">
        <f>IF(COUNTA($S$5:$S$15)=COUNTIF($S5:$S15,"OK"),"OK","Check")</f>
        <v>OK</v>
      </c>
      <c r="U1" s="170" t="s">
        <v>24</v>
      </c>
      <c r="V1" s="217" t="str">
        <f ca="1">'Check|List'!$S$1</f>
        <v>Ok</v>
      </c>
    </row>
    <row r="2" spans="1:47" s="72" customFormat="1" ht="13.5" thickBot="1" x14ac:dyDescent="0.25">
      <c r="B2" s="216" t="str">
        <f>+Index!C7</f>
        <v>Input|General</v>
      </c>
      <c r="C2" s="73"/>
      <c r="D2" s="73"/>
      <c r="E2" s="73"/>
      <c r="F2" s="74"/>
      <c r="G2" s="74"/>
      <c r="H2" s="74"/>
      <c r="I2" s="74"/>
    </row>
    <row r="3" spans="1:47" s="24" customFormat="1" ht="3.2" customHeight="1" x14ac:dyDescent="0.2">
      <c r="D3" s="25"/>
      <c r="E3" s="25"/>
      <c r="F3" s="25"/>
      <c r="G3" s="25"/>
      <c r="H3" s="25"/>
      <c r="I3" s="25"/>
    </row>
    <row r="4" spans="1:47" s="98" customFormat="1" ht="12.75" x14ac:dyDescent="0.2">
      <c r="A4" s="89"/>
      <c r="B4" s="90" t="s">
        <v>85</v>
      </c>
      <c r="C4" s="89"/>
      <c r="D4" s="89"/>
      <c r="E4" s="89"/>
      <c r="F4" s="91"/>
      <c r="G4" s="91"/>
      <c r="H4" s="91"/>
      <c r="I4" s="91"/>
      <c r="J4" s="92"/>
      <c r="K4" s="93"/>
      <c r="L4" s="92"/>
      <c r="M4" s="93"/>
      <c r="N4" s="92"/>
      <c r="O4" s="92"/>
      <c r="P4" s="92"/>
      <c r="Q4" s="92"/>
      <c r="R4" s="92"/>
      <c r="S4" s="92"/>
      <c r="T4" s="92"/>
      <c r="U4" s="92"/>
      <c r="V4" s="93"/>
      <c r="W4" s="93"/>
      <c r="X4" s="94"/>
      <c r="Y4" s="94"/>
      <c r="Z4" s="94"/>
      <c r="AA4" s="94"/>
      <c r="AB4" s="95"/>
      <c r="AC4" s="96"/>
      <c r="AD4" s="96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</row>
    <row r="5" spans="1:47" x14ac:dyDescent="0.2"/>
    <row r="6" spans="1:47" x14ac:dyDescent="0.2">
      <c r="C6" s="28" t="s">
        <v>86</v>
      </c>
      <c r="D6" s="29" t="s">
        <v>7</v>
      </c>
      <c r="E6" s="29"/>
      <c r="F6" s="30"/>
      <c r="G6" s="30" t="s">
        <v>60</v>
      </c>
      <c r="H6" s="30"/>
      <c r="I6" s="26"/>
    </row>
    <row r="7" spans="1:47" x14ac:dyDescent="0.2">
      <c r="C7" s="26" t="s">
        <v>57</v>
      </c>
      <c r="D7" s="27" t="s">
        <v>61</v>
      </c>
      <c r="E7" s="26"/>
      <c r="F7" s="26"/>
      <c r="G7" s="49" t="s">
        <v>177</v>
      </c>
      <c r="H7" s="26"/>
      <c r="I7" s="26"/>
      <c r="S7" s="247" t="str">
        <f t="shared" ref="S7:S14" si="0">IF(COUNTBLANK($G7),"Check","Ok")</f>
        <v>Ok</v>
      </c>
    </row>
    <row r="8" spans="1:47" x14ac:dyDescent="0.2">
      <c r="C8" s="26" t="s">
        <v>126</v>
      </c>
      <c r="D8" s="27" t="s">
        <v>62</v>
      </c>
      <c r="E8" s="26"/>
      <c r="F8" s="26"/>
      <c r="G8" s="49" t="s">
        <v>178</v>
      </c>
      <c r="H8" s="26"/>
      <c r="I8" s="26"/>
      <c r="S8" s="247" t="str">
        <f t="shared" si="0"/>
        <v>Ok</v>
      </c>
    </row>
    <row r="9" spans="1:47" x14ac:dyDescent="0.2">
      <c r="C9" s="26" t="s">
        <v>110</v>
      </c>
      <c r="D9" s="27" t="s">
        <v>61</v>
      </c>
      <c r="E9" s="26"/>
      <c r="F9" s="26"/>
      <c r="G9" s="144">
        <v>36678</v>
      </c>
      <c r="H9" s="26"/>
      <c r="I9" s="26"/>
      <c r="S9" s="247" t="str">
        <f t="shared" si="0"/>
        <v>Ok</v>
      </c>
    </row>
    <row r="10" spans="1:47" x14ac:dyDescent="0.2">
      <c r="C10" s="26" t="s">
        <v>140</v>
      </c>
      <c r="D10" s="27" t="s">
        <v>61</v>
      </c>
      <c r="E10" s="26"/>
      <c r="F10" s="26"/>
      <c r="G10" s="145">
        <v>2021</v>
      </c>
      <c r="H10" s="26"/>
      <c r="I10" s="26"/>
      <c r="S10" s="247" t="str">
        <f t="shared" si="0"/>
        <v>Ok</v>
      </c>
    </row>
    <row r="11" spans="1:47" x14ac:dyDescent="0.2">
      <c r="C11" s="26" t="s">
        <v>64</v>
      </c>
      <c r="D11" s="27" t="s">
        <v>61</v>
      </c>
      <c r="E11" s="26"/>
      <c r="F11" s="26"/>
      <c r="G11" s="145">
        <v>2024</v>
      </c>
      <c r="H11" s="26"/>
      <c r="I11" s="26"/>
      <c r="S11" s="247" t="str">
        <f t="shared" si="0"/>
        <v>Ok</v>
      </c>
    </row>
    <row r="12" spans="1:47" x14ac:dyDescent="0.2">
      <c r="C12" s="26" t="s">
        <v>141</v>
      </c>
      <c r="D12" s="27" t="s">
        <v>61</v>
      </c>
      <c r="E12" s="26"/>
      <c r="F12" s="180"/>
      <c r="G12" s="145">
        <v>2025</v>
      </c>
      <c r="H12" s="26"/>
      <c r="I12" s="180"/>
      <c r="S12" s="247" t="str">
        <f t="shared" si="0"/>
        <v>Ok</v>
      </c>
    </row>
    <row r="13" spans="1:47" x14ac:dyDescent="0.2">
      <c r="C13" s="26" t="s">
        <v>58</v>
      </c>
      <c r="D13" s="27" t="s">
        <v>61</v>
      </c>
      <c r="E13" s="26"/>
      <c r="F13" s="180"/>
      <c r="G13" s="145">
        <v>2026</v>
      </c>
      <c r="H13" s="26"/>
      <c r="I13" s="180"/>
      <c r="S13" s="247" t="str">
        <f t="shared" si="0"/>
        <v>Ok</v>
      </c>
    </row>
    <row r="14" spans="1:47" x14ac:dyDescent="0.2">
      <c r="C14" s="26" t="s">
        <v>59</v>
      </c>
      <c r="D14" s="27" t="s">
        <v>61</v>
      </c>
      <c r="E14" s="26"/>
      <c r="F14" s="180"/>
      <c r="G14" s="145">
        <v>2030</v>
      </c>
      <c r="H14" s="26"/>
      <c r="I14" s="180"/>
      <c r="S14" s="247" t="str">
        <f t="shared" si="0"/>
        <v>Ok</v>
      </c>
    </row>
    <row r="15" spans="1:47" x14ac:dyDescent="0.2">
      <c r="D15" s="26"/>
      <c r="E15" s="26"/>
      <c r="F15" s="180"/>
      <c r="G15" s="26"/>
      <c r="H15" s="26"/>
      <c r="I15" s="180"/>
    </row>
    <row r="16" spans="1:47" s="98" customFormat="1" ht="12.75" x14ac:dyDescent="0.2">
      <c r="A16" s="89"/>
      <c r="B16" s="90" t="s">
        <v>21</v>
      </c>
      <c r="C16" s="89"/>
      <c r="D16" s="89"/>
      <c r="E16" s="89"/>
      <c r="F16" s="91"/>
      <c r="G16" s="91"/>
      <c r="H16" s="91"/>
      <c r="I16" s="91"/>
      <c r="J16" s="92"/>
      <c r="K16" s="93"/>
      <c r="L16" s="92"/>
      <c r="M16" s="93"/>
      <c r="N16" s="92"/>
      <c r="O16" s="92"/>
      <c r="P16" s="92"/>
      <c r="Q16" s="92"/>
      <c r="R16" s="92"/>
      <c r="S16" s="92"/>
      <c r="T16" s="92"/>
      <c r="U16" s="92"/>
      <c r="V16" s="93"/>
      <c r="W16" s="93"/>
      <c r="X16" s="94"/>
      <c r="Y16" s="94"/>
      <c r="Z16" s="94"/>
      <c r="AA16" s="94"/>
      <c r="AB16" s="95"/>
      <c r="AC16" s="96"/>
      <c r="AD16" s="96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</row>
    <row r="17" spans="7:8" hidden="1" x14ac:dyDescent="0.2">
      <c r="G17" s="29"/>
      <c r="H17" s="29"/>
    </row>
    <row r="18" spans="7:8" hidden="1" x14ac:dyDescent="0.2">
      <c r="G18" s="29"/>
      <c r="H18" s="29"/>
    </row>
    <row r="19" spans="7:8" hidden="1" x14ac:dyDescent="0.2">
      <c r="G19" s="29"/>
      <c r="H19" s="29"/>
    </row>
    <row r="20" spans="7:8" hidden="1" x14ac:dyDescent="0.2">
      <c r="G20" s="29"/>
      <c r="H20" s="29"/>
    </row>
    <row r="21" spans="7:8" hidden="1" x14ac:dyDescent="0.2">
      <c r="G21" s="29"/>
      <c r="H21" s="29"/>
    </row>
    <row r="22" spans="7:8" hidden="1" x14ac:dyDescent="0.2">
      <c r="G22" s="29"/>
      <c r="H22" s="29"/>
    </row>
    <row r="23" spans="7:8" hidden="1" x14ac:dyDescent="0.2">
      <c r="G23" s="29"/>
      <c r="H23" s="29"/>
    </row>
    <row r="24" spans="7:8" hidden="1" x14ac:dyDescent="0.2">
      <c r="G24" s="29"/>
      <c r="H24" s="29"/>
    </row>
    <row r="25" spans="7:8" hidden="1" x14ac:dyDescent="0.2">
      <c r="G25" s="29"/>
      <c r="H25" s="29"/>
    </row>
    <row r="26" spans="7:8" hidden="1" x14ac:dyDescent="0.2">
      <c r="G26" s="29"/>
      <c r="H26" s="29"/>
    </row>
  </sheetData>
  <dataConsolidate link="1"/>
  <conditionalFormatting sqref="W14:W15">
    <cfRule type="cellIs" dxfId="235" priority="13" operator="equal">
      <formula>"Check"</formula>
    </cfRule>
    <cfRule type="cellIs" dxfId="234" priority="14" operator="equal">
      <formula>"Ok"</formula>
    </cfRule>
  </conditionalFormatting>
  <conditionalFormatting sqref="V1">
    <cfRule type="cellIs" dxfId="233" priority="3" operator="equal">
      <formula>"Check"</formula>
    </cfRule>
    <cfRule type="cellIs" dxfId="232" priority="4" operator="equal">
      <formula>"Ok"</formula>
    </cfRule>
  </conditionalFormatting>
  <conditionalFormatting sqref="S7:S14">
    <cfRule type="cellIs" dxfId="231" priority="5" operator="equal">
      <formula>"Check"</formula>
    </cfRule>
    <cfRule type="cellIs" dxfId="230" priority="6" operator="equal">
      <formula>"Ok"</formula>
    </cfRule>
  </conditionalFormatting>
  <conditionalFormatting sqref="S1">
    <cfRule type="cellIs" dxfId="229" priority="1" operator="equal">
      <formula>"Check"</formula>
    </cfRule>
    <cfRule type="cellIs" dxfId="228" priority="2" operator="equal">
      <formula>"Ok"</formula>
    </cfRule>
  </conditionalFormatting>
  <dataValidations count="4">
    <dataValidation type="list" allowBlank="1" showInputMessage="1" showErrorMessage="1" sqref="F12:F13" xr:uid="{00000000-0002-0000-0100-000000000000}">
      <formula1>#REF!</formula1>
    </dataValidation>
    <dataValidation type="list" allowBlank="1" showInputMessage="1" showErrorMessage="1" sqref="F14:F15" xr:uid="{00000000-0002-0000-0100-000002000000}">
      <formula1>"Real 2010,Real 2011,Real 2012,Real 2013,Real 2014,Real 2015,Nominal"</formula1>
    </dataValidation>
    <dataValidation type="list" allowBlank="1" showInputMessage="1" showErrorMessage="1" sqref="I12:I15" xr:uid="{00000000-0002-0000-0100-000003000000}">
      <formula1>#REF!</formula1>
    </dataValidation>
    <dataValidation type="list" allowBlank="1" showInputMessage="1" showErrorMessage="1" sqref="G8" xr:uid="{3D5B00DE-D1CF-4BED-A925-5472C01B90FE}">
      <formula1>"proposal,draft decision,revised proposal,final decision"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'Lookup|Tables'!$G$25:$G$36</xm:f>
          </x14:formula1>
          <xm:sqref>G9</xm:sqref>
        </x14:dataValidation>
        <x14:dataValidation type="list" allowBlank="1" showInputMessage="1" showErrorMessage="1" xr:uid="{00000000-0002-0000-0100-000005000000}">
          <x14:formula1>
            <xm:f>'Lookup|Tables'!$G$41:$G$60</xm:f>
          </x14:formula1>
          <xm:sqref>G10:G14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  <outlinePr summaryBelow="0" summaryRight="0"/>
  </sheetPr>
  <dimension ref="A1:AV96"/>
  <sheetViews>
    <sheetView showGridLines="0" workbookViewId="0"/>
  </sheetViews>
  <sheetFormatPr defaultColWidth="0" defaultRowHeight="11.25" customHeight="1" zeroHeight="1" x14ac:dyDescent="0.2"/>
  <cols>
    <col min="1" max="2" width="1.5" style="26" customWidth="1"/>
    <col min="3" max="3" width="11.6640625" style="26" bestFit="1" customWidth="1"/>
    <col min="4" max="4" width="21.5" style="27" bestFit="1" customWidth="1"/>
    <col min="5" max="5" width="21.5" style="27" customWidth="1"/>
    <col min="6" max="7" width="15" style="27" customWidth="1"/>
    <col min="8" max="10" width="3.33203125" style="27" customWidth="1"/>
    <col min="11" max="24" width="10.83203125" style="26" customWidth="1"/>
    <col min="25" max="39" width="10.5" style="26" hidden="1" customWidth="1"/>
    <col min="40" max="16384" width="10.5" style="26" hidden="1"/>
  </cols>
  <sheetData>
    <row r="1" spans="1:48" s="64" customFormat="1" ht="15.75" x14ac:dyDescent="0.25">
      <c r="B1" s="215" t="str">
        <f>Index!$B$1</f>
        <v>AER opex model v1.8</v>
      </c>
      <c r="C1" s="65"/>
      <c r="D1" s="65"/>
      <c r="E1" s="65"/>
      <c r="F1" s="65"/>
      <c r="G1" s="66"/>
      <c r="H1" s="66"/>
      <c r="I1" s="66"/>
      <c r="J1" s="66"/>
      <c r="K1" s="34" t="s">
        <v>2</v>
      </c>
      <c r="M1" s="67" t="s">
        <v>3</v>
      </c>
      <c r="N1" s="68" t="s">
        <v>4</v>
      </c>
      <c r="O1" s="69" t="s">
        <v>5</v>
      </c>
      <c r="P1" s="70" t="s">
        <v>6</v>
      </c>
      <c r="S1" s="67" t="s">
        <v>74</v>
      </c>
      <c r="T1" s="217" t="str">
        <f>IF(COUNTA($T$5:$T$86)=COUNTIF($T5:$T86,"OK"),"OK","Check")</f>
        <v>OK</v>
      </c>
      <c r="V1" s="170" t="s">
        <v>24</v>
      </c>
      <c r="W1" s="217" t="str">
        <f ca="1">'Check|List'!$S$1</f>
        <v>Ok</v>
      </c>
    </row>
    <row r="2" spans="1:48" s="72" customFormat="1" ht="13.5" thickBot="1" x14ac:dyDescent="0.25">
      <c r="B2" s="216" t="str">
        <f>+Index!C8</f>
        <v>Input|Inflation</v>
      </c>
      <c r="C2" s="73"/>
      <c r="D2" s="73"/>
      <c r="E2" s="73"/>
      <c r="F2" s="73"/>
      <c r="G2" s="74"/>
      <c r="H2" s="74"/>
      <c r="I2" s="74"/>
      <c r="J2" s="74"/>
    </row>
    <row r="3" spans="1:48" s="24" customFormat="1" ht="3.2" customHeight="1" x14ac:dyDescent="0.2">
      <c r="D3" s="25"/>
      <c r="E3" s="25"/>
      <c r="F3" s="25"/>
      <c r="G3" s="25"/>
      <c r="H3" s="25"/>
      <c r="I3" s="25"/>
      <c r="J3" s="25"/>
    </row>
    <row r="4" spans="1:48" s="98" customFormat="1" ht="12.75" x14ac:dyDescent="0.2">
      <c r="A4" s="89"/>
      <c r="B4" s="90" t="s">
        <v>85</v>
      </c>
      <c r="C4" s="89"/>
      <c r="D4" s="89"/>
      <c r="E4" s="89"/>
      <c r="F4" s="89"/>
      <c r="G4" s="91"/>
      <c r="H4" s="91"/>
      <c r="I4" s="91"/>
      <c r="J4" s="91"/>
      <c r="K4" s="92"/>
      <c r="L4" s="93"/>
      <c r="M4" s="92"/>
      <c r="N4" s="93"/>
      <c r="O4" s="92"/>
      <c r="P4" s="92"/>
      <c r="Q4" s="92"/>
      <c r="R4" s="92"/>
      <c r="S4" s="92"/>
      <c r="T4" s="92"/>
      <c r="U4" s="92"/>
      <c r="V4" s="92"/>
      <c r="W4" s="93"/>
      <c r="X4" s="93"/>
      <c r="Y4" s="94"/>
      <c r="Z4" s="94"/>
      <c r="AA4" s="94"/>
      <c r="AB4" s="94"/>
      <c r="AC4" s="95"/>
      <c r="AD4" s="96"/>
      <c r="AE4" s="96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</row>
    <row r="5" spans="1:48" ht="11.25" customHeight="1" x14ac:dyDescent="0.2"/>
    <row r="6" spans="1:48" ht="53.25" x14ac:dyDescent="0.2">
      <c r="D6" s="59" t="s">
        <v>89</v>
      </c>
      <c r="E6" s="59" t="s">
        <v>124</v>
      </c>
      <c r="F6" s="59" t="s">
        <v>89</v>
      </c>
      <c r="G6" s="59" t="s">
        <v>124</v>
      </c>
      <c r="H6" s="59"/>
      <c r="I6" s="26"/>
      <c r="J6" s="26"/>
    </row>
    <row r="7" spans="1:48" x14ac:dyDescent="0.2">
      <c r="C7" s="63" t="s">
        <v>7</v>
      </c>
      <c r="D7" s="62" t="s">
        <v>87</v>
      </c>
      <c r="E7" s="62" t="s">
        <v>29</v>
      </c>
      <c r="F7" s="62" t="s">
        <v>87</v>
      </c>
      <c r="G7" s="62" t="s">
        <v>29</v>
      </c>
      <c r="H7" s="62"/>
      <c r="I7" s="26"/>
      <c r="J7" s="26"/>
    </row>
    <row r="8" spans="1:48" x14ac:dyDescent="0.2">
      <c r="C8" s="63" t="s">
        <v>8</v>
      </c>
      <c r="D8" s="62" t="s">
        <v>75</v>
      </c>
      <c r="E8" s="62" t="s">
        <v>16</v>
      </c>
      <c r="F8" s="62" t="s">
        <v>75</v>
      </c>
      <c r="G8" s="62" t="s">
        <v>16</v>
      </c>
      <c r="H8" s="62"/>
      <c r="I8" s="26"/>
      <c r="J8" s="26"/>
    </row>
    <row r="9" spans="1:48" x14ac:dyDescent="0.2">
      <c r="C9" s="246">
        <v>39172</v>
      </c>
      <c r="D9" s="60">
        <v>155.6</v>
      </c>
      <c r="E9" s="26"/>
      <c r="F9" s="26"/>
      <c r="G9" s="26"/>
      <c r="H9" s="26"/>
      <c r="I9" s="26"/>
      <c r="J9" s="26"/>
      <c r="T9" s="247" t="str">
        <f>IF(C9&gt;EOMONTH(DATE('Input|General'!$G$12,MONTH('Input|General'!$G$9),1),0),"Ok",IF(ISBLANK($D9),"Check","Ok"))</f>
        <v>Ok</v>
      </c>
    </row>
    <row r="10" spans="1:48" x14ac:dyDescent="0.2">
      <c r="C10" s="246">
        <v>39263</v>
      </c>
      <c r="D10" s="60">
        <v>157.5</v>
      </c>
      <c r="E10" s="26"/>
      <c r="F10" s="26"/>
      <c r="G10" s="26"/>
      <c r="H10" s="26"/>
      <c r="I10" s="26"/>
      <c r="J10" s="26"/>
      <c r="T10" s="247" t="str">
        <f>IF(C10&gt;EOMONTH(DATE('Input|General'!$G$12,MONTH('Input|General'!$G$9),1),0),"Ok",IF(ISBLANK($D10),"Check","Ok"))</f>
        <v>Ok</v>
      </c>
    </row>
    <row r="11" spans="1:48" x14ac:dyDescent="0.2">
      <c r="C11" s="246">
        <v>39355</v>
      </c>
      <c r="D11" s="60">
        <v>158.6</v>
      </c>
      <c r="E11" s="26"/>
      <c r="F11" s="26"/>
      <c r="G11" s="26"/>
      <c r="H11" s="26"/>
      <c r="I11" s="26"/>
      <c r="J11" s="26"/>
      <c r="T11" s="247" t="str">
        <f>IF(C11&gt;EOMONTH(DATE('Input|General'!$G$12,MONTH('Input|General'!$G$9),1),0),"Ok",IF(ISBLANK($D11),"Check","Ok"))</f>
        <v>Ok</v>
      </c>
    </row>
    <row r="12" spans="1:48" x14ac:dyDescent="0.2">
      <c r="C12" s="246">
        <v>39447</v>
      </c>
      <c r="D12" s="60">
        <v>160.1</v>
      </c>
      <c r="E12" s="26"/>
      <c r="F12" s="26"/>
      <c r="G12" s="61"/>
      <c r="H12" s="26"/>
      <c r="I12" s="26"/>
      <c r="J12" s="180"/>
      <c r="T12" s="247" t="str">
        <f>IF(C12&gt;EOMONTH(DATE('Input|General'!$G$12,MONTH('Input|General'!$G$9),1),0),"Ok",IF(ISBLANK($D12),"Check","Ok"))</f>
        <v>Ok</v>
      </c>
    </row>
    <row r="13" spans="1:48" x14ac:dyDescent="0.2">
      <c r="C13" s="246">
        <v>39538</v>
      </c>
      <c r="D13" s="60">
        <v>162.19999999999999</v>
      </c>
      <c r="E13" s="228">
        <f>D13/D9-1</f>
        <v>4.2416452442159303E-2</v>
      </c>
      <c r="F13" s="26"/>
      <c r="G13" s="61"/>
      <c r="H13" s="26"/>
      <c r="I13" s="26"/>
      <c r="J13" s="180"/>
      <c r="T13" s="247" t="str">
        <f>IF(C13&gt;EOMONTH(DATE('Input|General'!$G$12,MONTH('Input|General'!$G$9),1),0),"Ok",IF(ISBLANK($D13),"Check","Ok"))</f>
        <v>Ok</v>
      </c>
    </row>
    <row r="14" spans="1:48" x14ac:dyDescent="0.2">
      <c r="C14" s="246">
        <v>39629</v>
      </c>
      <c r="D14" s="60">
        <v>164.6</v>
      </c>
      <c r="E14" s="228">
        <f t="shared" ref="E14:E29" si="0">D14/D10-1</f>
        <v>4.5079365079365052E-2</v>
      </c>
      <c r="F14" s="26"/>
      <c r="G14" s="61"/>
      <c r="H14" s="26"/>
      <c r="I14" s="26"/>
      <c r="J14" s="180"/>
      <c r="T14" s="247" t="str">
        <f>IF(C14&gt;EOMONTH(DATE('Input|General'!$G$12,MONTH('Input|General'!$G$9),1),0),"Ok",IF(ISBLANK($D14),"Check","Ok"))</f>
        <v>Ok</v>
      </c>
    </row>
    <row r="15" spans="1:48" x14ac:dyDescent="0.2">
      <c r="C15" s="246">
        <v>39721</v>
      </c>
      <c r="D15" s="60">
        <v>166.5</v>
      </c>
      <c r="E15" s="228">
        <f t="shared" si="0"/>
        <v>4.9810844892812067E-2</v>
      </c>
      <c r="F15" s="26"/>
      <c r="G15" s="61"/>
      <c r="H15" s="26"/>
      <c r="I15" s="26"/>
      <c r="J15" s="180"/>
      <c r="T15" s="247" t="str">
        <f>IF(C15&gt;EOMONTH(DATE('Input|General'!$G$12,MONTH('Input|General'!$G$9),1),0),"Ok",IF(ISBLANK($D15),"Check","Ok"))</f>
        <v>Ok</v>
      </c>
    </row>
    <row r="16" spans="1:48" x14ac:dyDescent="0.2">
      <c r="C16" s="246">
        <v>39813</v>
      </c>
      <c r="D16" s="60">
        <v>166</v>
      </c>
      <c r="E16" s="228">
        <f t="shared" si="0"/>
        <v>3.6851967520299844E-2</v>
      </c>
      <c r="F16" s="26"/>
      <c r="G16" s="61"/>
      <c r="H16" s="26"/>
      <c r="I16" s="26"/>
      <c r="J16" s="180"/>
      <c r="T16" s="247" t="str">
        <f>IF(C16&gt;EOMONTH(DATE('Input|General'!$G$12,MONTH('Input|General'!$G$9),1),0),"Ok",IF(ISBLANK($D16),"Check","Ok"))</f>
        <v>Ok</v>
      </c>
    </row>
    <row r="17" spans="3:20" x14ac:dyDescent="0.2">
      <c r="C17" s="246">
        <v>39903</v>
      </c>
      <c r="D17" s="60">
        <v>166.2</v>
      </c>
      <c r="E17" s="228">
        <f t="shared" si="0"/>
        <v>2.4660912453760897E-2</v>
      </c>
      <c r="F17" s="26"/>
      <c r="G17" s="61"/>
      <c r="H17" s="26"/>
      <c r="I17" s="26"/>
      <c r="J17" s="180"/>
      <c r="T17" s="247" t="str">
        <f>IF(C17&gt;EOMONTH(DATE('Input|General'!$G$12,MONTH('Input|General'!$G$9),1),0),"Ok",IF(ISBLANK($D17),"Check","Ok"))</f>
        <v>Ok</v>
      </c>
    </row>
    <row r="18" spans="3:20" x14ac:dyDescent="0.2">
      <c r="C18" s="246">
        <v>39994</v>
      </c>
      <c r="D18" s="60">
        <v>167</v>
      </c>
      <c r="E18" s="228">
        <f t="shared" si="0"/>
        <v>1.4580801944106936E-2</v>
      </c>
      <c r="F18" s="26"/>
      <c r="G18" s="61"/>
      <c r="H18" s="26"/>
      <c r="I18" s="26"/>
      <c r="J18" s="180"/>
      <c r="T18" s="247" t="str">
        <f>IF(C18&gt;EOMONTH(DATE('Input|General'!$G$12,MONTH('Input|General'!$G$9),1),0),"Ok",IF(ISBLANK($D18),"Check","Ok"))</f>
        <v>Ok</v>
      </c>
    </row>
    <row r="19" spans="3:20" x14ac:dyDescent="0.2">
      <c r="C19" s="246">
        <v>40086</v>
      </c>
      <c r="D19" s="60">
        <v>168.6</v>
      </c>
      <c r="E19" s="228">
        <f t="shared" si="0"/>
        <v>1.2612612612612484E-2</v>
      </c>
      <c r="F19" s="26"/>
      <c r="G19" s="61"/>
      <c r="H19" s="26"/>
      <c r="I19" s="26"/>
      <c r="J19" s="180"/>
      <c r="T19" s="247" t="str">
        <f>IF(C19&gt;EOMONTH(DATE('Input|General'!$G$12,MONTH('Input|General'!$G$9),1),0),"Ok",IF(ISBLANK($D19),"Check","Ok"))</f>
        <v>Ok</v>
      </c>
    </row>
    <row r="20" spans="3:20" x14ac:dyDescent="0.2">
      <c r="C20" s="246">
        <v>40178</v>
      </c>
      <c r="D20" s="60">
        <v>169.5</v>
      </c>
      <c r="E20" s="228">
        <f t="shared" si="0"/>
        <v>2.108433734939763E-2</v>
      </c>
      <c r="F20" s="26"/>
      <c r="G20" s="61"/>
      <c r="H20" s="26"/>
      <c r="I20" s="26"/>
      <c r="J20" s="180"/>
      <c r="T20" s="247" t="str">
        <f>IF(C20&gt;EOMONTH(DATE('Input|General'!$G$12,MONTH('Input|General'!$G$9),1),0),"Ok",IF(ISBLANK($D20),"Check","Ok"))</f>
        <v>Ok</v>
      </c>
    </row>
    <row r="21" spans="3:20" x14ac:dyDescent="0.2">
      <c r="C21" s="246">
        <v>40268</v>
      </c>
      <c r="D21" s="60">
        <v>171</v>
      </c>
      <c r="E21" s="228">
        <f t="shared" si="0"/>
        <v>2.8880866425992746E-2</v>
      </c>
      <c r="F21" s="60">
        <v>95.2</v>
      </c>
      <c r="G21" s="61"/>
      <c r="H21" s="171"/>
      <c r="I21" s="26"/>
      <c r="J21" s="180"/>
      <c r="T21" s="247" t="str">
        <f>IF(C21&gt;EOMONTH(DATE('Input|General'!$G$12,MONTH('Input|General'!$G$9),1),0),"Ok",IF(ISBLANK($F21),"Check","Ok"))</f>
        <v>Ok</v>
      </c>
    </row>
    <row r="22" spans="3:20" x14ac:dyDescent="0.2">
      <c r="C22" s="246">
        <v>40359</v>
      </c>
      <c r="D22" s="60">
        <v>172.1</v>
      </c>
      <c r="E22" s="228">
        <f t="shared" si="0"/>
        <v>3.0538922155688653E-2</v>
      </c>
      <c r="F22" s="60">
        <v>95.8</v>
      </c>
      <c r="G22" s="61"/>
      <c r="H22" s="171"/>
      <c r="I22" s="26"/>
      <c r="J22" s="180"/>
      <c r="T22" s="247" t="str">
        <f>IF(C22&gt;EOMONTH(DATE('Input|General'!$G$12,MONTH('Input|General'!$G$9),1),0),"Ok",IF(ISBLANK($F22),"Check","Ok"))</f>
        <v>Ok</v>
      </c>
    </row>
    <row r="23" spans="3:20" x14ac:dyDescent="0.2">
      <c r="C23" s="246">
        <v>40451</v>
      </c>
      <c r="D23" s="60">
        <v>173.3</v>
      </c>
      <c r="E23" s="228">
        <f t="shared" si="0"/>
        <v>2.7876631079478242E-2</v>
      </c>
      <c r="F23" s="60">
        <v>96.5</v>
      </c>
      <c r="G23" s="61"/>
      <c r="H23" s="171"/>
      <c r="I23" s="26"/>
      <c r="J23" s="180"/>
      <c r="T23" s="247" t="str">
        <f>IF(C23&gt;EOMONTH(DATE('Input|General'!$G$12,MONTH('Input|General'!$G$9),1),0),"Ok",IF(ISBLANK($F23),"Check","Ok"))</f>
        <v>Ok</v>
      </c>
    </row>
    <row r="24" spans="3:20" x14ac:dyDescent="0.2">
      <c r="C24" s="246">
        <v>40543</v>
      </c>
      <c r="D24" s="60">
        <v>174</v>
      </c>
      <c r="E24" s="228">
        <f t="shared" si="0"/>
        <v>2.6548672566371723E-2</v>
      </c>
      <c r="F24" s="60">
        <v>96.9</v>
      </c>
      <c r="G24" s="61"/>
      <c r="H24" s="171"/>
      <c r="I24" s="26"/>
      <c r="J24" s="180"/>
      <c r="T24" s="247" t="str">
        <f>IF(C24&gt;EOMONTH(DATE('Input|General'!$G$12,MONTH('Input|General'!$G$9),1),0),"Ok",IF(ISBLANK($F24),"Check","Ok"))</f>
        <v>Ok</v>
      </c>
    </row>
    <row r="25" spans="3:20" x14ac:dyDescent="0.2">
      <c r="C25" s="246">
        <v>40633</v>
      </c>
      <c r="D25" s="60">
        <v>176.7</v>
      </c>
      <c r="E25" s="228">
        <f t="shared" si="0"/>
        <v>3.3333333333333215E-2</v>
      </c>
      <c r="F25" s="60">
        <v>98.3</v>
      </c>
      <c r="G25" s="228">
        <f>IF(ISBLANK(F25),"",F25/F21-1)</f>
        <v>3.2563025210083918E-2</v>
      </c>
      <c r="H25" s="171"/>
      <c r="I25" s="26"/>
      <c r="J25" s="180"/>
      <c r="T25" s="247" t="str">
        <f>IF(C25&gt;EOMONTH(DATE('Input|General'!$G$12,MONTH('Input|General'!$G$9),1),0),"Ok",IF(ISBLANK($F25),"Check","Ok"))</f>
        <v>Ok</v>
      </c>
    </row>
    <row r="26" spans="3:20" x14ac:dyDescent="0.2">
      <c r="C26" s="246">
        <v>40724</v>
      </c>
      <c r="D26" s="60">
        <v>178.3</v>
      </c>
      <c r="E26" s="228">
        <f t="shared" si="0"/>
        <v>3.6025566531086683E-2</v>
      </c>
      <c r="F26" s="60">
        <v>99.2</v>
      </c>
      <c r="G26" s="228">
        <f t="shared" ref="G26:G77" si="1">IF(ISBLANK(F26),"",F26/F22-1)</f>
        <v>3.5490605427975108E-2</v>
      </c>
      <c r="H26" s="171"/>
      <c r="I26" s="26"/>
      <c r="J26" s="180"/>
      <c r="T26" s="247" t="str">
        <f>IF(C26&gt;EOMONTH(DATE('Input|General'!$G$12,MONTH('Input|General'!$G$9),1),0),"Ok",IF(ISBLANK($F26),"Check","Ok"))</f>
        <v>Ok</v>
      </c>
    </row>
    <row r="27" spans="3:20" x14ac:dyDescent="0.2">
      <c r="C27" s="246">
        <v>40816</v>
      </c>
      <c r="D27" s="60">
        <v>179.4</v>
      </c>
      <c r="E27" s="228">
        <f t="shared" si="0"/>
        <v>3.5199076745527913E-2</v>
      </c>
      <c r="F27" s="60">
        <v>99.8</v>
      </c>
      <c r="G27" s="228">
        <f t="shared" si="1"/>
        <v>3.4196891191709877E-2</v>
      </c>
      <c r="H27" s="171"/>
      <c r="I27" s="26"/>
      <c r="J27" s="180"/>
      <c r="T27" s="247" t="str">
        <f>IF(C27&gt;EOMONTH(DATE('Input|General'!$G$12,MONTH('Input|General'!$G$9),1),0),"Ok",IF(ISBLANK($F27),"Check","Ok"))</f>
        <v>Ok</v>
      </c>
    </row>
    <row r="28" spans="3:20" x14ac:dyDescent="0.2">
      <c r="C28" s="246">
        <v>40908</v>
      </c>
      <c r="D28" s="60">
        <v>179.4</v>
      </c>
      <c r="E28" s="228">
        <f t="shared" si="0"/>
        <v>3.1034482758620641E-2</v>
      </c>
      <c r="F28" s="60">
        <v>99.8</v>
      </c>
      <c r="G28" s="228">
        <f t="shared" si="1"/>
        <v>2.9927760577915352E-2</v>
      </c>
      <c r="H28" s="171"/>
      <c r="I28" s="26"/>
      <c r="J28" s="180"/>
      <c r="T28" s="247" t="str">
        <f>IF(C28&gt;EOMONTH(DATE('Input|General'!$G$12,MONTH('Input|General'!$G$9),1),0),"Ok",IF(ISBLANK($F28),"Check","Ok"))</f>
        <v>Ok</v>
      </c>
    </row>
    <row r="29" spans="3:20" x14ac:dyDescent="0.2">
      <c r="C29" s="246">
        <v>40999</v>
      </c>
      <c r="D29" s="60">
        <v>179.5</v>
      </c>
      <c r="E29" s="228">
        <f t="shared" si="0"/>
        <v>1.5846066779853007E-2</v>
      </c>
      <c r="F29" s="60">
        <v>99.9</v>
      </c>
      <c r="G29" s="228">
        <f t="shared" si="1"/>
        <v>1.6276703967446737E-2</v>
      </c>
      <c r="H29" s="171"/>
      <c r="I29" s="26"/>
      <c r="J29" s="180"/>
      <c r="T29" s="247" t="str">
        <f>IF(C29&gt;EOMONTH(DATE('Input|General'!$G$12,MONTH('Input|General'!$G$9),1),0),"Ok",IF(ISBLANK($F29),"Check","Ok"))</f>
        <v>Ok</v>
      </c>
    </row>
    <row r="30" spans="3:20" x14ac:dyDescent="0.2">
      <c r="C30" s="246">
        <v>41090</v>
      </c>
      <c r="D30" s="26"/>
      <c r="E30" s="26"/>
      <c r="F30" s="60">
        <v>100.4</v>
      </c>
      <c r="G30" s="228">
        <f t="shared" si="1"/>
        <v>1.2096774193548487E-2</v>
      </c>
      <c r="H30" s="171"/>
      <c r="I30" s="26"/>
      <c r="J30" s="180"/>
      <c r="T30" s="247" t="str">
        <f>IF(C30&gt;EOMONTH(DATE('Input|General'!$G$12,MONTH('Input|General'!$G$9),1),0),"Ok",IF(ISBLANK($F30),"Check","Ok"))</f>
        <v>Ok</v>
      </c>
    </row>
    <row r="31" spans="3:20" x14ac:dyDescent="0.2">
      <c r="C31" s="246">
        <v>41182</v>
      </c>
      <c r="D31" s="26"/>
      <c r="E31" s="26"/>
      <c r="F31" s="60">
        <v>101.8</v>
      </c>
      <c r="G31" s="228">
        <f t="shared" si="1"/>
        <v>2.0040080160320661E-2</v>
      </c>
      <c r="H31" s="171"/>
      <c r="I31" s="26"/>
      <c r="J31" s="180"/>
      <c r="T31" s="247" t="str">
        <f>IF(C31&gt;EOMONTH(DATE('Input|General'!$G$12,MONTH('Input|General'!$G$9),1),0),"Ok",IF(ISBLANK($F31),"Check","Ok"))</f>
        <v>Ok</v>
      </c>
    </row>
    <row r="32" spans="3:20" x14ac:dyDescent="0.2">
      <c r="C32" s="246">
        <v>41274</v>
      </c>
      <c r="D32" s="26"/>
      <c r="E32" s="26"/>
      <c r="F32" s="60">
        <v>102</v>
      </c>
      <c r="G32" s="228">
        <f t="shared" si="1"/>
        <v>2.2044088176352838E-2</v>
      </c>
      <c r="H32" s="171"/>
      <c r="I32" s="26"/>
      <c r="J32" s="180"/>
      <c r="T32" s="247" t="str">
        <f>IF(C32&gt;EOMONTH(DATE('Input|General'!$G$12,MONTH('Input|General'!$G$9),1),0),"Ok",IF(ISBLANK($F32),"Check","Ok"))</f>
        <v>Ok</v>
      </c>
    </row>
    <row r="33" spans="3:20" x14ac:dyDescent="0.2">
      <c r="C33" s="246">
        <v>41364</v>
      </c>
      <c r="D33" s="26"/>
      <c r="E33" s="26"/>
      <c r="F33" s="60">
        <v>102.4</v>
      </c>
      <c r="G33" s="228">
        <f t="shared" si="1"/>
        <v>2.5025025025025016E-2</v>
      </c>
      <c r="H33" s="171"/>
      <c r="I33" s="26"/>
      <c r="J33" s="180"/>
      <c r="T33" s="247" t="str">
        <f>IF(C33&gt;EOMONTH(DATE('Input|General'!$G$12,MONTH('Input|General'!$G$9),1),0),"Ok",IF(ISBLANK($F33),"Check","Ok"))</f>
        <v>Ok</v>
      </c>
    </row>
    <row r="34" spans="3:20" x14ac:dyDescent="0.2">
      <c r="C34" s="246">
        <v>41455</v>
      </c>
      <c r="D34" s="26"/>
      <c r="E34" s="26"/>
      <c r="F34" s="60">
        <v>102.8</v>
      </c>
      <c r="G34" s="228">
        <f t="shared" si="1"/>
        <v>2.3904382470119501E-2</v>
      </c>
      <c r="H34" s="171"/>
      <c r="I34" s="26"/>
      <c r="J34" s="180"/>
      <c r="T34" s="247" t="str">
        <f>IF(C34&gt;EOMONTH(DATE('Input|General'!$G$12,MONTH('Input|General'!$G$9),1),0),"Ok",IF(ISBLANK($F34),"Check","Ok"))</f>
        <v>Ok</v>
      </c>
    </row>
    <row r="35" spans="3:20" x14ac:dyDescent="0.2">
      <c r="C35" s="246">
        <v>41547</v>
      </c>
      <c r="D35" s="26"/>
      <c r="E35" s="26"/>
      <c r="F35" s="60">
        <v>104</v>
      </c>
      <c r="G35" s="228">
        <f t="shared" si="1"/>
        <v>2.16110019646365E-2</v>
      </c>
      <c r="H35" s="171"/>
      <c r="I35" s="26"/>
      <c r="J35" s="180"/>
      <c r="T35" s="247" t="str">
        <f>IF(C35&gt;EOMONTH(DATE('Input|General'!$G$12,MONTH('Input|General'!$G$9),1),0),"Ok",IF(ISBLANK($F35),"Check","Ok"))</f>
        <v>Ok</v>
      </c>
    </row>
    <row r="36" spans="3:20" x14ac:dyDescent="0.2">
      <c r="C36" s="246">
        <v>41639</v>
      </c>
      <c r="D36" s="26"/>
      <c r="E36" s="26"/>
      <c r="F36" s="60">
        <v>104.8</v>
      </c>
      <c r="G36" s="228">
        <f t="shared" si="1"/>
        <v>2.7450980392156765E-2</v>
      </c>
      <c r="H36" s="171"/>
      <c r="I36" s="26"/>
      <c r="J36" s="180"/>
      <c r="T36" s="247" t="str">
        <f>IF(C36&gt;EOMONTH(DATE('Input|General'!$G$12,MONTH('Input|General'!$G$9),1),0),"Ok",IF(ISBLANK($F36),"Check","Ok"))</f>
        <v>Ok</v>
      </c>
    </row>
    <row r="37" spans="3:20" x14ac:dyDescent="0.2">
      <c r="C37" s="246">
        <v>41729</v>
      </c>
      <c r="D37" s="26"/>
      <c r="E37" s="26"/>
      <c r="F37" s="60">
        <v>105.4</v>
      </c>
      <c r="G37" s="228">
        <f t="shared" si="1"/>
        <v>2.9296875E-2</v>
      </c>
      <c r="H37" s="171"/>
      <c r="I37" s="26"/>
      <c r="J37" s="180"/>
      <c r="T37" s="247" t="str">
        <f>IF(C37&gt;EOMONTH(DATE('Input|General'!$G$12,MONTH('Input|General'!$G$9),1),0),"Ok",IF(ISBLANK($F37),"Check","Ok"))</f>
        <v>Ok</v>
      </c>
    </row>
    <row r="38" spans="3:20" x14ac:dyDescent="0.2">
      <c r="C38" s="246">
        <v>41820</v>
      </c>
      <c r="D38" s="26"/>
      <c r="E38" s="26"/>
      <c r="F38" s="60">
        <v>105.9</v>
      </c>
      <c r="G38" s="228">
        <f t="shared" si="1"/>
        <v>3.0155642023346418E-2</v>
      </c>
      <c r="H38" s="171"/>
      <c r="I38" s="26"/>
      <c r="J38" s="180"/>
      <c r="T38" s="247" t="str">
        <f>IF(C38&gt;EOMONTH(DATE('Input|General'!$G$12,MONTH('Input|General'!$G$9),1),0),"Ok",IF(ISBLANK($F38),"Check","Ok"))</f>
        <v>Ok</v>
      </c>
    </row>
    <row r="39" spans="3:20" x14ac:dyDescent="0.2">
      <c r="C39" s="246">
        <v>41912</v>
      </c>
      <c r="D39" s="26"/>
      <c r="E39" s="26"/>
      <c r="F39" s="60">
        <v>106.4</v>
      </c>
      <c r="G39" s="228">
        <f t="shared" si="1"/>
        <v>2.3076923076923217E-2</v>
      </c>
      <c r="H39" s="171"/>
      <c r="I39" s="26"/>
      <c r="J39" s="180"/>
      <c r="T39" s="247" t="str">
        <f>IF(C39&gt;EOMONTH(DATE('Input|General'!$G$12,MONTH('Input|General'!$G$9),1),0),"Ok",IF(ISBLANK($F39),"Check","Ok"))</f>
        <v>Ok</v>
      </c>
    </row>
    <row r="40" spans="3:20" x14ac:dyDescent="0.2">
      <c r="C40" s="246">
        <v>42004</v>
      </c>
      <c r="D40" s="26"/>
      <c r="E40" s="26"/>
      <c r="F40" s="60">
        <v>106.6</v>
      </c>
      <c r="G40" s="228">
        <f t="shared" si="1"/>
        <v>1.7175572519083859E-2</v>
      </c>
      <c r="H40" s="171"/>
      <c r="I40" s="26"/>
      <c r="J40" s="180"/>
      <c r="T40" s="247" t="str">
        <f>IF(C40&gt;EOMONTH(DATE('Input|General'!$G$12,MONTH('Input|General'!$G$9),1),0),"Ok",IF(ISBLANK($F40),"Check","Ok"))</f>
        <v>Ok</v>
      </c>
    </row>
    <row r="41" spans="3:20" x14ac:dyDescent="0.2">
      <c r="C41" s="246">
        <v>42094</v>
      </c>
      <c r="D41" s="26"/>
      <c r="E41" s="26"/>
      <c r="F41" s="60">
        <v>106.8</v>
      </c>
      <c r="G41" s="228">
        <f t="shared" si="1"/>
        <v>1.3282732447817747E-2</v>
      </c>
      <c r="H41" s="171"/>
      <c r="I41" s="26"/>
      <c r="J41" s="180"/>
      <c r="T41" s="247" t="str">
        <f>IF(C41&gt;EOMONTH(DATE('Input|General'!$G$12,MONTH('Input|General'!$G$9),1),0),"Ok",IF(ISBLANK($F41),"Check","Ok"))</f>
        <v>Ok</v>
      </c>
    </row>
    <row r="42" spans="3:20" x14ac:dyDescent="0.2">
      <c r="C42" s="246">
        <v>42185</v>
      </c>
      <c r="D42" s="26"/>
      <c r="E42" s="26"/>
      <c r="F42" s="60">
        <v>107.5</v>
      </c>
      <c r="G42" s="228">
        <f t="shared" si="1"/>
        <v>1.5108593012275628E-2</v>
      </c>
      <c r="H42" s="171"/>
      <c r="I42" s="26"/>
      <c r="J42" s="180"/>
      <c r="T42" s="247" t="str">
        <f>IF(C42&gt;EOMONTH(DATE('Input|General'!$G$12,MONTH('Input|General'!$G$9),1),0),"Ok",IF(ISBLANK($F42),"Check","Ok"))</f>
        <v>Ok</v>
      </c>
    </row>
    <row r="43" spans="3:20" x14ac:dyDescent="0.2">
      <c r="C43" s="246">
        <v>42277</v>
      </c>
      <c r="D43" s="26"/>
      <c r="E43" s="26"/>
      <c r="F43" s="60">
        <v>108</v>
      </c>
      <c r="G43" s="228">
        <f t="shared" si="1"/>
        <v>1.5037593984962294E-2</v>
      </c>
      <c r="H43" s="171"/>
      <c r="I43" s="26"/>
      <c r="J43" s="180"/>
      <c r="T43" s="247" t="str">
        <f>IF(C43&gt;EOMONTH(DATE('Input|General'!$G$12,MONTH('Input|General'!$G$9),1),0),"Ok",IF(ISBLANK($F43),"Check","Ok"))</f>
        <v>Ok</v>
      </c>
    </row>
    <row r="44" spans="3:20" x14ac:dyDescent="0.2">
      <c r="C44" s="246">
        <v>42369</v>
      </c>
      <c r="D44" s="26"/>
      <c r="E44" s="26"/>
      <c r="F44" s="60">
        <v>108.4</v>
      </c>
      <c r="G44" s="228">
        <f t="shared" si="1"/>
        <v>1.6885553470919357E-2</v>
      </c>
      <c r="H44" s="171"/>
      <c r="I44" s="26"/>
      <c r="J44" s="180"/>
      <c r="T44" s="247" t="str">
        <f>IF(C44&gt;EOMONTH(DATE('Input|General'!$G$12,MONTH('Input|General'!$G$9),1),0),"Ok",IF(ISBLANK($F44),"Check","Ok"))</f>
        <v>Ok</v>
      </c>
    </row>
    <row r="45" spans="3:20" x14ac:dyDescent="0.2">
      <c r="C45" s="246">
        <v>42460</v>
      </c>
      <c r="D45" s="26"/>
      <c r="E45" s="26"/>
      <c r="F45" s="60">
        <v>108.2</v>
      </c>
      <c r="G45" s="228">
        <f t="shared" si="1"/>
        <v>1.3108614232209881E-2</v>
      </c>
      <c r="H45" s="171"/>
      <c r="I45" s="26"/>
      <c r="J45" s="180"/>
      <c r="T45" s="247" t="str">
        <f>IF(C45&gt;EOMONTH(DATE('Input|General'!$G$12,MONTH('Input|General'!$G$9),1),0),"Ok",IF(ISBLANK($F45),"Check","Ok"))</f>
        <v>Ok</v>
      </c>
    </row>
    <row r="46" spans="3:20" x14ac:dyDescent="0.2">
      <c r="C46" s="246">
        <v>42551</v>
      </c>
      <c r="D46" s="26"/>
      <c r="E46" s="26"/>
      <c r="F46" s="60">
        <v>108.6</v>
      </c>
      <c r="G46" s="228">
        <f t="shared" si="1"/>
        <v>1.0232558139534831E-2</v>
      </c>
      <c r="H46" s="171"/>
      <c r="I46" s="26"/>
      <c r="J46" s="180"/>
      <c r="T46" s="247" t="str">
        <f>IF(C46&gt;EOMONTH(DATE('Input|General'!$G$12,MONTH('Input|General'!$G$9),1),0),"Ok",IF(ISBLANK($F46),"Check","Ok"))</f>
        <v>Ok</v>
      </c>
    </row>
    <row r="47" spans="3:20" x14ac:dyDescent="0.2">
      <c r="C47" s="246">
        <v>42643</v>
      </c>
      <c r="D47" s="26"/>
      <c r="E47" s="26"/>
      <c r="F47" s="60">
        <v>109.4</v>
      </c>
      <c r="G47" s="228">
        <f t="shared" si="1"/>
        <v>1.2962962962963065E-2</v>
      </c>
      <c r="H47" s="171"/>
      <c r="I47" s="26"/>
      <c r="J47" s="180"/>
      <c r="T47" s="247" t="str">
        <f>IF(C47&gt;EOMONTH(DATE('Input|General'!$G$12,MONTH('Input|General'!$G$9),1),0),"Ok",IF(ISBLANK($F47),"Check","Ok"))</f>
        <v>Ok</v>
      </c>
    </row>
    <row r="48" spans="3:20" x14ac:dyDescent="0.2">
      <c r="C48" s="246">
        <v>42735</v>
      </c>
      <c r="D48" s="26"/>
      <c r="E48" s="26"/>
      <c r="F48" s="60">
        <v>110</v>
      </c>
      <c r="G48" s="228">
        <f t="shared" si="1"/>
        <v>1.4760147601476037E-2</v>
      </c>
      <c r="H48" s="171"/>
      <c r="I48" s="26"/>
      <c r="J48" s="180"/>
      <c r="T48" s="247" t="str">
        <f>IF(C48&gt;EOMONTH(DATE('Input|General'!$G$12,MONTH('Input|General'!$G$9),1),0),"Ok",IF(ISBLANK($F48),"Check","Ok"))</f>
        <v>Ok</v>
      </c>
    </row>
    <row r="49" spans="3:20" x14ac:dyDescent="0.2">
      <c r="C49" s="246">
        <v>42825</v>
      </c>
      <c r="D49" s="26"/>
      <c r="E49" s="26"/>
      <c r="F49" s="60">
        <v>110.5</v>
      </c>
      <c r="G49" s="228">
        <f t="shared" si="1"/>
        <v>2.1256931608133023E-2</v>
      </c>
      <c r="H49" s="171"/>
      <c r="I49" s="26"/>
      <c r="J49" s="180"/>
      <c r="T49" s="247" t="str">
        <f>IF(C49&gt;EOMONTH(DATE('Input|General'!$G$12,MONTH('Input|General'!$G$9),1),0),"Ok",IF(ISBLANK($F49),"Check","Ok"))</f>
        <v>Ok</v>
      </c>
    </row>
    <row r="50" spans="3:20" x14ac:dyDescent="0.2">
      <c r="C50" s="246">
        <v>42916</v>
      </c>
      <c r="D50" s="26"/>
      <c r="E50" s="26"/>
      <c r="F50" s="60">
        <v>110.7</v>
      </c>
      <c r="G50" s="228">
        <f t="shared" si="1"/>
        <v>1.9337016574585641E-2</v>
      </c>
      <c r="H50" s="172"/>
      <c r="I50" s="26"/>
      <c r="J50" s="180"/>
      <c r="T50" s="247" t="str">
        <f>IF(C50&gt;EOMONTH(DATE('Input|General'!$G$12,MONTH('Input|General'!$G$9),1),0),"Ok",IF(ISBLANK($F50),"Check","Ok"))</f>
        <v>Ok</v>
      </c>
    </row>
    <row r="51" spans="3:20" x14ac:dyDescent="0.2">
      <c r="C51" s="246">
        <v>43008</v>
      </c>
      <c r="D51" s="26"/>
      <c r="E51" s="26"/>
      <c r="F51" s="60">
        <v>111.4</v>
      </c>
      <c r="G51" s="228">
        <f t="shared" si="1"/>
        <v>1.8281535648994485E-2</v>
      </c>
      <c r="H51" s="171"/>
      <c r="I51" s="26"/>
      <c r="J51" s="180"/>
      <c r="T51" s="247" t="str">
        <f>IF(C51&gt;EOMONTH(DATE('Input|General'!$G$12,MONTH('Input|General'!$G$9),1),0),"Ok",IF(ISBLANK($F51),"Check","Ok"))</f>
        <v>Ok</v>
      </c>
    </row>
    <row r="52" spans="3:20" x14ac:dyDescent="0.2">
      <c r="C52" s="246">
        <v>43100</v>
      </c>
      <c r="D52" s="26"/>
      <c r="E52" s="26"/>
      <c r="F52" s="60">
        <v>112.1</v>
      </c>
      <c r="G52" s="228">
        <f t="shared" si="1"/>
        <v>1.9090909090909047E-2</v>
      </c>
      <c r="H52" s="171"/>
      <c r="I52" s="26"/>
      <c r="J52" s="180"/>
      <c r="T52" s="247" t="str">
        <f>IF(C52&gt;EOMONTH(DATE('Input|General'!$G$12,MONTH('Input|General'!$G$9),1),0),"Ok",IF(ISBLANK($F52),"Check","Ok"))</f>
        <v>Ok</v>
      </c>
    </row>
    <row r="53" spans="3:20" x14ac:dyDescent="0.2">
      <c r="C53" s="246">
        <v>43190</v>
      </c>
      <c r="D53" s="26"/>
      <c r="E53" s="26"/>
      <c r="F53" s="60">
        <v>112.6</v>
      </c>
      <c r="G53" s="228">
        <f t="shared" si="1"/>
        <v>1.9004524886877761E-2</v>
      </c>
      <c r="H53" s="171"/>
      <c r="I53" s="26"/>
      <c r="J53" s="180"/>
      <c r="T53" s="247" t="str">
        <f>IF(C53&gt;EOMONTH(DATE('Input|General'!$G$12,MONTH('Input|General'!$G$9),1),0),"Ok",IF(ISBLANK($F53),"Check","Ok"))</f>
        <v>Ok</v>
      </c>
    </row>
    <row r="54" spans="3:20" x14ac:dyDescent="0.2">
      <c r="C54" s="246">
        <v>43281</v>
      </c>
      <c r="D54" s="26"/>
      <c r="E54" s="26"/>
      <c r="F54" s="60">
        <v>113</v>
      </c>
      <c r="G54" s="228">
        <f t="shared" si="1"/>
        <v>2.0776874435411097E-2</v>
      </c>
      <c r="H54" s="171"/>
      <c r="I54" s="26"/>
      <c r="J54" s="180"/>
      <c r="T54" s="247" t="str">
        <f>IF(C54&gt;EOMONTH(DATE('Input|General'!$G$12,MONTH('Input|General'!$G$9),1),0),"Ok",IF(ISBLANK($F54),"Check","Ok"))</f>
        <v>Ok</v>
      </c>
    </row>
    <row r="55" spans="3:20" x14ac:dyDescent="0.2">
      <c r="C55" s="246">
        <v>43373</v>
      </c>
      <c r="D55" s="26"/>
      <c r="E55" s="26"/>
      <c r="F55" s="60">
        <v>113.5</v>
      </c>
      <c r="G55" s="228">
        <f t="shared" si="1"/>
        <v>1.8850987432674993E-2</v>
      </c>
      <c r="H55" s="171"/>
      <c r="I55" s="26"/>
      <c r="J55" s="180"/>
      <c r="T55" s="247" t="str">
        <f>IF(C55&gt;EOMONTH(DATE('Input|General'!$G$12,MONTH('Input|General'!$G$9),1),0),"Ok",IF(ISBLANK($F55),"Check","Ok"))</f>
        <v>Ok</v>
      </c>
    </row>
    <row r="56" spans="3:20" x14ac:dyDescent="0.2">
      <c r="C56" s="246">
        <v>43465</v>
      </c>
      <c r="D56" s="26"/>
      <c r="E56" s="26"/>
      <c r="F56" s="60">
        <v>114.1</v>
      </c>
      <c r="G56" s="228">
        <f t="shared" si="1"/>
        <v>1.7841213202497874E-2</v>
      </c>
      <c r="H56" s="171"/>
      <c r="I56" s="26"/>
      <c r="J56" s="180"/>
      <c r="T56" s="247" t="str">
        <f>IF(C56&gt;EOMONTH(DATE('Input|General'!$G$12,MONTH('Input|General'!$G$9),1),0),"Ok",IF(ISBLANK($F56),"Check","Ok"))</f>
        <v>Ok</v>
      </c>
    </row>
    <row r="57" spans="3:20" x14ac:dyDescent="0.2">
      <c r="C57" s="246">
        <v>43555</v>
      </c>
      <c r="D57" s="26"/>
      <c r="E57" s="26"/>
      <c r="F57" s="60">
        <v>114.1</v>
      </c>
      <c r="G57" s="228">
        <f t="shared" si="1"/>
        <v>1.3321492007104752E-2</v>
      </c>
      <c r="H57" s="171"/>
      <c r="I57" s="26"/>
      <c r="J57" s="180"/>
      <c r="T57" s="247" t="str">
        <f>IF(C57&gt;EOMONTH(DATE('Input|General'!$G$12,MONTH('Input|General'!$G$9),1),0),"Ok",IF(ISBLANK($F57),"Check","Ok"))</f>
        <v>Ok</v>
      </c>
    </row>
    <row r="58" spans="3:20" x14ac:dyDescent="0.2">
      <c r="C58" s="246">
        <v>43646</v>
      </c>
      <c r="D58" s="26"/>
      <c r="E58" s="26"/>
      <c r="F58" s="60">
        <v>114.8</v>
      </c>
      <c r="G58" s="228">
        <f t="shared" si="1"/>
        <v>1.5929203539823078E-2</v>
      </c>
      <c r="H58" s="171"/>
      <c r="I58" s="26"/>
      <c r="J58" s="180"/>
      <c r="T58" s="247" t="str">
        <f>IF(C58&gt;EOMONTH(DATE('Input|General'!$G$12,MONTH('Input|General'!$G$9),1),0),"Ok",IF(ISBLANK($F58),"Check","Ok"))</f>
        <v>Ok</v>
      </c>
    </row>
    <row r="59" spans="3:20" x14ac:dyDescent="0.2">
      <c r="C59" s="246">
        <v>43738</v>
      </c>
      <c r="D59" s="26"/>
      <c r="E59" s="26"/>
      <c r="F59" s="60">
        <v>115.4</v>
      </c>
      <c r="G59" s="228">
        <f t="shared" si="1"/>
        <v>1.6740088105726914E-2</v>
      </c>
      <c r="H59" s="171"/>
      <c r="I59" s="26"/>
      <c r="J59" s="180"/>
      <c r="T59" s="247" t="str">
        <f>IF(C59&gt;EOMONTH(DATE('Input|General'!$G$12,MONTH('Input|General'!$G$9),1),0),"Ok",IF(ISBLANK($F59),"Check","Ok"))</f>
        <v>Ok</v>
      </c>
    </row>
    <row r="60" spans="3:20" x14ac:dyDescent="0.2">
      <c r="C60" s="246">
        <v>43830</v>
      </c>
      <c r="D60" s="26"/>
      <c r="E60" s="26"/>
      <c r="F60" s="60">
        <v>116.2</v>
      </c>
      <c r="G60" s="228">
        <f t="shared" si="1"/>
        <v>1.8404907975460238E-2</v>
      </c>
      <c r="H60" s="171"/>
      <c r="I60" s="26"/>
      <c r="J60" s="180"/>
      <c r="T60" s="247" t="str">
        <f>IF(C60&gt;EOMONTH(DATE('Input|General'!$G$12,MONTH('Input|General'!$G$9),1),0),"Ok",IF(ISBLANK($F60),"Check","Ok"))</f>
        <v>Ok</v>
      </c>
    </row>
    <row r="61" spans="3:20" x14ac:dyDescent="0.2">
      <c r="C61" s="246">
        <v>43921</v>
      </c>
      <c r="D61" s="26"/>
      <c r="E61" s="26"/>
      <c r="F61" s="60">
        <v>116.6</v>
      </c>
      <c r="G61" s="228">
        <f t="shared" si="1"/>
        <v>2.1910604732690686E-2</v>
      </c>
      <c r="H61" s="171"/>
      <c r="I61" s="26"/>
      <c r="J61" s="180"/>
      <c r="T61" s="247" t="str">
        <f>IF(C61&gt;EOMONTH(DATE('Input|General'!$G$12,MONTH('Input|General'!$G$9),1),0),"Ok",IF(ISBLANK($F61),"Check","Ok"))</f>
        <v>Ok</v>
      </c>
    </row>
    <row r="62" spans="3:20" x14ac:dyDescent="0.2">
      <c r="C62" s="246">
        <v>44012</v>
      </c>
      <c r="D62" s="26"/>
      <c r="E62" s="26"/>
      <c r="F62" s="60">
        <v>114.4</v>
      </c>
      <c r="G62" s="228">
        <f t="shared" si="1"/>
        <v>-3.4843205574912606E-3</v>
      </c>
      <c r="H62" s="171"/>
      <c r="I62" s="26"/>
      <c r="J62" s="180"/>
      <c r="T62" s="247" t="str">
        <f>IF(C62&gt;EOMONTH(DATE('Input|General'!$G$12,MONTH('Input|General'!$G$9),1),0),"Ok",IF(ISBLANK($F62),"Check","Ok"))</f>
        <v>Ok</v>
      </c>
    </row>
    <row r="63" spans="3:20" x14ac:dyDescent="0.2">
      <c r="C63" s="246">
        <v>44104</v>
      </c>
      <c r="D63" s="26"/>
      <c r="E63" s="26"/>
      <c r="F63" s="60">
        <v>116.2</v>
      </c>
      <c r="G63" s="228">
        <f t="shared" si="1"/>
        <v>6.9324090121316573E-3</v>
      </c>
      <c r="H63" s="171"/>
      <c r="I63" s="26"/>
      <c r="J63" s="180"/>
      <c r="T63" s="247" t="str">
        <f>IF(C63&gt;EOMONTH(DATE('Input|General'!$G$12,MONTH('Input|General'!$G$9),1),0),"Ok",IF(ISBLANK($F63),"Check","Ok"))</f>
        <v>Ok</v>
      </c>
    </row>
    <row r="64" spans="3:20" x14ac:dyDescent="0.2">
      <c r="C64" s="246">
        <v>44196</v>
      </c>
      <c r="D64" s="26"/>
      <c r="E64" s="26"/>
      <c r="F64" s="203">
        <v>117.2</v>
      </c>
      <c r="G64" s="228">
        <f t="shared" si="1"/>
        <v>8.6058519793459354E-3</v>
      </c>
      <c r="H64" s="171"/>
      <c r="I64" s="26"/>
      <c r="J64" s="180"/>
      <c r="T64" s="247" t="str">
        <f>IF(C64&gt;EOMONTH(DATE('Input|General'!$G$12,MONTH('Input|General'!$G$9),1),0),"Ok",IF(ISBLANK($F64),"Check","Ok"))</f>
        <v>Ok</v>
      </c>
    </row>
    <row r="65" spans="2:20" x14ac:dyDescent="0.2">
      <c r="C65" s="246">
        <v>44286</v>
      </c>
      <c r="D65" s="26"/>
      <c r="E65" s="26"/>
      <c r="F65" s="203">
        <v>117.9</v>
      </c>
      <c r="G65" s="228">
        <f t="shared" si="1"/>
        <v>1.1149228130360234E-2</v>
      </c>
      <c r="H65" s="171"/>
      <c r="I65" s="26"/>
      <c r="J65" s="180"/>
      <c r="T65" s="247" t="str">
        <f>IF(C65&gt;EOMONTH(DATE('Input|General'!$G$12,MONTH('Input|General'!$G$9),1),0),"Ok",IF(ISBLANK($F65),"Check","Ok"))</f>
        <v>Ok</v>
      </c>
    </row>
    <row r="66" spans="2:20" x14ac:dyDescent="0.2">
      <c r="C66" s="246">
        <v>44377</v>
      </c>
      <c r="D66" s="26"/>
      <c r="E66" s="26"/>
      <c r="F66" s="204">
        <v>118.8</v>
      </c>
      <c r="G66" s="228">
        <f t="shared" si="1"/>
        <v>3.8461538461538325E-2</v>
      </c>
      <c r="H66" s="171"/>
      <c r="I66" s="26"/>
      <c r="J66" s="180"/>
      <c r="T66" s="247" t="str">
        <f>IF(C66&gt;EOMONTH(DATE('Input|General'!$G$12,MONTH('Input|General'!$G$9),1),0),"Ok",IF(ISBLANK($F66),"Check","Ok"))</f>
        <v>Ok</v>
      </c>
    </row>
    <row r="67" spans="2:20" x14ac:dyDescent="0.2">
      <c r="C67" s="246">
        <v>44469</v>
      </c>
      <c r="D67" s="26"/>
      <c r="E67" s="26"/>
      <c r="F67" s="203">
        <v>119.7</v>
      </c>
      <c r="G67" s="228">
        <f t="shared" si="1"/>
        <v>3.0120481927710774E-2</v>
      </c>
      <c r="H67" s="171"/>
      <c r="I67" s="26"/>
      <c r="J67" s="180"/>
      <c r="T67" s="247" t="str">
        <f>IF(C67&gt;EOMONTH(DATE('Input|General'!$G$12,MONTH('Input|General'!$G$9),1),0),"Ok",IF(ISBLANK($F67),"Check","Ok"))</f>
        <v>Ok</v>
      </c>
    </row>
    <row r="68" spans="2:20" x14ac:dyDescent="0.2">
      <c r="C68" s="246">
        <v>44561</v>
      </c>
      <c r="D68" s="26"/>
      <c r="E68" s="26"/>
      <c r="F68" s="203">
        <v>121.3</v>
      </c>
      <c r="G68" s="228">
        <f t="shared" si="1"/>
        <v>3.4982935153583528E-2</v>
      </c>
      <c r="H68" s="171"/>
      <c r="I68" s="26"/>
      <c r="J68" s="180"/>
      <c r="T68" s="247" t="str">
        <f>IF(C68&gt;EOMONTH(DATE('Input|General'!$G$12,MONTH('Input|General'!$G$9),1),0),"Ok",IF(ISBLANK($F68),"Check","Ok"))</f>
        <v>Ok</v>
      </c>
    </row>
    <row r="69" spans="2:20" x14ac:dyDescent="0.2">
      <c r="C69" s="246">
        <v>44651</v>
      </c>
      <c r="D69" s="26"/>
      <c r="E69" s="26"/>
      <c r="F69" s="60">
        <v>123.9</v>
      </c>
      <c r="G69" s="228">
        <f t="shared" si="1"/>
        <v>5.0890585241730291E-2</v>
      </c>
      <c r="H69" s="171"/>
      <c r="I69" s="26"/>
      <c r="J69" s="180"/>
      <c r="T69" s="247" t="str">
        <f>IF(C69&gt;EOMONTH(DATE('Input|General'!$G$12,MONTH('Input|General'!$G$9),1),0),"Ok",IF(ISBLANK($F69),"Check","Ok"))</f>
        <v>Ok</v>
      </c>
    </row>
    <row r="70" spans="2:20" x14ac:dyDescent="0.2">
      <c r="C70" s="246">
        <v>44742</v>
      </c>
      <c r="D70" s="26"/>
      <c r="E70" s="26"/>
      <c r="F70" s="60">
        <v>126.1</v>
      </c>
      <c r="G70" s="228">
        <f t="shared" si="1"/>
        <v>6.1447811447811418E-2</v>
      </c>
      <c r="H70" s="171"/>
      <c r="I70" s="26"/>
      <c r="J70" s="180"/>
      <c r="T70" s="247" t="str">
        <f>IF(C70&gt;EOMONTH(DATE('Input|General'!$G$12,MONTH('Input|General'!$G$9),1),0),"Ok",IF(ISBLANK($F70),"Check","Ok"))</f>
        <v>Ok</v>
      </c>
    </row>
    <row r="71" spans="2:20" x14ac:dyDescent="0.2">
      <c r="C71" s="246">
        <v>44834</v>
      </c>
      <c r="D71" s="26"/>
      <c r="E71" s="26"/>
      <c r="F71" s="60">
        <v>128.4</v>
      </c>
      <c r="G71" s="228">
        <f t="shared" si="1"/>
        <v>7.268170426065157E-2</v>
      </c>
      <c r="H71" s="171"/>
      <c r="I71" s="26"/>
      <c r="J71" s="180"/>
      <c r="T71" s="247" t="str">
        <f>IF(C71&gt;EOMONTH(DATE('Input|General'!$G$12,MONTH('Input|General'!$G$9),1),0),"Ok",IF(ISBLANK($F71),"Check","Ok"))</f>
        <v>Ok</v>
      </c>
    </row>
    <row r="72" spans="2:20" x14ac:dyDescent="0.2">
      <c r="C72" s="246">
        <v>44926</v>
      </c>
      <c r="D72" s="26"/>
      <c r="E72" s="26"/>
      <c r="F72" s="60">
        <v>130.80000000000001</v>
      </c>
      <c r="G72" s="228">
        <f t="shared" si="1"/>
        <v>7.8318219291014124E-2</v>
      </c>
      <c r="H72" s="171"/>
      <c r="I72" s="26"/>
      <c r="J72" s="180"/>
      <c r="T72" s="247" t="str">
        <f>IF(C72&gt;EOMONTH(DATE('Input|General'!$G$12,MONTH('Input|General'!$G$9),1),0),"Ok",IF(ISBLANK($F72),"Check","Ok"))</f>
        <v>Ok</v>
      </c>
    </row>
    <row r="73" spans="2:20" x14ac:dyDescent="0.2">
      <c r="C73" s="246">
        <v>45016</v>
      </c>
      <c r="D73" s="26"/>
      <c r="E73" s="26"/>
      <c r="F73" s="60">
        <v>132.6</v>
      </c>
      <c r="G73" s="228">
        <f t="shared" si="1"/>
        <v>7.0217917675544639E-2</v>
      </c>
      <c r="H73" s="208"/>
      <c r="I73" s="26"/>
      <c r="J73" s="180"/>
      <c r="T73" s="247" t="str">
        <f>IF(C73&gt;EOMONTH(DATE('Input|General'!$G$12,MONTH('Input|General'!$G$9),1),0),"Ok",IF(ISBLANK($F73),"Check","Ok"))</f>
        <v>Ok</v>
      </c>
    </row>
    <row r="74" spans="2:20" x14ac:dyDescent="0.2">
      <c r="B74"/>
      <c r="C74" s="246">
        <v>45107</v>
      </c>
      <c r="D74" s="26"/>
      <c r="E74" s="26"/>
      <c r="F74" s="60">
        <v>133.69999999999999</v>
      </c>
      <c r="G74" s="228">
        <f t="shared" si="1"/>
        <v>6.0269627279936566E-2</v>
      </c>
      <c r="H74" s="208"/>
      <c r="I74" s="26"/>
      <c r="J74" s="180"/>
      <c r="T74" s="247" t="str">
        <f>IF(C74&gt;EOMONTH(DATE('Input|General'!$G$12,MONTH('Input|General'!$G$9),1),0),"Ok",IF(ISBLANK($F74),"Check","Ok"))</f>
        <v>Ok</v>
      </c>
    </row>
    <row r="75" spans="2:20" x14ac:dyDescent="0.2">
      <c r="B75"/>
      <c r="C75" s="246">
        <v>45199</v>
      </c>
      <c r="D75" s="26"/>
      <c r="E75" s="26"/>
      <c r="F75" s="60">
        <v>135.30000000000001</v>
      </c>
      <c r="G75" s="228">
        <f t="shared" si="1"/>
        <v>5.3738317757009435E-2</v>
      </c>
      <c r="H75" s="171"/>
      <c r="I75" s="26"/>
      <c r="J75" s="180"/>
      <c r="T75" s="247" t="str">
        <f>IF(C75&gt;EOMONTH(DATE('Input|General'!$G$12,MONTH('Input|General'!$G$9),1),0),"Ok",IF(ISBLANK($F75),"Check","Ok"))</f>
        <v>Ok</v>
      </c>
    </row>
    <row r="76" spans="2:20" x14ac:dyDescent="0.2">
      <c r="B76"/>
      <c r="C76" s="246">
        <v>45291</v>
      </c>
      <c r="D76" s="26"/>
      <c r="E76" s="26"/>
      <c r="F76" s="60">
        <v>136.1</v>
      </c>
      <c r="G76" s="228">
        <f t="shared" si="1"/>
        <v>4.0519877675840865E-2</v>
      </c>
      <c r="H76" s="171"/>
      <c r="I76" s="26"/>
      <c r="J76" s="180"/>
      <c r="T76" s="247" t="str">
        <f>IF(C76&gt;EOMONTH(DATE('Input|General'!$G$12,MONTH('Input|General'!$G$9),1),0),"Ok",IF(ISBLANK($F76),"Check","Ok"))</f>
        <v>Ok</v>
      </c>
    </row>
    <row r="77" spans="2:20" x14ac:dyDescent="0.2">
      <c r="B77"/>
      <c r="C77" s="246">
        <v>45382</v>
      </c>
      <c r="D77" s="26"/>
      <c r="E77" s="26"/>
      <c r="F77" s="60">
        <v>137.4</v>
      </c>
      <c r="G77" s="228">
        <f t="shared" si="1"/>
        <v>3.6199095022624528E-2</v>
      </c>
      <c r="H77" s="171"/>
      <c r="I77" s="26"/>
      <c r="J77" s="180"/>
      <c r="T77" s="247" t="str">
        <f>IF(C77&gt;EOMONTH(DATE('Input|General'!$G$12,MONTH('Input|General'!$G$9),1),0),"Ok",IF(ISBLANK($F77),"Check","Ok"))</f>
        <v>Ok</v>
      </c>
    </row>
    <row r="78" spans="2:20" x14ac:dyDescent="0.2">
      <c r="B78"/>
      <c r="C78" s="246">
        <v>45473</v>
      </c>
      <c r="D78" s="26"/>
      <c r="E78" s="26"/>
      <c r="F78" s="60">
        <f>F74*(1+G78)</f>
        <v>138.11209999999997</v>
      </c>
      <c r="G78" s="250">
        <f>+'[1]Output|Rate of return'!$S$33</f>
        <v>3.3000000000000002E-2</v>
      </c>
      <c r="H78" s="171"/>
      <c r="I78" s="26"/>
      <c r="J78" s="180"/>
      <c r="T78" s="247" t="str">
        <f>IF(C78&gt;EOMONTH(DATE('Input|General'!$G$12,MONTH('Input|General'!$G$9),1),0),"Ok",IF(ISBLANK($F78),"Check","Ok"))</f>
        <v>Ok</v>
      </c>
    </row>
    <row r="79" spans="2:20" x14ac:dyDescent="0.2">
      <c r="B79"/>
      <c r="C79" s="246">
        <v>45565</v>
      </c>
      <c r="D79" s="26"/>
      <c r="E79" s="26"/>
      <c r="F79" s="60" t="s">
        <v>35</v>
      </c>
      <c r="G79"/>
      <c r="H79" s="171"/>
      <c r="I79" s="26"/>
      <c r="J79" s="180"/>
      <c r="T79" s="247" t="str">
        <f>IF(C79&gt;EOMONTH(DATE('Input|General'!$G$12,MONTH('Input|General'!$G$9),1),0),"Ok",IF(ISBLANK($F79),"Check","Ok"))</f>
        <v>Ok</v>
      </c>
    </row>
    <row r="80" spans="2:20" x14ac:dyDescent="0.2">
      <c r="B80"/>
      <c r="C80" s="246">
        <v>45657</v>
      </c>
      <c r="D80" s="26"/>
      <c r="E80" s="26"/>
      <c r="F80" s="60" t="s">
        <v>35</v>
      </c>
      <c r="G80"/>
      <c r="H80" s="171"/>
      <c r="I80" s="26"/>
      <c r="J80" s="180"/>
      <c r="T80" s="247" t="str">
        <f>IF(C80&gt;EOMONTH(DATE('Input|General'!$G$12,MONTH('Input|General'!$G$9),1),0),"Ok",IF(ISBLANK($F80),"Check","Ok"))</f>
        <v>Ok</v>
      </c>
    </row>
    <row r="81" spans="1:48" x14ac:dyDescent="0.2">
      <c r="B81"/>
      <c r="C81" s="246">
        <v>45747</v>
      </c>
      <c r="D81" s="26"/>
      <c r="E81" s="26"/>
      <c r="F81" s="60" t="s">
        <v>35</v>
      </c>
      <c r="G81"/>
      <c r="H81" s="171"/>
      <c r="I81" s="26"/>
      <c r="J81" s="180"/>
      <c r="T81" s="247" t="str">
        <f>IF(C81&gt;EOMONTH(DATE('Input|General'!$G$12,MONTH('Input|General'!$G$9),1),0),"Ok",IF(ISBLANK($F81),"Check","Ok"))</f>
        <v>Ok</v>
      </c>
    </row>
    <row r="82" spans="1:48" x14ac:dyDescent="0.2">
      <c r="B82"/>
      <c r="C82" s="246">
        <v>45838</v>
      </c>
      <c r="D82" s="26"/>
      <c r="E82" s="26"/>
      <c r="F82" s="60">
        <f>F78*(1+G82)</f>
        <v>142.39357509999996</v>
      </c>
      <c r="G82" s="250">
        <f>+'[1]Output|Rate of return'!$T$33</f>
        <v>3.1E-2</v>
      </c>
      <c r="H82" s="171"/>
      <c r="I82" s="26"/>
      <c r="J82" s="180"/>
      <c r="T82" s="247" t="str">
        <f>IF(C82&gt;EOMONTH(DATE('Input|General'!$G$12,MONTH('Input|General'!$G$9),1),0),"Ok",IF(ISBLANK($F82),"Check","Ok"))</f>
        <v>Ok</v>
      </c>
    </row>
    <row r="83" spans="1:48" x14ac:dyDescent="0.2">
      <c r="C83" s="246">
        <v>45930</v>
      </c>
      <c r="D83" s="26"/>
      <c r="E83" s="26"/>
      <c r="F83" s="60" t="s">
        <v>35</v>
      </c>
      <c r="G83" s="228"/>
      <c r="H83" s="171"/>
      <c r="I83" s="26"/>
      <c r="J83" s="180"/>
      <c r="T83" s="247" t="str">
        <f>IF(C83&gt;EOMONTH(DATE('Input|General'!$G$12,MONTH('Input|General'!$G$9),1),0),"Ok",IF(ISBLANK($F83),"Check","Ok"))</f>
        <v>Ok</v>
      </c>
    </row>
    <row r="84" spans="1:48" x14ac:dyDescent="0.2">
      <c r="C84" s="246">
        <v>46022</v>
      </c>
      <c r="D84" s="26"/>
      <c r="E84" s="26"/>
      <c r="F84" s="60" t="s">
        <v>35</v>
      </c>
      <c r="G84" s="228"/>
      <c r="H84" s="171"/>
      <c r="I84" s="26"/>
      <c r="J84" s="180"/>
      <c r="T84" s="247" t="str">
        <f>IF(C84&gt;EOMONTH(DATE('Input|General'!$G$12,MONTH('Input|General'!$G$9),1),0),"Ok",IF(ISBLANK($F84),"Check","Ok"))</f>
        <v>Ok</v>
      </c>
    </row>
    <row r="85" spans="1:48" x14ac:dyDescent="0.2">
      <c r="F85" s="26"/>
      <c r="G85" s="180"/>
      <c r="H85" s="26"/>
      <c r="I85" s="26"/>
      <c r="J85" s="180"/>
      <c r="T85" s="124"/>
    </row>
    <row r="86" spans="1:48" s="98" customFormat="1" ht="12.75" x14ac:dyDescent="0.2">
      <c r="A86" s="89"/>
      <c r="B86" s="90" t="s">
        <v>21</v>
      </c>
      <c r="C86" s="89"/>
      <c r="D86" s="89"/>
      <c r="E86" s="89"/>
      <c r="F86" s="89"/>
      <c r="G86" s="91"/>
      <c r="H86" s="91"/>
      <c r="I86" s="91"/>
      <c r="J86" s="91"/>
      <c r="K86" s="92"/>
      <c r="L86" s="93"/>
      <c r="M86" s="92"/>
      <c r="N86" s="93"/>
      <c r="O86" s="92"/>
      <c r="P86" s="92"/>
      <c r="Q86" s="92"/>
      <c r="R86" s="92"/>
      <c r="S86" s="92"/>
      <c r="T86" s="92"/>
      <c r="U86" s="92"/>
      <c r="V86" s="92"/>
      <c r="W86" s="93"/>
      <c r="X86" s="93"/>
      <c r="Y86" s="94"/>
      <c r="Z86" s="94"/>
      <c r="AA86" s="94"/>
      <c r="AB86" s="94"/>
      <c r="AC86" s="95"/>
      <c r="AD86" s="96"/>
      <c r="AE86" s="96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</row>
    <row r="87" spans="1:48" hidden="1" x14ac:dyDescent="0.2">
      <c r="H87" s="29"/>
      <c r="I87" s="29"/>
    </row>
    <row r="88" spans="1:48" hidden="1" x14ac:dyDescent="0.2">
      <c r="H88" s="29"/>
      <c r="I88" s="29"/>
    </row>
    <row r="89" spans="1:48" s="27" customFormat="1" hidden="1" x14ac:dyDescent="0.2">
      <c r="A89" s="26"/>
      <c r="B89" s="26"/>
      <c r="C89" s="26"/>
      <c r="H89" s="29"/>
      <c r="I89" s="29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</row>
    <row r="90" spans="1:48" s="27" customFormat="1" hidden="1" x14ac:dyDescent="0.2">
      <c r="A90" s="26"/>
      <c r="B90" s="26"/>
      <c r="C90" s="26"/>
      <c r="H90" s="29"/>
      <c r="I90" s="29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</row>
    <row r="91" spans="1:48" s="27" customFormat="1" hidden="1" x14ac:dyDescent="0.2">
      <c r="A91" s="26"/>
      <c r="B91" s="26"/>
      <c r="C91" s="26"/>
      <c r="H91" s="29"/>
      <c r="I91" s="29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</row>
    <row r="92" spans="1:48" s="27" customFormat="1" hidden="1" x14ac:dyDescent="0.2">
      <c r="A92" s="26"/>
      <c r="B92" s="26"/>
      <c r="C92" s="26"/>
      <c r="H92" s="29"/>
      <c r="I92" s="29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</row>
    <row r="93" spans="1:48" s="27" customFormat="1" hidden="1" x14ac:dyDescent="0.2">
      <c r="A93" s="26"/>
      <c r="B93" s="26"/>
      <c r="C93" s="26"/>
      <c r="H93" s="29"/>
      <c r="I93" s="29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</row>
    <row r="94" spans="1:48" s="27" customFormat="1" hidden="1" x14ac:dyDescent="0.2">
      <c r="A94" s="26"/>
      <c r="B94" s="26"/>
      <c r="C94" s="26"/>
      <c r="H94" s="29"/>
      <c r="I94" s="29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s="27" customFormat="1" hidden="1" x14ac:dyDescent="0.2">
      <c r="A95" s="26"/>
      <c r="B95" s="26"/>
      <c r="C95" s="26"/>
      <c r="H95" s="29"/>
      <c r="I95" s="29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s="27" customFormat="1" hidden="1" x14ac:dyDescent="0.2">
      <c r="A96" s="26"/>
      <c r="B96" s="26"/>
      <c r="C96" s="26"/>
      <c r="H96" s="29"/>
      <c r="I96" s="29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</sheetData>
  <conditionalFormatting sqref="X14:X50 T85 X63:X85">
    <cfRule type="cellIs" dxfId="227" priority="11" operator="equal">
      <formula>"Check"</formula>
    </cfRule>
    <cfRule type="cellIs" dxfId="226" priority="12" operator="equal">
      <formula>"Ok"</formula>
    </cfRule>
  </conditionalFormatting>
  <conditionalFormatting sqref="W1">
    <cfRule type="cellIs" dxfId="225" priority="7" operator="equal">
      <formula>"Check"</formula>
    </cfRule>
    <cfRule type="cellIs" dxfId="224" priority="8" operator="equal">
      <formula>"Ok"</formula>
    </cfRule>
  </conditionalFormatting>
  <conditionalFormatting sqref="T1">
    <cfRule type="cellIs" dxfId="223" priority="5" operator="equal">
      <formula>"Check"</formula>
    </cfRule>
    <cfRule type="cellIs" dxfId="222" priority="6" operator="equal">
      <formula>"Ok"</formula>
    </cfRule>
  </conditionalFormatting>
  <conditionalFormatting sqref="X51:X57">
    <cfRule type="cellIs" dxfId="221" priority="3" operator="equal">
      <formula>"Check"</formula>
    </cfRule>
    <cfRule type="cellIs" dxfId="220" priority="4" operator="equal">
      <formula>"Ok"</formula>
    </cfRule>
  </conditionalFormatting>
  <conditionalFormatting sqref="X58:X62 T9:T84">
    <cfRule type="cellIs" dxfId="219" priority="1" operator="equal">
      <formula>"Check"</formula>
    </cfRule>
    <cfRule type="cellIs" dxfId="218" priority="2" operator="equal">
      <formula>"Ok"</formula>
    </cfRule>
  </conditionalFormatting>
  <dataValidations disablePrompts="1" count="2">
    <dataValidation type="list" allowBlank="1" showInputMessage="1" showErrorMessage="1" sqref="G85" xr:uid="{00000000-0002-0000-0200-000000000000}">
      <formula1>"Real 2010,Real 2011,Real 2012,Real 2013,Real 2014,Real 2015,Nominal"</formula1>
    </dataValidation>
    <dataValidation type="list" allowBlank="1" showInputMessage="1" showErrorMessage="1" sqref="J12:J8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  <outlinePr summaryBelow="0" summaryRight="0"/>
  </sheetPr>
  <dimension ref="A1:X73"/>
  <sheetViews>
    <sheetView showGridLines="0" zoomScaleNormal="100" workbookViewId="0"/>
  </sheetViews>
  <sheetFormatPr defaultColWidth="0" defaultRowHeight="11.25" zeroHeight="1" x14ac:dyDescent="0.2"/>
  <cols>
    <col min="1" max="2" width="1.6640625" style="98" customWidth="1"/>
    <col min="3" max="3" width="49.83203125" style="98" bestFit="1" customWidth="1"/>
    <col min="4" max="6" width="13.33203125" style="98" customWidth="1"/>
    <col min="7" max="9" width="3.33203125" style="98" customWidth="1"/>
    <col min="10" max="24" width="10.83203125" style="98" customWidth="1"/>
    <col min="25" max="16384" width="9.33203125" style="98" hidden="1"/>
  </cols>
  <sheetData>
    <row r="1" spans="1:24" ht="15.75" x14ac:dyDescent="0.25">
      <c r="A1" s="64"/>
      <c r="B1" s="65"/>
      <c r="C1" s="215" t="str">
        <f>Index!$B$1</f>
        <v>AER opex model v1.8</v>
      </c>
      <c r="D1" s="65"/>
      <c r="E1" s="65"/>
      <c r="F1" s="66"/>
      <c r="G1" s="66"/>
      <c r="H1" s="66"/>
      <c r="I1" s="66"/>
      <c r="J1" s="199" t="s">
        <v>2</v>
      </c>
      <c r="K1" s="64"/>
      <c r="L1" s="67" t="s">
        <v>3</v>
      </c>
      <c r="M1" s="68" t="s">
        <v>4</v>
      </c>
      <c r="N1" s="69" t="s">
        <v>5</v>
      </c>
      <c r="O1" s="70" t="s">
        <v>6</v>
      </c>
      <c r="P1" s="64"/>
      <c r="Q1" s="64"/>
      <c r="R1" s="67" t="s">
        <v>74</v>
      </c>
      <c r="S1" s="217" t="str">
        <f>IF(COUNTA($X$8:$X$266)=COUNTIF($X$8:$X$266,"OK"),"OK","Check")</f>
        <v>OK</v>
      </c>
      <c r="T1" s="71"/>
      <c r="U1" s="64"/>
      <c r="V1" s="170" t="s">
        <v>24</v>
      </c>
      <c r="W1" s="217" t="str">
        <f ca="1">'Check|List'!$S$1</f>
        <v>Ok</v>
      </c>
      <c r="X1" s="64"/>
    </row>
    <row r="2" spans="1:24" ht="13.5" thickBot="1" x14ac:dyDescent="0.25">
      <c r="A2" s="72"/>
      <c r="B2" s="73"/>
      <c r="C2" s="216" t="str">
        <f>+Index!C9</f>
        <v>Input|Reported opex</v>
      </c>
      <c r="D2" s="73"/>
      <c r="E2" s="73"/>
      <c r="F2" s="74"/>
      <c r="G2" s="74"/>
      <c r="H2" s="74"/>
      <c r="I2" s="74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x14ac:dyDescent="0.2">
      <c r="A3" s="125"/>
      <c r="B3" s="125"/>
      <c r="C3" s="126"/>
      <c r="D3" s="127"/>
      <c r="E3" s="127"/>
      <c r="F3" s="127"/>
      <c r="G3" s="127"/>
      <c r="H3" s="127"/>
      <c r="I3" s="127"/>
      <c r="J3" s="147" t="s">
        <v>110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28"/>
      <c r="V3" s="128"/>
      <c r="W3" s="128"/>
      <c r="X3" s="128"/>
    </row>
    <row r="4" spans="1:24" x14ac:dyDescent="0.2">
      <c r="A4" s="78"/>
      <c r="B4" s="78"/>
      <c r="C4" s="78"/>
      <c r="D4" s="79" t="s">
        <v>7</v>
      </c>
      <c r="E4" s="79" t="s">
        <v>8</v>
      </c>
      <c r="F4" s="80" t="s">
        <v>22</v>
      </c>
      <c r="G4" s="81"/>
      <c r="H4" s="81"/>
      <c r="I4" s="81"/>
      <c r="J4" s="218">
        <f>DATE(PPFirstYear,MONTH('Input|General'!$G$9),1)</f>
        <v>44348</v>
      </c>
      <c r="K4" s="218">
        <f>DATE(PPFirstYear+1,MONTH('Input|General'!$G$9),1)</f>
        <v>44713</v>
      </c>
      <c r="L4" s="218">
        <f>DATE(PPFirstYear+2,MONTH('Input|General'!$G$9),1)</f>
        <v>45078</v>
      </c>
      <c r="M4" s="218">
        <f>DATE(PPFirstYear+3,MONTH('Input|General'!$G$9),1)</f>
        <v>45444</v>
      </c>
      <c r="N4" s="218">
        <f>DATE(PPFirstYear+4,MONTH('Input|General'!$G$9),1)</f>
        <v>45809</v>
      </c>
      <c r="O4" s="218">
        <f>DATE(PPFirstYear+5,MONTH('Input|General'!$G$9),1)</f>
        <v>46174</v>
      </c>
      <c r="P4" s="218">
        <f>DATE(PPFirstYear+6,MONTH('Input|General'!$G$9),1)</f>
        <v>46539</v>
      </c>
      <c r="Q4" s="218">
        <f>DATE(PPFirstYear+7,MONTH('Input|General'!$G$9),1)</f>
        <v>46905</v>
      </c>
      <c r="R4" s="218">
        <f>DATE(PPFirstYear+8,MONTH('Input|General'!$G$9),1)</f>
        <v>47270</v>
      </c>
      <c r="S4" s="218">
        <f>DATE(PPFirstYear+9,MONTH('Input|General'!$G$9),1)</f>
        <v>47635</v>
      </c>
      <c r="T4" s="218">
        <f>DATE(PPFirstYear+10,MONTH('Input|General'!$G$9),1)</f>
        <v>48000</v>
      </c>
      <c r="U4" s="82"/>
      <c r="V4" s="82"/>
      <c r="W4" s="83"/>
      <c r="X4" s="83"/>
    </row>
    <row r="5" spans="1:24" ht="5.25" customHeight="1" x14ac:dyDescent="0.2">
      <c r="A5" s="24"/>
      <c r="B5" s="24"/>
      <c r="C5" s="24"/>
      <c r="D5" s="25"/>
      <c r="E5" s="25"/>
      <c r="F5" s="25"/>
      <c r="G5" s="25"/>
      <c r="H5" s="25"/>
      <c r="I5" s="2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6.75" customHeight="1" x14ac:dyDescent="0.2">
      <c r="A6" s="24"/>
      <c r="B6" s="24"/>
      <c r="C6" s="24"/>
      <c r="D6" s="25"/>
      <c r="E6" s="25"/>
      <c r="F6" s="25"/>
      <c r="G6" s="25"/>
      <c r="H6" s="25"/>
      <c r="I6" s="25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ht="5.25" customHeight="1" x14ac:dyDescent="0.2">
      <c r="A7" s="24"/>
      <c r="B7" s="24"/>
      <c r="C7" s="24"/>
      <c r="D7" s="25"/>
      <c r="E7" s="25"/>
      <c r="F7" s="25"/>
      <c r="G7" s="25"/>
      <c r="H7" s="25"/>
      <c r="I7" s="25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4" ht="12.75" x14ac:dyDescent="0.2">
      <c r="A8" s="89"/>
      <c r="B8" s="90" t="s">
        <v>43</v>
      </c>
      <c r="C8" s="89"/>
      <c r="D8" s="89"/>
      <c r="E8" s="89"/>
      <c r="F8" s="91"/>
      <c r="G8" s="91"/>
      <c r="H8" s="91"/>
      <c r="I8" s="91"/>
      <c r="J8" s="92"/>
      <c r="K8" s="93"/>
      <c r="L8" s="92"/>
      <c r="M8" s="93"/>
      <c r="N8" s="92"/>
      <c r="O8" s="92"/>
      <c r="P8" s="92"/>
      <c r="Q8" s="92"/>
      <c r="R8" s="92"/>
      <c r="S8" s="92"/>
      <c r="T8" s="92"/>
      <c r="U8" s="92"/>
      <c r="V8" s="92"/>
      <c r="W8" s="93"/>
      <c r="X8" s="93"/>
    </row>
    <row r="9" spans="1:24" x14ac:dyDescent="0.2">
      <c r="A9" s="26"/>
      <c r="B9" s="26"/>
      <c r="C9" s="26"/>
      <c r="D9" s="27"/>
      <c r="E9" s="27"/>
      <c r="F9" s="27"/>
      <c r="G9" s="29"/>
      <c r="H9" s="29"/>
      <c r="I9" s="27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</row>
    <row r="10" spans="1:24" x14ac:dyDescent="0.2">
      <c r="A10" s="26"/>
      <c r="B10" s="26"/>
      <c r="C10" s="63" t="s">
        <v>68</v>
      </c>
      <c r="D10" s="29" t="s">
        <v>7</v>
      </c>
      <c r="E10" s="29" t="s">
        <v>8</v>
      </c>
      <c r="F10" s="29" t="s">
        <v>22</v>
      </c>
      <c r="G10" s="29"/>
      <c r="H10" s="29"/>
      <c r="I10" s="27"/>
      <c r="J10" s="234">
        <f t="shared" ref="J10:S10" si="0">IF(YEAR(J$4)&lt;=PPLastYear,J$4,"")</f>
        <v>44348</v>
      </c>
      <c r="K10" s="234">
        <f t="shared" si="0"/>
        <v>44713</v>
      </c>
      <c r="L10" s="234">
        <f t="shared" si="0"/>
        <v>45078</v>
      </c>
      <c r="M10" s="234">
        <f t="shared" si="0"/>
        <v>45444</v>
      </c>
      <c r="N10" s="234">
        <f t="shared" si="0"/>
        <v>45809</v>
      </c>
      <c r="O10" s="234" t="str">
        <f t="shared" si="0"/>
        <v/>
      </c>
      <c r="P10" s="234" t="str">
        <f t="shared" si="0"/>
        <v/>
      </c>
      <c r="Q10" s="234" t="str">
        <f t="shared" si="0"/>
        <v/>
      </c>
      <c r="R10" s="234" t="str">
        <f t="shared" si="0"/>
        <v/>
      </c>
      <c r="S10" s="234" t="str">
        <f t="shared" si="0"/>
        <v/>
      </c>
      <c r="T10" s="148"/>
      <c r="U10" s="129" t="s">
        <v>50</v>
      </c>
      <c r="V10" s="130"/>
      <c r="W10" s="130"/>
      <c r="X10" s="26"/>
    </row>
    <row r="11" spans="1:24" x14ac:dyDescent="0.2">
      <c r="A11" s="26"/>
      <c r="B11" s="26"/>
      <c r="C11" s="105"/>
      <c r="D11" s="27"/>
      <c r="E11" s="27"/>
      <c r="F11" s="27"/>
      <c r="G11" s="29"/>
      <c r="H11" s="29"/>
      <c r="I11" s="27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6"/>
      <c r="V11" s="26"/>
      <c r="W11" s="26"/>
      <c r="X11" s="26"/>
    </row>
    <row r="12" spans="1:24" x14ac:dyDescent="0.2">
      <c r="A12" s="26"/>
      <c r="B12" s="26"/>
      <c r="C12" s="105"/>
      <c r="D12" s="27"/>
      <c r="E12" s="104"/>
      <c r="F12" s="27"/>
      <c r="G12" s="29"/>
      <c r="H12" s="29"/>
      <c r="I12" s="27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6"/>
      <c r="V12" s="26"/>
      <c r="W12" s="26"/>
      <c r="X12" s="26"/>
    </row>
    <row r="13" spans="1:24" x14ac:dyDescent="0.2">
      <c r="A13" s="26"/>
      <c r="B13"/>
      <c r="C13" s="58" t="s">
        <v>66</v>
      </c>
      <c r="D13" s="27" t="s">
        <v>180</v>
      </c>
      <c r="E13" s="157" t="s">
        <v>15</v>
      </c>
      <c r="F13" s="157">
        <v>43983</v>
      </c>
      <c r="G13" s="29"/>
      <c r="H13" s="29"/>
      <c r="I13" s="27"/>
      <c r="J13" s="260">
        <v>206.00415103306239</v>
      </c>
      <c r="K13" s="260">
        <v>214.91174292731577</v>
      </c>
      <c r="L13" s="260">
        <v>222.01457726239633</v>
      </c>
      <c r="M13" s="260">
        <v>222.59951234345334</v>
      </c>
      <c r="N13" s="260">
        <v>226.21971960316168</v>
      </c>
      <c r="O13" s="152"/>
      <c r="P13" s="152"/>
      <c r="Q13" s="152"/>
      <c r="R13" s="152"/>
      <c r="S13" s="152"/>
      <c r="T13" s="152"/>
      <c r="U13" s="26" t="s">
        <v>159</v>
      </c>
      <c r="V13" s="26"/>
      <c r="W13" s="26"/>
      <c r="X13" s="26"/>
    </row>
    <row r="14" spans="1:24" x14ac:dyDescent="0.2">
      <c r="A14" s="26"/>
      <c r="B14"/>
      <c r="C14" s="105"/>
      <c r="D14" s="27"/>
      <c r="E14" s="27"/>
      <c r="F14" s="27"/>
      <c r="G14" s="29"/>
      <c r="H14" s="29"/>
      <c r="I14" s="27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6"/>
      <c r="V14" s="26"/>
      <c r="W14" s="26"/>
      <c r="X14" s="26"/>
    </row>
    <row r="15" spans="1:24" x14ac:dyDescent="0.2">
      <c r="A15" s="26"/>
      <c r="B15"/>
      <c r="C15" s="131" t="s">
        <v>66</v>
      </c>
      <c r="D15" s="243" t="s">
        <v>180</v>
      </c>
      <c r="E15" s="185" t="str">
        <f>E13</f>
        <v>$millions</v>
      </c>
      <c r="F15" s="185">
        <f>F13</f>
        <v>43983</v>
      </c>
      <c r="G15" s="29"/>
      <c r="H15" s="29"/>
      <c r="I15" s="27"/>
      <c r="J15" s="122">
        <f>J13</f>
        <v>206.00415103306239</v>
      </c>
      <c r="K15" s="122">
        <f t="shared" ref="K15:S15" si="1">K13</f>
        <v>214.91174292731577</v>
      </c>
      <c r="L15" s="122">
        <f t="shared" si="1"/>
        <v>222.01457726239633</v>
      </c>
      <c r="M15" s="122">
        <f t="shared" si="1"/>
        <v>222.59951234345334</v>
      </c>
      <c r="N15" s="122">
        <f t="shared" si="1"/>
        <v>226.21971960316168</v>
      </c>
      <c r="O15" s="122">
        <f t="shared" si="1"/>
        <v>0</v>
      </c>
      <c r="P15" s="122">
        <f t="shared" si="1"/>
        <v>0</v>
      </c>
      <c r="Q15" s="122">
        <f t="shared" si="1"/>
        <v>0</v>
      </c>
      <c r="R15" s="122">
        <f t="shared" si="1"/>
        <v>0</v>
      </c>
      <c r="S15" s="122">
        <f t="shared" si="1"/>
        <v>0</v>
      </c>
      <c r="T15" s="122"/>
      <c r="U15" s="26"/>
      <c r="V15" s="26"/>
      <c r="W15" s="26"/>
      <c r="X15" s="26"/>
    </row>
    <row r="16" spans="1:24" x14ac:dyDescent="0.2">
      <c r="A16" s="26"/>
      <c r="B16"/>
      <c r="C16" s="105"/>
      <c r="D16" s="27"/>
      <c r="E16" s="27"/>
      <c r="F16" s="27"/>
      <c r="G16" s="29"/>
      <c r="H16" s="29"/>
      <c r="I16" s="27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6"/>
      <c r="V16" s="26"/>
      <c r="W16" s="26"/>
      <c r="X16" s="26"/>
    </row>
    <row r="17" spans="1:24" x14ac:dyDescent="0.2">
      <c r="A17" s="26"/>
      <c r="B17"/>
      <c r="C17" s="63" t="s">
        <v>150</v>
      </c>
      <c r="D17" s="27"/>
      <c r="E17" s="27"/>
      <c r="F17" s="27"/>
      <c r="G17" s="29"/>
      <c r="H17" s="29"/>
      <c r="I17" s="27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6"/>
      <c r="V17" s="26"/>
      <c r="W17" s="26"/>
      <c r="X17" s="26"/>
    </row>
    <row r="18" spans="1:24" x14ac:dyDescent="0.2">
      <c r="A18" s="26"/>
      <c r="B18"/>
      <c r="C18" s="105"/>
      <c r="D18" s="27"/>
      <c r="E18" s="27"/>
      <c r="F18" s="27"/>
      <c r="G18" s="29"/>
      <c r="H18" s="29"/>
      <c r="I18" s="27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6"/>
      <c r="V18" s="26"/>
      <c r="W18" s="26"/>
      <c r="X18" s="26"/>
    </row>
    <row r="19" spans="1:24" x14ac:dyDescent="0.2">
      <c r="A19" s="26"/>
      <c r="B19"/>
      <c r="C19" s="259" t="s">
        <v>209</v>
      </c>
      <c r="D19" s="27" t="s">
        <v>180</v>
      </c>
      <c r="E19" s="100" t="str">
        <f>$E$29</f>
        <v>$millions</v>
      </c>
      <c r="F19" s="221">
        <f t="shared" ref="F19:F27" si="2">$F$15</f>
        <v>43983</v>
      </c>
      <c r="G19" s="29"/>
      <c r="H19" s="29"/>
      <c r="I19" s="27"/>
      <c r="J19" s="260">
        <v>28.737769054654745</v>
      </c>
      <c r="K19" s="260">
        <v>27.261317183497141</v>
      </c>
      <c r="L19" s="260">
        <v>29.026242639536935</v>
      </c>
      <c r="M19" s="260">
        <v>29.504944403910812</v>
      </c>
      <c r="N19" s="260">
        <v>29.090921362154045</v>
      </c>
      <c r="O19" s="152"/>
      <c r="P19" s="152"/>
      <c r="Q19" s="152"/>
      <c r="R19" s="152"/>
      <c r="S19" s="152"/>
      <c r="T19" s="152"/>
      <c r="U19" s="26" t="s">
        <v>163</v>
      </c>
      <c r="V19" s="26"/>
      <c r="W19" s="26"/>
      <c r="X19" s="26"/>
    </row>
    <row r="20" spans="1:24" x14ac:dyDescent="0.2">
      <c r="A20" s="26"/>
      <c r="B20"/>
      <c r="C20" s="259" t="s">
        <v>231</v>
      </c>
      <c r="D20" s="27" t="s">
        <v>180</v>
      </c>
      <c r="E20" s="100" t="str">
        <f t="shared" ref="E20:E27" si="3">$E$15</f>
        <v>$millions</v>
      </c>
      <c r="F20" s="221">
        <f t="shared" si="2"/>
        <v>43983</v>
      </c>
      <c r="G20" s="29"/>
      <c r="H20" s="29"/>
      <c r="I20" s="27"/>
      <c r="J20" s="260">
        <v>4.6951952355560111</v>
      </c>
      <c r="K20" s="260">
        <v>4.6951952355560111</v>
      </c>
      <c r="L20" s="260">
        <v>4.6951952355560111</v>
      </c>
      <c r="M20" s="260">
        <v>4.6951952355560111</v>
      </c>
      <c r="N20" s="260">
        <v>4.6951952355560111</v>
      </c>
      <c r="O20" s="152"/>
      <c r="P20" s="152"/>
      <c r="Q20" s="152"/>
      <c r="R20" s="152"/>
      <c r="S20" s="152"/>
      <c r="T20" s="152"/>
      <c r="U20" s="26"/>
      <c r="V20" s="26"/>
      <c r="W20" s="26"/>
      <c r="X20" s="26"/>
    </row>
    <row r="21" spans="1:24" x14ac:dyDescent="0.2">
      <c r="A21" s="26"/>
      <c r="B21"/>
      <c r="C21" s="259" t="s">
        <v>232</v>
      </c>
      <c r="D21" s="27" t="s">
        <v>180</v>
      </c>
      <c r="E21" s="100" t="str">
        <f t="shared" si="3"/>
        <v>$millions</v>
      </c>
      <c r="F21" s="221">
        <f t="shared" si="2"/>
        <v>43983</v>
      </c>
      <c r="G21" s="29"/>
      <c r="H21" s="29"/>
      <c r="I21" s="27"/>
      <c r="J21" s="260"/>
      <c r="K21" s="260"/>
      <c r="L21" s="260"/>
      <c r="M21" s="260"/>
      <c r="N21" s="260"/>
      <c r="O21" s="152"/>
      <c r="P21" s="152"/>
      <c r="Q21" s="152"/>
      <c r="R21" s="152"/>
      <c r="S21" s="152"/>
      <c r="T21" s="152"/>
      <c r="U21" s="26"/>
      <c r="V21" s="26"/>
      <c r="W21" s="26"/>
      <c r="X21" s="26"/>
    </row>
    <row r="22" spans="1:24" x14ac:dyDescent="0.2">
      <c r="A22" s="26"/>
      <c r="B22"/>
      <c r="C22" s="259" t="s">
        <v>232</v>
      </c>
      <c r="D22" s="27" t="s">
        <v>180</v>
      </c>
      <c r="E22" s="100" t="str">
        <f t="shared" si="3"/>
        <v>$millions</v>
      </c>
      <c r="F22" s="221">
        <f t="shared" si="2"/>
        <v>43983</v>
      </c>
      <c r="G22" s="29"/>
      <c r="H22" s="29"/>
      <c r="I22" s="27"/>
      <c r="J22" s="260"/>
      <c r="K22" s="260"/>
      <c r="L22" s="260"/>
      <c r="M22" s="260"/>
      <c r="N22" s="260"/>
      <c r="O22" s="152"/>
      <c r="P22" s="152"/>
      <c r="Q22" s="152"/>
      <c r="R22" s="152"/>
      <c r="S22" s="152"/>
      <c r="T22" s="152"/>
      <c r="U22" s="26"/>
      <c r="V22" s="26"/>
      <c r="W22" s="26"/>
      <c r="X22" s="26"/>
    </row>
    <row r="23" spans="1:24" x14ac:dyDescent="0.2">
      <c r="A23" s="26"/>
      <c r="B23"/>
      <c r="C23" s="259" t="s">
        <v>232</v>
      </c>
      <c r="D23" s="27" t="s">
        <v>180</v>
      </c>
      <c r="E23" s="100" t="str">
        <f t="shared" si="3"/>
        <v>$millions</v>
      </c>
      <c r="F23" s="221">
        <f t="shared" si="2"/>
        <v>43983</v>
      </c>
      <c r="G23" s="29"/>
      <c r="H23" s="29"/>
      <c r="I23" s="27"/>
      <c r="J23" s="260"/>
      <c r="K23" s="260"/>
      <c r="L23" s="260"/>
      <c r="M23" s="260"/>
      <c r="N23" s="260"/>
      <c r="O23" s="152"/>
      <c r="P23" s="152"/>
      <c r="Q23" s="152"/>
      <c r="R23" s="152"/>
      <c r="S23" s="152"/>
      <c r="T23" s="152"/>
      <c r="U23" s="26"/>
      <c r="V23" s="26"/>
      <c r="W23" s="26"/>
      <c r="X23" s="26"/>
    </row>
    <row r="24" spans="1:24" x14ac:dyDescent="0.2">
      <c r="A24" s="26"/>
      <c r="B24"/>
      <c r="C24" s="259" t="s">
        <v>232</v>
      </c>
      <c r="D24" s="27" t="s">
        <v>180</v>
      </c>
      <c r="E24" s="100" t="str">
        <f t="shared" si="3"/>
        <v>$millions</v>
      </c>
      <c r="F24" s="221">
        <f t="shared" si="2"/>
        <v>43983</v>
      </c>
      <c r="G24" s="29"/>
      <c r="H24" s="29"/>
      <c r="I24" s="27"/>
      <c r="J24" s="260"/>
      <c r="K24" s="260"/>
      <c r="L24" s="260"/>
      <c r="M24" s="260"/>
      <c r="N24" s="260"/>
      <c r="O24" s="152"/>
      <c r="P24" s="152"/>
      <c r="Q24" s="152"/>
      <c r="R24" s="152"/>
      <c r="S24" s="152"/>
      <c r="T24" s="152"/>
      <c r="U24" s="26"/>
      <c r="V24" s="26"/>
      <c r="W24" s="26"/>
      <c r="X24" s="26"/>
    </row>
    <row r="25" spans="1:24" x14ac:dyDescent="0.2">
      <c r="A25" s="26"/>
      <c r="B25"/>
      <c r="C25" s="259" t="s">
        <v>232</v>
      </c>
      <c r="D25" s="27" t="s">
        <v>180</v>
      </c>
      <c r="E25" s="100" t="str">
        <f t="shared" si="3"/>
        <v>$millions</v>
      </c>
      <c r="F25" s="221">
        <f t="shared" si="2"/>
        <v>43983</v>
      </c>
      <c r="G25" s="29"/>
      <c r="H25" s="29"/>
      <c r="I25" s="27"/>
      <c r="J25" s="260"/>
      <c r="K25" s="260"/>
      <c r="L25" s="260"/>
      <c r="M25" s="260"/>
      <c r="N25" s="260"/>
      <c r="O25" s="152"/>
      <c r="P25" s="152"/>
      <c r="Q25" s="152"/>
      <c r="R25" s="152"/>
      <c r="S25" s="152"/>
      <c r="T25" s="152"/>
      <c r="U25" s="26"/>
      <c r="V25" s="26"/>
      <c r="W25" s="26"/>
      <c r="X25" s="26"/>
    </row>
    <row r="26" spans="1:24" x14ac:dyDescent="0.2">
      <c r="A26" s="26"/>
      <c r="B26"/>
      <c r="C26" s="259" t="s">
        <v>232</v>
      </c>
      <c r="D26" s="27" t="s">
        <v>180</v>
      </c>
      <c r="E26" s="100" t="str">
        <f t="shared" si="3"/>
        <v>$millions</v>
      </c>
      <c r="F26" s="221">
        <f t="shared" si="2"/>
        <v>43983</v>
      </c>
      <c r="G26" s="29"/>
      <c r="H26" s="29"/>
      <c r="I26" s="27"/>
      <c r="J26" s="260"/>
      <c r="K26" s="260"/>
      <c r="L26" s="260"/>
      <c r="M26" s="260"/>
      <c r="N26" s="260"/>
      <c r="O26" s="152"/>
      <c r="P26" s="152"/>
      <c r="Q26" s="152"/>
      <c r="R26" s="152"/>
      <c r="S26" s="152"/>
      <c r="T26" s="152"/>
      <c r="U26" s="26"/>
      <c r="V26" s="26"/>
      <c r="W26" s="26"/>
      <c r="X26" s="26"/>
    </row>
    <row r="27" spans="1:24" x14ac:dyDescent="0.2">
      <c r="A27" s="26"/>
      <c r="B27"/>
      <c r="C27" s="259" t="s">
        <v>186</v>
      </c>
      <c r="D27" s="27" t="s">
        <v>180</v>
      </c>
      <c r="E27" s="100" t="str">
        <f t="shared" si="3"/>
        <v>$millions</v>
      </c>
      <c r="F27" s="221">
        <f t="shared" si="2"/>
        <v>43983</v>
      </c>
      <c r="G27" s="29"/>
      <c r="H27" s="29"/>
      <c r="I27" s="27"/>
      <c r="J27" s="260">
        <v>1.6908102494060786</v>
      </c>
      <c r="K27" s="260">
        <v>1.7147080342749204</v>
      </c>
      <c r="L27" s="260">
        <v>1.7323636446866975</v>
      </c>
      <c r="M27" s="260">
        <v>1.7367767304981983</v>
      </c>
      <c r="N27" s="260">
        <v>1.7336670085921251</v>
      </c>
      <c r="O27" s="152"/>
      <c r="P27" s="152"/>
      <c r="Q27" s="152"/>
      <c r="R27" s="152"/>
      <c r="S27" s="152"/>
      <c r="T27" s="152"/>
      <c r="U27" s="26"/>
      <c r="V27" s="26"/>
      <c r="W27" s="26"/>
      <c r="X27" s="26"/>
    </row>
    <row r="28" spans="1:24" x14ac:dyDescent="0.2">
      <c r="A28" s="26"/>
      <c r="B28" s="26"/>
      <c r="C28" s="105"/>
      <c r="D28" s="27"/>
      <c r="E28" s="27"/>
      <c r="F28" s="27"/>
      <c r="G28" s="29"/>
      <c r="H28" s="29"/>
      <c r="I28" s="27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6"/>
      <c r="V28" s="26"/>
      <c r="W28" s="26"/>
      <c r="X28" s="26"/>
    </row>
    <row r="29" spans="1:24" x14ac:dyDescent="0.2">
      <c r="A29" s="26"/>
      <c r="B29" s="26"/>
      <c r="C29" s="131" t="s">
        <v>148</v>
      </c>
      <c r="D29" s="132" t="s">
        <v>29</v>
      </c>
      <c r="E29" s="123" t="s">
        <v>15</v>
      </c>
      <c r="F29" s="150">
        <f>F27</f>
        <v>43983</v>
      </c>
      <c r="G29" s="29"/>
      <c r="H29" s="29"/>
      <c r="I29" s="27"/>
      <c r="J29" s="122">
        <f>SUM(J19:J27)</f>
        <v>35.123774539616832</v>
      </c>
      <c r="K29" s="122">
        <f t="shared" ref="K29:S29" si="4">SUM(K19:K27)</f>
        <v>33.671220453328068</v>
      </c>
      <c r="L29" s="122">
        <f t="shared" si="4"/>
        <v>35.453801519779645</v>
      </c>
      <c r="M29" s="122">
        <f t="shared" si="4"/>
        <v>35.936916369965026</v>
      </c>
      <c r="N29" s="122">
        <f t="shared" si="4"/>
        <v>35.519783606302184</v>
      </c>
      <c r="O29" s="122">
        <f t="shared" si="4"/>
        <v>0</v>
      </c>
      <c r="P29" s="122">
        <f t="shared" si="4"/>
        <v>0</v>
      </c>
      <c r="Q29" s="122">
        <f t="shared" si="4"/>
        <v>0</v>
      </c>
      <c r="R29" s="122">
        <f t="shared" si="4"/>
        <v>0</v>
      </c>
      <c r="S29" s="122">
        <f t="shared" si="4"/>
        <v>0</v>
      </c>
      <c r="T29" s="122"/>
      <c r="U29" s="26"/>
      <c r="V29" s="26"/>
      <c r="W29" s="26"/>
      <c r="X29" s="180" t="str">
        <f>IF(COUNTIF(J19:S27,"&lt;0")&gt;0,"Check","Ok")</f>
        <v>Ok</v>
      </c>
    </row>
    <row r="30" spans="1:24" x14ac:dyDescent="0.2">
      <c r="A30" s="26"/>
      <c r="B30" s="26"/>
      <c r="C30" s="26"/>
      <c r="D30" s="27"/>
      <c r="E30" s="27"/>
      <c r="F30" s="27"/>
      <c r="G30" s="29"/>
      <c r="H30" s="29"/>
      <c r="I30" s="27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1:24" ht="12.75" x14ac:dyDescent="0.2">
      <c r="A31" s="89"/>
      <c r="B31" s="90" t="s">
        <v>53</v>
      </c>
      <c r="C31" s="89"/>
      <c r="D31" s="89"/>
      <c r="E31" s="89"/>
      <c r="F31" s="91"/>
      <c r="G31" s="91"/>
      <c r="H31" s="91"/>
      <c r="I31" s="91"/>
      <c r="J31" s="92"/>
      <c r="K31" s="93"/>
      <c r="L31" s="92"/>
      <c r="M31" s="93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x14ac:dyDescent="0.2">
      <c r="A32" s="26"/>
      <c r="B32" s="26"/>
      <c r="C32" s="26"/>
      <c r="D32" s="27"/>
      <c r="E32" s="27"/>
      <c r="F32" s="27"/>
      <c r="G32" s="27"/>
      <c r="H32" s="27"/>
      <c r="I32" s="27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1:24" x14ac:dyDescent="0.2">
      <c r="A33" s="26"/>
      <c r="B33" s="26"/>
      <c r="C33" s="26"/>
      <c r="D33" s="27"/>
      <c r="E33" s="27"/>
      <c r="F33" s="27"/>
      <c r="G33" s="27"/>
      <c r="H33" s="27"/>
      <c r="I33" s="27"/>
      <c r="J33" s="152" t="s">
        <v>23</v>
      </c>
      <c r="K33" s="152" t="s">
        <v>23</v>
      </c>
      <c r="L33" s="152" t="s">
        <v>23</v>
      </c>
      <c r="M33" s="152" t="s">
        <v>67</v>
      </c>
      <c r="N33" s="152" t="s">
        <v>67</v>
      </c>
      <c r="O33" s="152"/>
      <c r="P33" s="152"/>
      <c r="Q33" s="152"/>
      <c r="R33" s="152"/>
      <c r="S33" s="152"/>
      <c r="T33" s="152"/>
      <c r="U33" s="26"/>
      <c r="V33" s="26"/>
      <c r="W33" s="26"/>
      <c r="X33" s="26"/>
    </row>
    <row r="34" spans="1:24" x14ac:dyDescent="0.2">
      <c r="A34" s="26"/>
      <c r="B34" s="26"/>
      <c r="C34" s="63" t="s">
        <v>68</v>
      </c>
      <c r="D34" s="29" t="s">
        <v>7</v>
      </c>
      <c r="E34" s="29" t="s">
        <v>8</v>
      </c>
      <c r="F34" s="29" t="s">
        <v>22</v>
      </c>
      <c r="G34" s="29"/>
      <c r="H34" s="29"/>
      <c r="I34" s="29"/>
      <c r="J34" s="234">
        <f t="shared" ref="J34:S34" si="5">IF(YEAR(J$4)&lt;=PPLastYear,J$4,"")</f>
        <v>44348</v>
      </c>
      <c r="K34" s="234">
        <f t="shared" si="5"/>
        <v>44713</v>
      </c>
      <c r="L34" s="234">
        <f t="shared" si="5"/>
        <v>45078</v>
      </c>
      <c r="M34" s="234">
        <f t="shared" si="5"/>
        <v>45444</v>
      </c>
      <c r="N34" s="234">
        <f t="shared" si="5"/>
        <v>45809</v>
      </c>
      <c r="O34" s="234" t="str">
        <f t="shared" si="5"/>
        <v/>
      </c>
      <c r="P34" s="234" t="str">
        <f t="shared" si="5"/>
        <v/>
      </c>
      <c r="Q34" s="234" t="str">
        <f t="shared" si="5"/>
        <v/>
      </c>
      <c r="R34" s="234" t="str">
        <f t="shared" si="5"/>
        <v/>
      </c>
      <c r="S34" s="234" t="str">
        <f t="shared" si="5"/>
        <v/>
      </c>
      <c r="T34" s="148"/>
      <c r="U34" s="129" t="s">
        <v>50</v>
      </c>
      <c r="V34" s="130"/>
      <c r="W34" s="130"/>
      <c r="X34" s="26"/>
    </row>
    <row r="35" spans="1:24" x14ac:dyDescent="0.2">
      <c r="A35" s="26"/>
      <c r="B35" s="26"/>
      <c r="C35" s="105"/>
      <c r="D35" s="27"/>
      <c r="E35" s="27"/>
      <c r="F35" s="27"/>
      <c r="G35" s="29"/>
      <c r="H35" s="29"/>
      <c r="I35" s="27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x14ac:dyDescent="0.2">
      <c r="A36" s="26"/>
      <c r="B36" s="26"/>
      <c r="C36" s="105"/>
      <c r="D36" s="27"/>
      <c r="E36" s="27"/>
      <c r="F36" s="27"/>
      <c r="G36" s="29"/>
      <c r="H36" s="29"/>
      <c r="I36" s="27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10"/>
      <c r="V36" s="26"/>
      <c r="W36" s="26"/>
      <c r="X36" s="26"/>
    </row>
    <row r="37" spans="1:24" x14ac:dyDescent="0.2">
      <c r="A37" s="26"/>
      <c r="B37" s="26"/>
      <c r="C37" s="58" t="s">
        <v>66</v>
      </c>
      <c r="D37" s="27" t="s">
        <v>181</v>
      </c>
      <c r="E37" s="197" t="str">
        <f>$E$57</f>
        <v>$millions</v>
      </c>
      <c r="F37" s="198" t="s">
        <v>92</v>
      </c>
      <c r="G37" s="209"/>
      <c r="H37" s="29"/>
      <c r="I37" s="27"/>
      <c r="J37" s="260">
        <v>165.92217846833884</v>
      </c>
      <c r="K37" s="260">
        <v>174.42248164000014</v>
      </c>
      <c r="L37" s="260">
        <v>225.01939337000007</v>
      </c>
      <c r="M37" s="267">
        <v>258.42717589999984</v>
      </c>
      <c r="N37" s="260"/>
      <c r="O37" s="152"/>
      <c r="P37" s="152"/>
      <c r="Q37" s="152"/>
      <c r="R37" s="152"/>
      <c r="S37" s="152"/>
      <c r="T37" s="152"/>
      <c r="U37" s="26"/>
      <c r="V37" s="26"/>
      <c r="W37" s="26"/>
      <c r="X37" s="26"/>
    </row>
    <row r="38" spans="1:24" x14ac:dyDescent="0.2">
      <c r="A38" s="26"/>
      <c r="B38" s="26"/>
      <c r="C38" s="105"/>
      <c r="D38" s="27"/>
      <c r="E38" s="27"/>
      <c r="F38" s="149"/>
      <c r="G38" s="29"/>
      <c r="H38" s="29"/>
      <c r="I38" s="27"/>
      <c r="O38" s="152"/>
      <c r="P38" s="152"/>
      <c r="Q38" s="152"/>
      <c r="R38" s="152"/>
      <c r="S38" s="152"/>
      <c r="T38" s="152"/>
      <c r="U38" s="26"/>
      <c r="V38" s="26"/>
      <c r="W38" s="26"/>
      <c r="X38" s="26"/>
    </row>
    <row r="39" spans="1:24" x14ac:dyDescent="0.2">
      <c r="A39" s="26"/>
      <c r="B39" s="26"/>
      <c r="C39" s="63" t="s">
        <v>166</v>
      </c>
      <c r="D39" s="27"/>
      <c r="E39" s="27"/>
      <c r="F39" s="149"/>
      <c r="G39" s="29"/>
      <c r="H39" s="29"/>
      <c r="I39" s="27"/>
      <c r="J39" s="152"/>
      <c r="K39" s="269"/>
      <c r="L39" s="152"/>
      <c r="M39" s="152"/>
      <c r="N39" s="152"/>
      <c r="O39" s="152"/>
      <c r="P39" s="152"/>
      <c r="Q39"/>
      <c r="R39" s="152"/>
      <c r="S39" s="152"/>
      <c r="T39" s="152"/>
      <c r="U39" s="26"/>
      <c r="V39" s="26"/>
      <c r="W39" s="26"/>
      <c r="X39" s="26"/>
    </row>
    <row r="40" spans="1:24" x14ac:dyDescent="0.2">
      <c r="A40" s="26"/>
      <c r="B40" s="26"/>
      <c r="C40" s="63"/>
      <c r="D40" s="27"/>
      <c r="E40" s="27"/>
      <c r="F40" s="149"/>
      <c r="G40" s="29"/>
      <c r="H40" s="29"/>
      <c r="I40" s="27"/>
      <c r="J40" s="152"/>
      <c r="K40" s="269"/>
      <c r="L40" s="152"/>
      <c r="M40" s="152"/>
      <c r="N40" s="152"/>
      <c r="O40" s="152"/>
      <c r="P40" s="152"/>
      <c r="Q40" s="152"/>
      <c r="R40" s="152"/>
      <c r="S40" s="152"/>
      <c r="T40" s="152"/>
      <c r="U40" s="26"/>
      <c r="V40" s="26"/>
      <c r="W40" s="26"/>
      <c r="X40" s="26"/>
    </row>
    <row r="41" spans="1:24" x14ac:dyDescent="0.2">
      <c r="A41" s="26"/>
      <c r="B41"/>
      <c r="C41" s="259" t="s">
        <v>233</v>
      </c>
      <c r="D41" s="27" t="s">
        <v>181</v>
      </c>
      <c r="E41" s="100" t="str">
        <f>$E$57</f>
        <v>$millions</v>
      </c>
      <c r="F41" s="221" t="str">
        <f>$F$37</f>
        <v>nominal</v>
      </c>
      <c r="G41" s="29"/>
      <c r="H41" s="29"/>
      <c r="I41" s="27"/>
      <c r="J41" s="260">
        <v>0</v>
      </c>
      <c r="K41" s="260">
        <v>5.8825159999999999</v>
      </c>
      <c r="L41" s="260">
        <v>1.7617033200000001</v>
      </c>
      <c r="M41" s="267">
        <v>2.355944</v>
      </c>
      <c r="N41" s="261"/>
      <c r="O41" s="152"/>
      <c r="P41" s="152"/>
      <c r="Q41" s="152"/>
      <c r="R41" s="152"/>
      <c r="S41" s="152"/>
      <c r="T41" s="152"/>
      <c r="U41"/>
      <c r="V41" s="26"/>
      <c r="W41" s="26"/>
      <c r="X41" s="26"/>
    </row>
    <row r="42" spans="1:24" x14ac:dyDescent="0.2">
      <c r="A42" s="26"/>
      <c r="B42" s="26"/>
      <c r="C42" s="259"/>
      <c r="D42" s="27" t="s">
        <v>181</v>
      </c>
      <c r="E42" s="100" t="str">
        <f>$E$57</f>
        <v>$millions</v>
      </c>
      <c r="F42" s="221" t="str">
        <f>$F$37</f>
        <v>nominal</v>
      </c>
      <c r="G42" s="29"/>
      <c r="H42" s="29"/>
      <c r="I42" s="27"/>
      <c r="J42" s="261"/>
      <c r="K42" s="261"/>
      <c r="L42" s="261"/>
      <c r="M42" s="261"/>
      <c r="N42" s="261"/>
      <c r="O42" s="152"/>
      <c r="P42" s="152"/>
      <c r="Q42" s="152"/>
      <c r="R42" s="152"/>
      <c r="S42" s="152"/>
      <c r="T42" s="152"/>
      <c r="U42" s="26"/>
      <c r="V42" s="26"/>
      <c r="W42" s="26"/>
      <c r="X42" s="26"/>
    </row>
    <row r="43" spans="1:24" x14ac:dyDescent="0.2">
      <c r="A43" s="26"/>
      <c r="B43" s="26"/>
      <c r="C43" s="259"/>
      <c r="D43" s="27" t="s">
        <v>181</v>
      </c>
      <c r="E43" s="100" t="str">
        <f>$E$57</f>
        <v>$millions</v>
      </c>
      <c r="F43" s="221" t="str">
        <f>$F$37</f>
        <v>nominal</v>
      </c>
      <c r="G43" s="29"/>
      <c r="H43" s="29"/>
      <c r="I43" s="27"/>
      <c r="J43" s="261"/>
      <c r="K43" s="261"/>
      <c r="L43" s="261"/>
      <c r="M43" s="261"/>
      <c r="N43" s="261"/>
      <c r="O43" s="152"/>
      <c r="P43" s="152"/>
      <c r="Q43" s="152"/>
      <c r="R43" s="152"/>
      <c r="S43" s="152"/>
      <c r="T43" s="152"/>
      <c r="U43" s="26"/>
      <c r="V43" s="26"/>
      <c r="W43" s="26"/>
      <c r="X43" s="26"/>
    </row>
    <row r="44" spans="1:24" x14ac:dyDescent="0.2">
      <c r="A44" s="26"/>
      <c r="B44" s="26"/>
      <c r="C44" s="259"/>
      <c r="D44" s="27" t="s">
        <v>181</v>
      </c>
      <c r="E44" s="100" t="str">
        <f>$E$57</f>
        <v>$millions</v>
      </c>
      <c r="F44" s="221" t="str">
        <f>$F$37</f>
        <v>nominal</v>
      </c>
      <c r="G44" s="29"/>
      <c r="H44" s="29"/>
      <c r="I44" s="27"/>
      <c r="J44" s="261"/>
      <c r="K44" s="261"/>
      <c r="L44" s="261"/>
      <c r="M44" s="261"/>
      <c r="N44" s="261"/>
      <c r="O44" s="152"/>
      <c r="P44" s="152"/>
      <c r="Q44" s="152"/>
      <c r="R44" s="152"/>
      <c r="S44" s="152"/>
      <c r="T44" s="152"/>
      <c r="U44" s="26"/>
      <c r="V44" s="26"/>
      <c r="W44" s="26"/>
      <c r="X44" s="26"/>
    </row>
    <row r="45" spans="1:24" x14ac:dyDescent="0.2">
      <c r="A45" s="26"/>
      <c r="B45" s="26"/>
      <c r="C45" s="259"/>
      <c r="D45" s="27" t="s">
        <v>181</v>
      </c>
      <c r="E45" s="100" t="str">
        <f>$E$57</f>
        <v>$millions</v>
      </c>
      <c r="F45" s="221" t="str">
        <f>$F$37</f>
        <v>nominal</v>
      </c>
      <c r="G45" s="29"/>
      <c r="H45" s="29"/>
      <c r="I45" s="27"/>
      <c r="J45" s="261"/>
      <c r="K45" s="261"/>
      <c r="L45" s="261"/>
      <c r="M45" s="261"/>
      <c r="N45" s="261"/>
      <c r="O45" s="152"/>
      <c r="P45" s="152"/>
      <c r="Q45" s="152"/>
      <c r="R45" s="152"/>
      <c r="S45" s="152"/>
      <c r="T45" s="152"/>
      <c r="U45" s="26"/>
      <c r="V45" s="26"/>
      <c r="W45" s="26"/>
      <c r="X45" s="26"/>
    </row>
    <row r="46" spans="1:24" x14ac:dyDescent="0.2">
      <c r="A46" s="26"/>
      <c r="B46" s="26"/>
      <c r="C46" s="105"/>
      <c r="D46" s="27"/>
      <c r="E46" s="27"/>
      <c r="F46" s="27"/>
      <c r="G46" s="29"/>
      <c r="H46" s="29"/>
      <c r="I46" s="27"/>
      <c r="J46" s="26"/>
      <c r="K46" s="26"/>
      <c r="L46" s="26"/>
      <c r="M46" s="26"/>
      <c r="N46" s="133"/>
      <c r="O46" s="133"/>
      <c r="P46" s="133"/>
      <c r="Q46" s="133"/>
      <c r="R46" s="133"/>
      <c r="S46" s="133"/>
      <c r="T46" s="133"/>
      <c r="U46" s="26"/>
      <c r="V46" s="26"/>
      <c r="W46" s="26"/>
      <c r="X46" s="26"/>
    </row>
    <row r="47" spans="1:24" x14ac:dyDescent="0.2">
      <c r="A47" s="26"/>
      <c r="B47" s="26"/>
      <c r="C47" s="131" t="s">
        <v>164</v>
      </c>
      <c r="D47" s="132" t="s">
        <v>29</v>
      </c>
      <c r="E47" s="173" t="str">
        <f>$E$57</f>
        <v>$millions</v>
      </c>
      <c r="F47" s="174" t="str">
        <f>F37</f>
        <v>nominal</v>
      </c>
      <c r="G47" s="29"/>
      <c r="H47" s="29"/>
      <c r="I47" s="27"/>
      <c r="J47" s="122">
        <f>J37-SUM(J41:J45)</f>
        <v>165.92217846833884</v>
      </c>
      <c r="K47" s="122">
        <f t="shared" ref="K47:S47" si="6">K37-SUM(K41:K45)</f>
        <v>168.53996564000013</v>
      </c>
      <c r="L47" s="122">
        <f t="shared" si="6"/>
        <v>223.25769005000006</v>
      </c>
      <c r="M47" s="122">
        <f t="shared" si="6"/>
        <v>256.07123189999982</v>
      </c>
      <c r="N47" s="122">
        <f t="shared" si="6"/>
        <v>0</v>
      </c>
      <c r="O47" s="122">
        <f t="shared" si="6"/>
        <v>0</v>
      </c>
      <c r="P47" s="122">
        <f t="shared" si="6"/>
        <v>0</v>
      </c>
      <c r="Q47" s="122">
        <f t="shared" si="6"/>
        <v>0</v>
      </c>
      <c r="R47" s="122">
        <f t="shared" si="6"/>
        <v>0</v>
      </c>
      <c r="S47" s="122">
        <f t="shared" si="6"/>
        <v>0</v>
      </c>
      <c r="T47" s="122"/>
      <c r="U47" s="26"/>
      <c r="V47" s="26"/>
      <c r="W47" s="26"/>
      <c r="X47" s="26"/>
    </row>
    <row r="48" spans="1:24" x14ac:dyDescent="0.2">
      <c r="A48" s="26"/>
      <c r="B48" s="26"/>
      <c r="C48" s="26"/>
      <c r="D48" s="27"/>
      <c r="E48" s="27"/>
      <c r="F48" s="27"/>
      <c r="G48" s="27"/>
      <c r="H48" s="27"/>
      <c r="I48" s="27"/>
      <c r="J48" s="152"/>
      <c r="K48" s="152"/>
      <c r="L48" s="152"/>
      <c r="M48" s="152"/>
      <c r="N48" s="152"/>
      <c r="O48" s="153"/>
      <c r="P48" s="153"/>
      <c r="Q48" s="153"/>
      <c r="R48" s="153"/>
      <c r="S48" s="153"/>
      <c r="T48" s="153"/>
      <c r="U48" s="26"/>
      <c r="V48" s="26"/>
      <c r="W48" s="26"/>
      <c r="X48" s="26"/>
    </row>
    <row r="49" spans="1:24" x14ac:dyDescent="0.2">
      <c r="A49" s="26"/>
      <c r="B49" s="26"/>
      <c r="C49" s="63" t="s">
        <v>103</v>
      </c>
      <c r="D49" s="27"/>
      <c r="E49" s="27"/>
      <c r="F49" s="27"/>
      <c r="G49" s="27"/>
      <c r="H49" s="27"/>
      <c r="I49" s="27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26"/>
      <c r="V49" s="26"/>
      <c r="W49" s="26"/>
      <c r="X49" s="26"/>
    </row>
    <row r="50" spans="1:24" x14ac:dyDescent="0.2">
      <c r="A50" s="26"/>
      <c r="B50" s="26"/>
      <c r="C50" s="26"/>
      <c r="D50" s="27"/>
      <c r="E50" s="27"/>
      <c r="F50" s="27"/>
      <c r="G50" s="27"/>
      <c r="H50" s="27"/>
      <c r="I50" s="27"/>
      <c r="J50" s="153"/>
      <c r="K50" s="153"/>
      <c r="L50" s="153"/>
      <c r="M50" s="153"/>
      <c r="N50" s="207"/>
      <c r="O50" s="153"/>
      <c r="P50" s="153"/>
      <c r="Q50" s="153"/>
      <c r="R50" s="153"/>
      <c r="S50" s="153"/>
      <c r="T50" s="153"/>
      <c r="U50"/>
      <c r="V50" s="26"/>
      <c r="W50" s="26"/>
      <c r="X50" s="26"/>
    </row>
    <row r="51" spans="1:24" x14ac:dyDescent="0.2">
      <c r="A51" s="26"/>
      <c r="B51"/>
      <c r="C51" s="259" t="s">
        <v>217</v>
      </c>
      <c r="D51" s="27" t="s">
        <v>181</v>
      </c>
      <c r="E51" s="100" t="str">
        <f>$E$57</f>
        <v>$millions</v>
      </c>
      <c r="F51" s="221" t="str">
        <f>$F$57</f>
        <v>nominal</v>
      </c>
      <c r="G51" s="209"/>
      <c r="H51" s="29"/>
      <c r="I51" s="27"/>
      <c r="J51" s="260">
        <v>24.787949999999999</v>
      </c>
      <c r="K51" s="260">
        <v>27.228831249999999</v>
      </c>
      <c r="L51" s="260">
        <v>49.155811920000005</v>
      </c>
      <c r="M51" s="267">
        <v>71.003595469999993</v>
      </c>
      <c r="N51" s="261"/>
      <c r="O51" s="152"/>
      <c r="P51" s="152"/>
      <c r="Q51" s="152"/>
      <c r="R51" s="152"/>
      <c r="S51" s="152"/>
      <c r="T51" s="152"/>
      <c r="U51"/>
      <c r="V51" s="26"/>
      <c r="W51" s="26"/>
      <c r="X51" s="26"/>
    </row>
    <row r="52" spans="1:24" x14ac:dyDescent="0.2">
      <c r="A52" s="26"/>
      <c r="B52"/>
      <c r="C52" s="259" t="s">
        <v>218</v>
      </c>
      <c r="D52" s="27" t="s">
        <v>181</v>
      </c>
      <c r="E52" s="100" t="str">
        <f>$E$57</f>
        <v>$millions</v>
      </c>
      <c r="F52" s="221" t="str">
        <f>$F$57</f>
        <v>nominal</v>
      </c>
      <c r="G52" s="29"/>
      <c r="H52" s="29"/>
      <c r="I52" s="27"/>
      <c r="J52" s="260">
        <v>4.6470276100000003</v>
      </c>
      <c r="K52" s="260">
        <v>3.6196330900000002</v>
      </c>
      <c r="L52" s="260">
        <v>4.3829880999999995</v>
      </c>
      <c r="M52" s="267">
        <v>4.377704640000001</v>
      </c>
      <c r="N52" s="261"/>
      <c r="O52" s="152"/>
      <c r="P52" s="152"/>
      <c r="Q52" s="152"/>
      <c r="R52" s="152"/>
      <c r="S52" s="152"/>
      <c r="T52" s="152"/>
      <c r="U52" s="26"/>
      <c r="V52" s="26"/>
      <c r="W52" s="26"/>
      <c r="X52" s="26"/>
    </row>
    <row r="53" spans="1:24" x14ac:dyDescent="0.2">
      <c r="A53" s="26"/>
      <c r="B53"/>
      <c r="C53" s="259" t="s">
        <v>186</v>
      </c>
      <c r="D53" s="27" t="s">
        <v>181</v>
      </c>
      <c r="E53" s="100" t="str">
        <f>$E$57</f>
        <v>$millions</v>
      </c>
      <c r="F53" s="221" t="str">
        <f>$F$57</f>
        <v>nominal</v>
      </c>
      <c r="G53" s="29"/>
      <c r="H53" s="29"/>
      <c r="I53" s="27"/>
      <c r="J53" s="260">
        <v>0</v>
      </c>
      <c r="K53" s="260">
        <v>0</v>
      </c>
      <c r="L53" s="260">
        <v>0</v>
      </c>
      <c r="M53" s="267">
        <v>0</v>
      </c>
      <c r="N53" s="261"/>
      <c r="O53" s="152"/>
      <c r="P53" s="152"/>
      <c r="Q53" s="152"/>
      <c r="R53" s="152"/>
      <c r="S53" s="152"/>
      <c r="T53" s="152"/>
      <c r="U53" s="26"/>
      <c r="V53" s="26"/>
      <c r="W53" s="26"/>
      <c r="X53" s="26"/>
    </row>
    <row r="54" spans="1:24" x14ac:dyDescent="0.2">
      <c r="A54" s="26"/>
      <c r="B54"/>
      <c r="C54" s="259" t="s">
        <v>219</v>
      </c>
      <c r="D54" s="27" t="s">
        <v>181</v>
      </c>
      <c r="E54" s="100" t="str">
        <f>$E$57</f>
        <v>$millions</v>
      </c>
      <c r="F54" s="221" t="str">
        <f>$F$57</f>
        <v>nominal</v>
      </c>
      <c r="G54" s="29"/>
      <c r="H54" s="29"/>
      <c r="I54" s="27"/>
      <c r="J54" s="260">
        <v>-8.5065209999999614E-2</v>
      </c>
      <c r="K54" s="260">
        <v>0.29392771999999995</v>
      </c>
      <c r="L54" s="260">
        <v>-1.02486568</v>
      </c>
      <c r="M54" s="267">
        <v>0.68863700639999981</v>
      </c>
      <c r="N54" s="261"/>
      <c r="O54" s="152"/>
      <c r="P54" s="152"/>
      <c r="Q54" s="152"/>
      <c r="R54" s="152"/>
      <c r="S54" s="152"/>
      <c r="T54" s="152"/>
      <c r="U54" s="26"/>
      <c r="V54" s="26"/>
      <c r="W54" s="26"/>
      <c r="X54" s="26"/>
    </row>
    <row r="55" spans="1:24" x14ac:dyDescent="0.2">
      <c r="A55" s="26"/>
      <c r="B55" s="242"/>
      <c r="C55" s="259"/>
      <c r="D55" s="27" t="s">
        <v>181</v>
      </c>
      <c r="E55" s="100" t="str">
        <f>$E$57</f>
        <v>$millions</v>
      </c>
      <c r="F55" s="221" t="str">
        <f>$F$57</f>
        <v>nominal</v>
      </c>
      <c r="G55" s="29"/>
      <c r="H55" s="29"/>
      <c r="I55" s="27"/>
      <c r="J55" s="261"/>
      <c r="K55" s="261"/>
      <c r="L55" s="261"/>
      <c r="M55" s="261"/>
      <c r="N55" s="261"/>
      <c r="O55" s="152"/>
      <c r="P55" s="152"/>
      <c r="Q55" s="152"/>
      <c r="R55" s="152"/>
      <c r="S55" s="152"/>
      <c r="T55" s="152"/>
      <c r="U55" s="26"/>
      <c r="V55" s="26"/>
      <c r="W55" s="26"/>
      <c r="X55" s="26"/>
    </row>
    <row r="56" spans="1:24" x14ac:dyDescent="0.2">
      <c r="A56" s="26"/>
      <c r="B56" s="26"/>
      <c r="C56" s="105"/>
      <c r="D56" s="27"/>
      <c r="E56" s="27"/>
      <c r="F56" s="27"/>
      <c r="G56" s="29"/>
      <c r="H56" s="29"/>
      <c r="I56" s="27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26"/>
      <c r="V56" s="26"/>
      <c r="W56" s="26"/>
      <c r="X56" s="26"/>
    </row>
    <row r="57" spans="1:24" x14ac:dyDescent="0.2">
      <c r="A57" s="26"/>
      <c r="B57" s="26"/>
      <c r="C57" s="131" t="s">
        <v>148</v>
      </c>
      <c r="D57" s="132" t="s">
        <v>29</v>
      </c>
      <c r="E57" s="123" t="s">
        <v>15</v>
      </c>
      <c r="F57" s="150" t="s">
        <v>92</v>
      </c>
      <c r="G57" s="29"/>
      <c r="H57" s="29"/>
      <c r="I57" s="27"/>
      <c r="J57" s="169">
        <f>SUM(J51:J55)</f>
        <v>29.349912399999997</v>
      </c>
      <c r="K57" s="169">
        <f t="shared" ref="K57:S57" si="7">SUM(K51:K55)</f>
        <v>31.142392059999999</v>
      </c>
      <c r="L57" s="169">
        <f t="shared" si="7"/>
        <v>52.513934340000006</v>
      </c>
      <c r="M57" s="169">
        <f t="shared" si="7"/>
        <v>76.069937116399998</v>
      </c>
      <c r="N57" s="169">
        <f t="shared" si="7"/>
        <v>0</v>
      </c>
      <c r="O57" s="169">
        <f t="shared" si="7"/>
        <v>0</v>
      </c>
      <c r="P57" s="169">
        <f t="shared" si="7"/>
        <v>0</v>
      </c>
      <c r="Q57" s="169">
        <f t="shared" si="7"/>
        <v>0</v>
      </c>
      <c r="R57" s="169">
        <f t="shared" si="7"/>
        <v>0</v>
      </c>
      <c r="S57" s="169">
        <f t="shared" si="7"/>
        <v>0</v>
      </c>
      <c r="T57" s="169"/>
      <c r="U57" s="26"/>
      <c r="V57" s="26"/>
      <c r="W57" s="26"/>
      <c r="X57" s="180" t="str">
        <f>IF(COUNTIF(J51:S53,"&lt;0")&gt;0,"Check","Ok")</f>
        <v>Ok</v>
      </c>
    </row>
    <row r="58" spans="1:24" x14ac:dyDescent="0.2">
      <c r="A58" s="26"/>
      <c r="B58" s="26"/>
      <c r="C58" s="26"/>
      <c r="D58" s="27"/>
      <c r="E58" s="27"/>
      <c r="F58" s="27"/>
      <c r="G58" s="29"/>
      <c r="H58" s="29"/>
      <c r="I58" s="27"/>
      <c r="J58" s="26"/>
      <c r="K58" s="26"/>
      <c r="L58" s="26"/>
      <c r="M58" s="249"/>
      <c r="N58" s="249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1:24" ht="12.75" x14ac:dyDescent="0.2">
      <c r="A59" s="89"/>
      <c r="B59" s="90" t="s">
        <v>104</v>
      </c>
      <c r="C59" s="89"/>
      <c r="D59" s="89"/>
      <c r="E59" s="89"/>
      <c r="F59" s="91"/>
      <c r="G59" s="91"/>
      <c r="H59" s="91"/>
      <c r="I59" s="91"/>
      <c r="J59" s="92"/>
      <c r="K59" s="93"/>
      <c r="L59" s="92"/>
      <c r="M59" s="93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x14ac:dyDescent="0.2">
      <c r="A60" s="26"/>
      <c r="B60" s="26"/>
      <c r="C60" s="26"/>
      <c r="D60" s="27"/>
      <c r="E60" s="27"/>
      <c r="F60" s="27"/>
      <c r="G60" s="27"/>
      <c r="H60" s="27"/>
      <c r="I60" s="27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x14ac:dyDescent="0.2">
      <c r="A61" s="26"/>
      <c r="B61" s="26"/>
      <c r="C61" s="63" t="s">
        <v>105</v>
      </c>
      <c r="D61" s="29" t="s">
        <v>7</v>
      </c>
      <c r="E61" s="29" t="s">
        <v>8</v>
      </c>
      <c r="F61" s="29" t="s">
        <v>22</v>
      </c>
      <c r="G61" s="29"/>
      <c r="H61" s="29"/>
      <c r="I61" s="29"/>
      <c r="J61" s="234" t="str">
        <f t="shared" ref="J61:S61" si="8">IF(YEAR(J$4)=PPLastYear,J$4,"")</f>
        <v/>
      </c>
      <c r="K61" s="234" t="str">
        <f t="shared" si="8"/>
        <v/>
      </c>
      <c r="L61" s="234" t="str">
        <f t="shared" si="8"/>
        <v/>
      </c>
      <c r="M61" s="234" t="str">
        <f t="shared" si="8"/>
        <v/>
      </c>
      <c r="N61" s="234">
        <f t="shared" si="8"/>
        <v>45809</v>
      </c>
      <c r="O61" s="234" t="str">
        <f t="shared" si="8"/>
        <v/>
      </c>
      <c r="P61" s="234" t="str">
        <f t="shared" si="8"/>
        <v/>
      </c>
      <c r="Q61" s="234" t="str">
        <f t="shared" si="8"/>
        <v/>
      </c>
      <c r="R61" s="234" t="str">
        <f t="shared" si="8"/>
        <v/>
      </c>
      <c r="S61" s="234" t="str">
        <f t="shared" si="8"/>
        <v/>
      </c>
      <c r="T61" s="148"/>
      <c r="U61" s="26"/>
      <c r="V61" s="26"/>
      <c r="W61" s="26"/>
      <c r="X61" s="26"/>
    </row>
    <row r="62" spans="1:24" x14ac:dyDescent="0.2">
      <c r="A62" s="26"/>
      <c r="B62" s="26"/>
      <c r="C62" s="63"/>
      <c r="D62" s="29"/>
      <c r="E62" s="29"/>
      <c r="F62" s="29"/>
      <c r="G62" s="29"/>
      <c r="H62" s="29"/>
      <c r="I62" s="29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210"/>
      <c r="V62" s="26"/>
      <c r="W62" s="26"/>
      <c r="X62" s="26"/>
    </row>
    <row r="63" spans="1:24" x14ac:dyDescent="0.2">
      <c r="A63" s="26"/>
      <c r="B63"/>
      <c r="C63" s="58" t="s">
        <v>201</v>
      </c>
      <c r="D63" s="27" t="s">
        <v>181</v>
      </c>
      <c r="E63" s="100" t="str">
        <f>$E$57</f>
        <v>$millions</v>
      </c>
      <c r="F63" s="157">
        <v>45809</v>
      </c>
      <c r="G63" s="209"/>
      <c r="H63" s="29"/>
      <c r="I63" s="29"/>
      <c r="J63" s="152"/>
      <c r="K63" s="152"/>
      <c r="L63" s="152"/>
      <c r="M63" s="152"/>
      <c r="N63" s="152">
        <f>+M41*'Input|Rate of change'!N31</f>
        <v>2.4687311063408548</v>
      </c>
      <c r="O63" s="270"/>
      <c r="P63" s="271"/>
      <c r="Q63"/>
      <c r="R63" s="152"/>
      <c r="S63" s="152"/>
      <c r="T63"/>
      <c r="U63" s="26"/>
      <c r="V63" s="134"/>
      <c r="W63" s="134"/>
      <c r="X63" s="26"/>
    </row>
    <row r="64" spans="1:24" x14ac:dyDescent="0.2">
      <c r="A64" s="26"/>
      <c r="B64" s="242"/>
      <c r="C64" s="58" t="s">
        <v>200</v>
      </c>
      <c r="D64" s="27" t="s">
        <v>181</v>
      </c>
      <c r="E64" s="100" t="str">
        <f t="shared" ref="E64:E69" si="9">$E$57</f>
        <v>$millions</v>
      </c>
      <c r="F64" s="157">
        <v>45809</v>
      </c>
      <c r="G64" s="29"/>
      <c r="H64" s="29"/>
      <c r="I64" s="29"/>
      <c r="J64" s="152"/>
      <c r="K64" s="152"/>
      <c r="L64" s="152"/>
      <c r="M64" s="152"/>
      <c r="N64" s="152">
        <v>2.4036094658822984</v>
      </c>
      <c r="O64" s="152"/>
      <c r="P64" s="152"/>
      <c r="Q64" s="152"/>
      <c r="R64" s="152"/>
      <c r="S64" s="152"/>
      <c r="T64" s="152"/>
      <c r="U64" s="118"/>
      <c r="V64" s="134"/>
      <c r="W64" s="134"/>
      <c r="X64" s="26"/>
    </row>
    <row r="65" spans="1:24" x14ac:dyDescent="0.2">
      <c r="A65" s="26"/>
      <c r="B65" s="242"/>
      <c r="C65" s="58" t="s">
        <v>202</v>
      </c>
      <c r="D65" s="27" t="s">
        <v>181</v>
      </c>
      <c r="E65" s="100" t="str">
        <f t="shared" si="9"/>
        <v>$millions</v>
      </c>
      <c r="F65" s="157">
        <v>45809</v>
      </c>
      <c r="G65" s="29"/>
      <c r="H65" s="29"/>
      <c r="I65" s="29"/>
      <c r="J65" s="152"/>
      <c r="K65" s="152"/>
      <c r="L65" s="152"/>
      <c r="M65" s="152"/>
      <c r="N65" s="152">
        <v>-21.863144457009419</v>
      </c>
      <c r="O65" s="152"/>
      <c r="P65"/>
      <c r="Q65" s="152"/>
      <c r="R65" s="152"/>
      <c r="S65" s="152"/>
      <c r="T65" s="152"/>
      <c r="U65" s="118"/>
      <c r="V65" s="134"/>
      <c r="W65" s="134"/>
      <c r="X65" s="26"/>
    </row>
    <row r="66" spans="1:24" x14ac:dyDescent="0.2">
      <c r="A66" s="26"/>
      <c r="B66" s="242"/>
      <c r="C66" s="58" t="s">
        <v>106</v>
      </c>
      <c r="D66" s="27" t="s">
        <v>33</v>
      </c>
      <c r="E66" s="100" t="str">
        <f t="shared" si="9"/>
        <v>$millions</v>
      </c>
      <c r="F66" s="157">
        <v>45809</v>
      </c>
      <c r="G66" s="29"/>
      <c r="H66" s="29"/>
      <c r="I66" s="29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18"/>
      <c r="V66" s="134"/>
      <c r="W66" s="134"/>
      <c r="X66" s="26"/>
    </row>
    <row r="67" spans="1:24" x14ac:dyDescent="0.2">
      <c r="A67" s="26"/>
      <c r="B67" s="242"/>
      <c r="C67" s="58" t="s">
        <v>107</v>
      </c>
      <c r="D67" s="27" t="s">
        <v>33</v>
      </c>
      <c r="E67" s="100" t="str">
        <f t="shared" si="9"/>
        <v>$millions</v>
      </c>
      <c r="F67" s="157">
        <v>45809</v>
      </c>
      <c r="G67" s="29"/>
      <c r="H67" s="29"/>
      <c r="I67" s="29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18"/>
      <c r="V67" s="134"/>
      <c r="W67" s="134"/>
      <c r="X67" s="26"/>
    </row>
    <row r="68" spans="1:24" s="97" customFormat="1" x14ac:dyDescent="0.2">
      <c r="A68" s="180"/>
      <c r="B68" s="180"/>
      <c r="C68" s="282"/>
      <c r="D68" s="100"/>
      <c r="E68" s="100"/>
      <c r="F68" s="181"/>
      <c r="G68" s="182"/>
      <c r="H68" s="182"/>
      <c r="I68" s="182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99"/>
      <c r="V68" s="153"/>
      <c r="W68" s="153"/>
      <c r="X68" s="180"/>
    </row>
    <row r="69" spans="1:24" x14ac:dyDescent="0.2">
      <c r="A69" s="26"/>
      <c r="B69" s="26"/>
      <c r="C69" s="58" t="s">
        <v>165</v>
      </c>
      <c r="D69" s="27" t="s">
        <v>33</v>
      </c>
      <c r="E69" s="100" t="str">
        <f t="shared" si="9"/>
        <v>$millions</v>
      </c>
      <c r="F69" s="157">
        <v>45809</v>
      </c>
      <c r="G69" s="29"/>
      <c r="H69" s="29"/>
      <c r="I69" s="29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18"/>
      <c r="V69" s="134"/>
      <c r="W69" s="134"/>
      <c r="X69" s="26"/>
    </row>
    <row r="70" spans="1:24" s="97" customFormat="1" x14ac:dyDescent="0.2">
      <c r="A70" s="180"/>
      <c r="B70" s="180"/>
      <c r="C70" s="282"/>
      <c r="D70" s="100"/>
      <c r="E70" s="100"/>
      <c r="F70" s="181"/>
      <c r="G70" s="182"/>
      <c r="H70" s="182"/>
      <c r="I70" s="182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99"/>
      <c r="V70" s="153"/>
      <c r="W70" s="153"/>
      <c r="X70" s="180"/>
    </row>
    <row r="71" spans="1:24" x14ac:dyDescent="0.2">
      <c r="A71" s="26"/>
      <c r="B71" s="26"/>
      <c r="C71" s="58" t="s">
        <v>81</v>
      </c>
      <c r="D71" s="27" t="s">
        <v>33</v>
      </c>
      <c r="E71" s="27" t="s">
        <v>30</v>
      </c>
      <c r="F71" s="29"/>
      <c r="G71" s="29"/>
      <c r="H71" s="29"/>
      <c r="I71" s="29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18"/>
      <c r="V71" s="134"/>
      <c r="W71" s="134"/>
      <c r="X71" s="26"/>
    </row>
    <row r="72" spans="1:24" x14ac:dyDescent="0.2">
      <c r="A72" s="26"/>
      <c r="B72" s="26"/>
      <c r="C72" s="105"/>
      <c r="D72" s="27"/>
      <c r="E72" s="27"/>
      <c r="F72" s="27"/>
      <c r="G72" s="29"/>
      <c r="H72" s="29"/>
      <c r="I72" s="27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1:24" ht="12.75" x14ac:dyDescent="0.2">
      <c r="A73" s="89"/>
      <c r="B73" s="90" t="s">
        <v>21</v>
      </c>
      <c r="C73" s="89"/>
      <c r="D73" s="89"/>
      <c r="E73" s="89"/>
      <c r="F73" s="91"/>
      <c r="G73" s="91"/>
      <c r="H73" s="91"/>
      <c r="I73" s="91"/>
      <c r="J73" s="92"/>
      <c r="K73" s="93"/>
      <c r="L73" s="92"/>
      <c r="M73" s="93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</sheetData>
  <conditionalFormatting sqref="X37 X51:X55 X41:X45">
    <cfRule type="cellIs" dxfId="217" priority="65" operator="equal">
      <formula>"Check"</formula>
    </cfRule>
    <cfRule type="cellIs" dxfId="216" priority="66" operator="equal">
      <formula>"Ok"</formula>
    </cfRule>
  </conditionalFormatting>
  <conditionalFormatting sqref="X57">
    <cfRule type="cellIs" dxfId="215" priority="63" operator="equal">
      <formula>"Check"</formula>
    </cfRule>
    <cfRule type="cellIs" dxfId="214" priority="64" operator="equal">
      <formula>"Ok"</formula>
    </cfRule>
  </conditionalFormatting>
  <conditionalFormatting sqref="X15">
    <cfRule type="cellIs" dxfId="213" priority="61" operator="equal">
      <formula>"Check"</formula>
    </cfRule>
    <cfRule type="cellIs" dxfId="212" priority="62" operator="equal">
      <formula>"Ok"</formula>
    </cfRule>
  </conditionalFormatting>
  <conditionalFormatting sqref="W1">
    <cfRule type="cellIs" dxfId="211" priority="59" operator="equal">
      <formula>"Check"</formula>
    </cfRule>
    <cfRule type="cellIs" dxfId="210" priority="60" operator="equal">
      <formula>"Ok"</formula>
    </cfRule>
  </conditionalFormatting>
  <conditionalFormatting sqref="S1">
    <cfRule type="cellIs" dxfId="209" priority="57" operator="equal">
      <formula>"Check"</formula>
    </cfRule>
    <cfRule type="cellIs" dxfId="208" priority="58" operator="equal">
      <formula>"Ok"</formula>
    </cfRule>
  </conditionalFormatting>
  <conditionalFormatting sqref="J15:N15">
    <cfRule type="cellIs" dxfId="207" priority="56" operator="equal">
      <formula>0</formula>
    </cfRule>
  </conditionalFormatting>
  <conditionalFormatting sqref="J57:N57">
    <cfRule type="cellIs" dxfId="206" priority="55" operator="equal">
      <formula>0</formula>
    </cfRule>
  </conditionalFormatting>
  <conditionalFormatting sqref="X48:X50">
    <cfRule type="cellIs" dxfId="205" priority="53" operator="equal">
      <formula>"Check"</formula>
    </cfRule>
    <cfRule type="cellIs" dxfId="204" priority="54" operator="equal">
      <formula>"Ok"</formula>
    </cfRule>
  </conditionalFormatting>
  <conditionalFormatting sqref="J33:N33">
    <cfRule type="expression" dxfId="203" priority="51">
      <formula>J$34=J$4</formula>
    </cfRule>
  </conditionalFormatting>
  <conditionalFormatting sqref="X47">
    <cfRule type="cellIs" dxfId="202" priority="45" operator="equal">
      <formula>"Check"</formula>
    </cfRule>
    <cfRule type="cellIs" dxfId="201" priority="46" operator="equal">
      <formula>"Ok"</formula>
    </cfRule>
  </conditionalFormatting>
  <conditionalFormatting sqref="J47:N47">
    <cfRule type="cellIs" dxfId="200" priority="43" operator="equal">
      <formula>0</formula>
    </cfRule>
  </conditionalFormatting>
  <conditionalFormatting sqref="J69:T69 J71:T71 J63:N67">
    <cfRule type="expression" dxfId="199" priority="42">
      <formula>J$61=J$4</formula>
    </cfRule>
  </conditionalFormatting>
  <conditionalFormatting sqref="X29">
    <cfRule type="cellIs" dxfId="198" priority="38" operator="equal">
      <formula>"Check"</formula>
    </cfRule>
    <cfRule type="cellIs" dxfId="197" priority="39" operator="equal">
      <formula>"Ok"</formula>
    </cfRule>
  </conditionalFormatting>
  <conditionalFormatting sqref="J29:N29">
    <cfRule type="cellIs" dxfId="196" priority="37" operator="equal">
      <formula>0</formula>
    </cfRule>
  </conditionalFormatting>
  <conditionalFormatting sqref="T1">
    <cfRule type="cellIs" dxfId="195" priority="30" operator="equal">
      <formula>"Check"</formula>
    </cfRule>
    <cfRule type="cellIs" dxfId="194" priority="31" operator="equal">
      <formula>"Ok"</formula>
    </cfRule>
  </conditionalFormatting>
  <conditionalFormatting sqref="O57:T57">
    <cfRule type="cellIs" dxfId="193" priority="12" operator="equal">
      <formula>0</formula>
    </cfRule>
  </conditionalFormatting>
  <conditionalFormatting sqref="O37:T37">
    <cfRule type="expression" dxfId="192" priority="9">
      <formula>O$10=O$4</formula>
    </cfRule>
  </conditionalFormatting>
  <conditionalFormatting sqref="O47:T47">
    <cfRule type="cellIs" dxfId="191" priority="8" operator="equal">
      <formula>0</formula>
    </cfRule>
  </conditionalFormatting>
  <conditionalFormatting sqref="O64:T64 P63 R63:S63 O66:T67 O65 Q65:T65">
    <cfRule type="expression" dxfId="190" priority="7">
      <formula>O$61=O$4</formula>
    </cfRule>
  </conditionalFormatting>
  <conditionalFormatting sqref="O29:T29">
    <cfRule type="cellIs" dxfId="189" priority="6" operator="equal">
      <formula>0</formula>
    </cfRule>
  </conditionalFormatting>
  <conditionalFormatting sqref="O15:T15">
    <cfRule type="cellIs" dxfId="188" priority="13" operator="equal">
      <formula>0</formula>
    </cfRule>
  </conditionalFormatting>
  <conditionalFormatting sqref="O41:T45 O33:T33 O37:T37 O51:T51 O54:T55 P52:T53">
    <cfRule type="expression" dxfId="187" priority="11">
      <formula>O$34=O$4</formula>
    </cfRule>
  </conditionalFormatting>
  <conditionalFormatting sqref="P13:T13 O20:T27 P19:T19">
    <cfRule type="expression" dxfId="186" priority="10">
      <formula>O$10=O$4</formula>
    </cfRule>
  </conditionalFormatting>
  <conditionalFormatting sqref="O52:O53">
    <cfRule type="expression" dxfId="185" priority="4">
      <formula>O$34=O$4</formula>
    </cfRule>
  </conditionalFormatting>
  <dataValidations count="1">
    <dataValidation type="list" allowBlank="1" showInputMessage="1" showErrorMessage="1" sqref="J33:T33" xr:uid="{00000000-0002-0000-0300-000000000000}">
      <formula1>"Actual,Estimate"</formula1>
    </dataValidation>
  </dataValidations>
  <hyperlinks>
    <hyperlink ref="V1" location="'Check|List'!A1" display="Overall Check:" xr:uid="{00000000-0004-0000-0300-000000000000}"/>
    <hyperlink ref="J1" location="Index!A1" display="Back to Index" xr:uid="{00000000-0004-0000-03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'Lookup|Tables'!$H$41:$H$60</xm:f>
          </x14:formula1>
          <xm:sqref>F15 F29 F13 F63:F70</xm:sqref>
        </x14:dataValidation>
        <x14:dataValidation type="list" allowBlank="1" showInputMessage="1" showErrorMessage="1" xr:uid="{00000000-0002-0000-0300-000002000000}">
          <x14:formula1>
            <xm:f>'Lookup|Tables'!$G$10:$G$12</xm:f>
          </x14:formula1>
          <xm:sqref>E13 E29</xm:sqref>
        </x14:dataValidation>
        <x14:dataValidation type="list" allowBlank="1" showInputMessage="1" showErrorMessage="1" xr:uid="{00000000-0002-0000-0300-000003000000}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  <outlinePr summaryBelow="0" summaryRight="0"/>
  </sheetPr>
  <dimension ref="A1:AY110"/>
  <sheetViews>
    <sheetView showGridLines="0" zoomScaleNormal="100" workbookViewId="0"/>
  </sheetViews>
  <sheetFormatPr defaultColWidth="0" defaultRowHeight="11.25" zeroHeight="1" outlineLevelRow="1" x14ac:dyDescent="0.2"/>
  <cols>
    <col min="1" max="2" width="1.5" style="26" customWidth="1"/>
    <col min="3" max="3" width="57.5" style="26" bestFit="1" customWidth="1"/>
    <col min="4" max="4" width="27.6640625" style="27" customWidth="1"/>
    <col min="5" max="5" width="15.83203125" style="27" customWidth="1"/>
    <col min="6" max="6" width="10.6640625" style="27" customWidth="1"/>
    <col min="7" max="9" width="3.33203125" style="27" customWidth="1"/>
    <col min="10" max="10" width="10.83203125" style="27" customWidth="1"/>
    <col min="11" max="24" width="10.83203125" style="26" customWidth="1"/>
    <col min="25" max="16384" width="10.5" style="26" hidden="1"/>
  </cols>
  <sheetData>
    <row r="1" spans="1:51" s="64" customFormat="1" ht="15.75" x14ac:dyDescent="0.25">
      <c r="B1" s="215" t="str">
        <f>Index!$B$1</f>
        <v>AER opex model v1.8</v>
      </c>
      <c r="C1" s="65"/>
      <c r="D1" s="65"/>
      <c r="E1" s="65"/>
      <c r="F1" s="66"/>
      <c r="G1" s="66"/>
      <c r="H1" s="66"/>
      <c r="I1" s="66"/>
      <c r="J1" s="66"/>
      <c r="K1" s="34" t="s">
        <v>2</v>
      </c>
      <c r="M1" s="67" t="s">
        <v>3</v>
      </c>
      <c r="N1" s="68" t="s">
        <v>4</v>
      </c>
      <c r="O1" s="69" t="s">
        <v>5</v>
      </c>
      <c r="P1" s="70" t="s">
        <v>6</v>
      </c>
      <c r="S1" s="67" t="s">
        <v>74</v>
      </c>
      <c r="T1" s="217" t="str">
        <f>IF(COUNTIF(X5:X109,"Check")=0,"Ok","Check")</f>
        <v>Ok</v>
      </c>
      <c r="U1" s="71"/>
      <c r="W1" s="170" t="s">
        <v>24</v>
      </c>
      <c r="X1" s="217" t="str">
        <f ca="1">'Check|List'!$S$1</f>
        <v>Ok</v>
      </c>
    </row>
    <row r="2" spans="1:51" s="72" customFormat="1" ht="13.5" thickBot="1" x14ac:dyDescent="0.25">
      <c r="B2" s="216" t="str">
        <f>+Index!C10</f>
        <v>Input|Rate of change</v>
      </c>
      <c r="C2" s="73"/>
      <c r="D2" s="73"/>
      <c r="E2" s="73"/>
      <c r="F2" s="74"/>
      <c r="G2" s="74"/>
      <c r="H2" s="74"/>
      <c r="I2" s="74"/>
      <c r="J2" s="74"/>
    </row>
    <row r="3" spans="1:51" s="75" customFormat="1" x14ac:dyDescent="0.2">
      <c r="C3" s="76"/>
      <c r="D3" s="165"/>
      <c r="E3" s="165"/>
      <c r="F3" s="165"/>
      <c r="G3" s="165"/>
      <c r="H3" s="165"/>
      <c r="I3" s="165"/>
      <c r="J3" s="147" t="s">
        <v>110</v>
      </c>
      <c r="K3" s="295"/>
      <c r="L3" s="295"/>
      <c r="M3" s="295"/>
      <c r="N3" s="165"/>
      <c r="O3" s="295"/>
      <c r="P3" s="295"/>
      <c r="Q3" s="295"/>
      <c r="R3" s="295"/>
      <c r="S3" s="295"/>
      <c r="T3" s="295"/>
      <c r="U3" s="202"/>
      <c r="V3" s="77"/>
      <c r="W3" s="77"/>
      <c r="X3" s="77"/>
      <c r="Y3" s="77"/>
      <c r="Z3" s="77"/>
      <c r="AA3" s="77"/>
      <c r="AB3" s="77"/>
      <c r="AC3" s="77"/>
      <c r="AD3" s="77"/>
    </row>
    <row r="4" spans="1:51" s="88" customFormat="1" ht="10.5" x14ac:dyDescent="0.15">
      <c r="A4" s="78"/>
      <c r="B4" s="78"/>
      <c r="C4" s="78"/>
      <c r="D4" s="79" t="s">
        <v>7</v>
      </c>
      <c r="E4" s="79" t="s">
        <v>8</v>
      </c>
      <c r="F4" s="80" t="s">
        <v>22</v>
      </c>
      <c r="G4" s="81"/>
      <c r="H4" s="81"/>
      <c r="I4" s="81"/>
      <c r="J4" s="218">
        <f>DATE(PPFirstYear-1,MONTH('Input|General'!$G$9),1)</f>
        <v>43983</v>
      </c>
      <c r="K4" s="218">
        <f>DATE(PPFirstYear,MONTH('Input|General'!$G$9),1)</f>
        <v>44348</v>
      </c>
      <c r="L4" s="218">
        <f>DATE(PPFirstYear+1,MONTH('Input|General'!$G$9),1)</f>
        <v>44713</v>
      </c>
      <c r="M4" s="218">
        <f>DATE(PPFirstYear+2,MONTH('Input|General'!$G$9),1)</f>
        <v>45078</v>
      </c>
      <c r="N4" s="218">
        <f>DATE(PPFirstYear+3,MONTH('Input|General'!$G$9),1)</f>
        <v>45444</v>
      </c>
      <c r="O4" s="218">
        <f>DATE(PPFirstYear+4,MONTH('Input|General'!$G$9),1)</f>
        <v>45809</v>
      </c>
      <c r="P4" s="218">
        <f>DATE(PPFirstYear+5,MONTH('Input|General'!$G$9),1)</f>
        <v>46174</v>
      </c>
      <c r="Q4" s="218">
        <f>DATE(PPFirstYear+6,MONTH('Input|General'!$G$9),1)</f>
        <v>46539</v>
      </c>
      <c r="R4" s="218">
        <f>DATE(PPFirstYear+7,MONTH('Input|General'!$G$9),1)</f>
        <v>46905</v>
      </c>
      <c r="S4" s="218">
        <f>DATE(PPFirstYear+8,MONTH('Input|General'!$G$9),1)</f>
        <v>47270</v>
      </c>
      <c r="T4" s="218">
        <f>DATE(PPFirstYear+9,MONTH('Input|General'!$G$9),1)</f>
        <v>47635</v>
      </c>
      <c r="U4" s="218">
        <f>DATE(PPFirstYear+10,MONTH('Input|General'!$G$9),1)</f>
        <v>48000</v>
      </c>
      <c r="V4" s="82"/>
      <c r="W4" s="82"/>
      <c r="X4" s="83"/>
      <c r="Y4" s="84"/>
      <c r="Z4" s="84"/>
      <c r="AA4" s="84"/>
      <c r="AB4" s="84"/>
      <c r="AC4" s="84"/>
      <c r="AD4" s="84"/>
      <c r="AE4" s="84"/>
      <c r="AF4" s="85"/>
      <c r="AG4" s="86"/>
      <c r="AH4" s="86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</row>
    <row r="5" spans="1:51" s="24" customFormat="1" ht="3.2" customHeight="1" x14ac:dyDescent="0.2">
      <c r="D5" s="25"/>
      <c r="E5" s="25"/>
      <c r="F5" s="25"/>
      <c r="G5" s="25"/>
      <c r="H5" s="25"/>
      <c r="I5" s="25"/>
      <c r="J5" s="25"/>
    </row>
    <row r="6" spans="1:51" s="24" customFormat="1" ht="9" customHeight="1" x14ac:dyDescent="0.2">
      <c r="D6" s="25"/>
      <c r="E6" s="25"/>
      <c r="F6" s="25"/>
      <c r="G6" s="25"/>
      <c r="H6" s="25"/>
      <c r="I6" s="25"/>
      <c r="J6" s="25"/>
    </row>
    <row r="7" spans="1:51" s="24" customFormat="1" ht="3.2" customHeight="1" x14ac:dyDescent="0.2">
      <c r="D7" s="25"/>
      <c r="E7" s="25"/>
      <c r="F7" s="25"/>
      <c r="G7" s="25"/>
      <c r="H7" s="25"/>
      <c r="I7" s="25"/>
      <c r="J7" s="25"/>
    </row>
    <row r="8" spans="1:51" s="98" customFormat="1" ht="12.75" x14ac:dyDescent="0.2">
      <c r="A8" s="89"/>
      <c r="B8" s="90" t="s">
        <v>34</v>
      </c>
      <c r="C8" s="89"/>
      <c r="D8" s="89"/>
      <c r="E8" s="89"/>
      <c r="F8" s="91"/>
      <c r="G8" s="91"/>
      <c r="H8" s="91"/>
      <c r="I8" s="91"/>
      <c r="J8" s="91"/>
      <c r="K8" s="92"/>
      <c r="L8" s="93"/>
      <c r="M8" s="92"/>
      <c r="N8" s="93"/>
      <c r="O8" s="92"/>
      <c r="P8" s="92"/>
      <c r="Q8" s="92"/>
      <c r="R8" s="92"/>
      <c r="S8" s="92"/>
      <c r="T8" s="92"/>
      <c r="U8" s="92"/>
      <c r="V8" s="92"/>
      <c r="W8" s="92"/>
      <c r="X8" s="93"/>
      <c r="Y8" s="94"/>
      <c r="Z8" s="94"/>
      <c r="AA8" s="94"/>
      <c r="AB8" s="94"/>
      <c r="AC8" s="94"/>
      <c r="AD8" s="94"/>
      <c r="AE8" s="94"/>
      <c r="AF8" s="95"/>
      <c r="AG8" s="96"/>
      <c r="AH8" s="96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</row>
    <row r="9" spans="1:51" ht="11.25" customHeight="1" outlineLevel="1" x14ac:dyDescent="0.2"/>
    <row r="10" spans="1:51" ht="11.25" customHeight="1" outlineLevel="1" x14ac:dyDescent="0.2">
      <c r="C10" s="63" t="s">
        <v>32</v>
      </c>
      <c r="J10" s="234">
        <f t="shared" ref="J10:T10" si="0">IF(YEAR(J$4)&lt;=PPLastYear,J$4,"")</f>
        <v>43983</v>
      </c>
      <c r="K10" s="234">
        <f t="shared" si="0"/>
        <v>44348</v>
      </c>
      <c r="L10" s="234">
        <f t="shared" si="0"/>
        <v>44713</v>
      </c>
      <c r="M10" s="234">
        <f t="shared" si="0"/>
        <v>45078</v>
      </c>
      <c r="N10" s="234">
        <f t="shared" si="0"/>
        <v>45444</v>
      </c>
      <c r="O10" s="234">
        <f t="shared" si="0"/>
        <v>45809</v>
      </c>
      <c r="P10" s="234" t="str">
        <f t="shared" si="0"/>
        <v/>
      </c>
      <c r="Q10" s="234" t="str">
        <f t="shared" si="0"/>
        <v/>
      </c>
      <c r="R10" s="234" t="str">
        <f t="shared" si="0"/>
        <v/>
      </c>
      <c r="S10" s="234" t="str">
        <f t="shared" si="0"/>
        <v/>
      </c>
      <c r="T10" s="234" t="str">
        <f t="shared" si="0"/>
        <v/>
      </c>
      <c r="U10" s="151"/>
    </row>
    <row r="11" spans="1:51" ht="11.25" customHeight="1" outlineLevel="1" x14ac:dyDescent="0.2">
      <c r="C11" s="63"/>
      <c r="J11" s="26"/>
      <c r="P11" s="135"/>
      <c r="Q11" s="135"/>
      <c r="R11" s="135"/>
      <c r="S11" s="135"/>
      <c r="T11" s="135"/>
      <c r="U11" s="135"/>
      <c r="V11" s="114"/>
      <c r="W11" s="114"/>
      <c r="X11" s="114"/>
    </row>
    <row r="12" spans="1:51" ht="11.25" customHeight="1" outlineLevel="1" x14ac:dyDescent="0.2">
      <c r="C12" s="105" t="s">
        <v>32</v>
      </c>
      <c r="D12" s="136" t="s">
        <v>90</v>
      </c>
      <c r="E12" s="100" t="str">
        <f>percent</f>
        <v>Per cent</v>
      </c>
      <c r="J12" s="175">
        <f>IF(J10=J4,LOOKUP(EOMONTH(J4,0),'Input|Inflation'!$C$9:$C$84,'Input|Inflation'!$G$9:$G$84),"")</f>
        <v>-3.4843205574912606E-3</v>
      </c>
      <c r="K12" s="175">
        <f>IF(K10=K4,LOOKUP(EOMONTH(K4,0),'Input|Inflation'!$C$9:$C$84,'Input|Inflation'!$G$9:$G$84),"")</f>
        <v>3.8461538461538325E-2</v>
      </c>
      <c r="L12" s="175">
        <f>IF(L10=L4,LOOKUP(EOMONTH(L4,0),'Input|Inflation'!$C$9:$C$84,'Input|Inflation'!$G$9:$G$84),"")</f>
        <v>6.1447811447811418E-2</v>
      </c>
      <c r="M12" s="175">
        <f>IF(M10=M4,LOOKUP(EOMONTH(M4,0),'Input|Inflation'!$C$9:$C$84,'Input|Inflation'!$G$9:$G$84),"")</f>
        <v>6.0269627279936566E-2</v>
      </c>
      <c r="N12" s="175">
        <f>IF(N10=N4,LOOKUP(EOMONTH(N4,0),'Input|Inflation'!$C$9:$C$84,'Input|Inflation'!$G$9:$G$84),"")</f>
        <v>3.3000000000000002E-2</v>
      </c>
      <c r="O12" s="175">
        <f>IF(O10=O4,LOOKUP(EOMONTH(O4,0),'Input|Inflation'!$C$9:$C$84,'Input|Inflation'!$G$9:$G$84),"")</f>
        <v>3.1E-2</v>
      </c>
      <c r="P12" s="175" t="str">
        <f>IF(P10=P4,LOOKUP(EOMONTH(P4,0),'Input|Inflation'!$C$9:$C$84,'Input|Inflation'!$G$9:$G$84),"")</f>
        <v/>
      </c>
      <c r="Q12" s="175" t="str">
        <f>IF(Q10=Q4,LOOKUP(EOMONTH(Q4,0),'Input|Inflation'!$C$9:$C$84,'Input|Inflation'!$G$9:$G$84),"")</f>
        <v/>
      </c>
      <c r="R12" s="175" t="str">
        <f>IF(R10=R4,LOOKUP(EOMONTH(R4,0),'Input|Inflation'!$C$9:$C$84,'Input|Inflation'!$G$9:$G$84),"")</f>
        <v/>
      </c>
      <c r="S12" s="175" t="str">
        <f>IF(S10=S4,LOOKUP(EOMONTH(S4,0),'Input|Inflation'!$C$9:$C$84,'Input|Inflation'!$G$9:$G$84),"")</f>
        <v/>
      </c>
      <c r="T12" s="175" t="str">
        <f>IF(T10=T4,LOOKUP(EOMONTH(T4,0),'Input|Inflation'!$C$9:$C$84,'Input|Inflation'!$G$9:$G$84),"")</f>
        <v/>
      </c>
      <c r="U12" s="135"/>
      <c r="V12" s="137"/>
    </row>
    <row r="13" spans="1:51" ht="11.25" customHeight="1" outlineLevel="1" x14ac:dyDescent="0.2">
      <c r="D13" s="26"/>
      <c r="E13" s="26"/>
      <c r="F13" s="26"/>
      <c r="G13" s="26"/>
      <c r="H13" s="26"/>
      <c r="I13" s="26"/>
      <c r="J13" s="26"/>
    </row>
    <row r="14" spans="1:51" ht="11.25" customHeight="1" outlineLevel="1" x14ac:dyDescent="0.2">
      <c r="C14" s="235" t="s">
        <v>91</v>
      </c>
      <c r="D14" s="100"/>
      <c r="E14" s="100"/>
      <c r="F14" s="100"/>
      <c r="G14" s="100"/>
      <c r="H14" s="100"/>
      <c r="I14" s="180"/>
      <c r="J14" s="234">
        <f t="shared" ref="J14:T14" si="1">IF(YEAR(J$4)&lt;=PPLastYear,J$4,"")</f>
        <v>43983</v>
      </c>
      <c r="K14" s="234">
        <f t="shared" si="1"/>
        <v>44348</v>
      </c>
      <c r="L14" s="234">
        <f t="shared" si="1"/>
        <v>44713</v>
      </c>
      <c r="M14" s="234">
        <f t="shared" si="1"/>
        <v>45078</v>
      </c>
      <c r="N14" s="234">
        <f t="shared" si="1"/>
        <v>45444</v>
      </c>
      <c r="O14" s="234">
        <f t="shared" si="1"/>
        <v>45809</v>
      </c>
      <c r="P14" s="234" t="str">
        <f t="shared" si="1"/>
        <v/>
      </c>
      <c r="Q14" s="234" t="str">
        <f t="shared" si="1"/>
        <v/>
      </c>
      <c r="R14" s="234" t="str">
        <f t="shared" si="1"/>
        <v/>
      </c>
      <c r="S14" s="234" t="str">
        <f t="shared" si="1"/>
        <v/>
      </c>
      <c r="T14" s="234" t="str">
        <f t="shared" si="1"/>
        <v/>
      </c>
      <c r="U14" s="151"/>
    </row>
    <row r="15" spans="1:51" ht="11.25" customHeight="1" outlineLevel="1" x14ac:dyDescent="0.2">
      <c r="C15" s="235"/>
      <c r="D15" s="100"/>
      <c r="E15" s="100"/>
      <c r="F15" s="100"/>
      <c r="G15" s="100"/>
      <c r="H15" s="100"/>
      <c r="I15" s="180"/>
      <c r="J15" s="236"/>
      <c r="K15" s="236"/>
      <c r="L15" s="236"/>
      <c r="M15" s="236"/>
      <c r="N15" s="236"/>
      <c r="O15" s="236"/>
      <c r="P15" s="23"/>
      <c r="Q15" s="23"/>
      <c r="R15" s="23"/>
      <c r="S15" s="23"/>
      <c r="T15" s="23"/>
      <c r="U15" s="23"/>
    </row>
    <row r="16" spans="1:51" ht="11.25" customHeight="1" outlineLevel="1" x14ac:dyDescent="0.2">
      <c r="C16" s="237">
        <f t="array" ref="C16:C22">TRANSPOSE(J10:P10)</f>
        <v>43983</v>
      </c>
      <c r="D16" s="238" t="str">
        <f t="shared" ref="D16:D22" si="2">IF(ISNONTEXT($C16),"calculated","")</f>
        <v>calculated</v>
      </c>
      <c r="E16" s="100" t="str">
        <f>IF(ISNONTEXT($C16),"index","")</f>
        <v>index</v>
      </c>
      <c r="F16" s="100"/>
      <c r="G16" s="100"/>
      <c r="H16" s="100"/>
      <c r="I16" s="100"/>
      <c r="J16" s="20">
        <f t="shared" ref="J16:P22" si="3">IF(AND($C16&gt;J$14,ISNONTEXT($C16)),K16/(1+K$12),IF(AND($C16=J$14,J$14=J$4),1,IF(AND($C16&lt;J$14,J$14=J$4),I16*(1+J$12),0)))</f>
        <v>1</v>
      </c>
      <c r="K16" s="20">
        <f t="shared" si="3"/>
        <v>1.0384615384615383</v>
      </c>
      <c r="L16" s="20">
        <f t="shared" si="3"/>
        <v>1.1022727272727271</v>
      </c>
      <c r="M16" s="20">
        <f t="shared" si="3"/>
        <v>1.1687062937062935</v>
      </c>
      <c r="N16" s="20">
        <f t="shared" si="3"/>
        <v>1.2072736013986012</v>
      </c>
      <c r="O16" s="20">
        <f t="shared" si="3"/>
        <v>1.2446990830419578</v>
      </c>
      <c r="P16" s="20">
        <f t="shared" si="3"/>
        <v>0</v>
      </c>
      <c r="Q16" s="190"/>
      <c r="R16" s="190"/>
      <c r="S16" s="190"/>
      <c r="T16" s="190"/>
      <c r="U16" s="266"/>
    </row>
    <row r="17" spans="3:23" ht="11.25" customHeight="1" outlineLevel="1" x14ac:dyDescent="0.2">
      <c r="C17" s="237">
        <v>44348</v>
      </c>
      <c r="D17" s="238" t="str">
        <f t="shared" si="2"/>
        <v>calculated</v>
      </c>
      <c r="E17" s="100" t="str">
        <f t="shared" ref="E17:E22" si="4">IF(ISNONTEXT($C17),"index","")</f>
        <v>index</v>
      </c>
      <c r="F17" s="100"/>
      <c r="G17" s="100"/>
      <c r="H17" s="100"/>
      <c r="I17" s="20"/>
      <c r="J17" s="20">
        <f t="shared" si="3"/>
        <v>0.96296296296296313</v>
      </c>
      <c r="K17" s="20">
        <f t="shared" si="3"/>
        <v>1</v>
      </c>
      <c r="L17" s="20">
        <f t="shared" si="3"/>
        <v>1.0614478114478114</v>
      </c>
      <c r="M17" s="20">
        <f t="shared" si="3"/>
        <v>1.1254208754208754</v>
      </c>
      <c r="N17" s="20">
        <f t="shared" si="3"/>
        <v>1.1625597643097643</v>
      </c>
      <c r="O17" s="20">
        <f t="shared" si="3"/>
        <v>1.198599117003367</v>
      </c>
      <c r="P17" s="20">
        <f t="shared" si="3"/>
        <v>0</v>
      </c>
      <c r="Q17" s="190"/>
      <c r="R17" s="190"/>
      <c r="S17" s="190"/>
      <c r="T17" s="190"/>
      <c r="U17" s="266"/>
    </row>
    <row r="18" spans="3:23" ht="11.25" customHeight="1" outlineLevel="1" x14ac:dyDescent="0.2">
      <c r="C18" s="237">
        <v>44713</v>
      </c>
      <c r="D18" s="238" t="str">
        <f t="shared" si="2"/>
        <v>calculated</v>
      </c>
      <c r="E18" s="100" t="str">
        <f t="shared" si="4"/>
        <v>index</v>
      </c>
      <c r="F18" s="100"/>
      <c r="G18" s="100"/>
      <c r="H18" s="100"/>
      <c r="I18" s="20"/>
      <c r="J18" s="20">
        <f t="shared" si="3"/>
        <v>0.90721649484536093</v>
      </c>
      <c r="K18" s="20">
        <f t="shared" si="3"/>
        <v>0.94210943695479776</v>
      </c>
      <c r="L18" s="20">
        <f t="shared" si="3"/>
        <v>1</v>
      </c>
      <c r="M18" s="20">
        <f t="shared" si="3"/>
        <v>1.0602696272799366</v>
      </c>
      <c r="N18" s="20">
        <f t="shared" si="3"/>
        <v>1.0952585249801743</v>
      </c>
      <c r="O18" s="20">
        <f t="shared" si="3"/>
        <v>1.1292115392545596</v>
      </c>
      <c r="P18" s="20">
        <f t="shared" si="3"/>
        <v>0</v>
      </c>
      <c r="Q18" s="190"/>
      <c r="R18" s="190"/>
      <c r="S18" s="190"/>
      <c r="T18" s="190"/>
      <c r="U18" s="266"/>
    </row>
    <row r="19" spans="3:23" ht="11.25" customHeight="1" outlineLevel="1" x14ac:dyDescent="0.2">
      <c r="C19" s="237">
        <v>45078</v>
      </c>
      <c r="D19" s="238" t="str">
        <f t="shared" si="2"/>
        <v>calculated</v>
      </c>
      <c r="E19" s="100" t="str">
        <f t="shared" si="4"/>
        <v>index</v>
      </c>
      <c r="F19" s="100"/>
      <c r="G19" s="100"/>
      <c r="H19" s="100"/>
      <c r="I19" s="20"/>
      <c r="J19" s="20">
        <f t="shared" si="3"/>
        <v>0.85564697083021701</v>
      </c>
      <c r="K19" s="20">
        <f t="shared" si="3"/>
        <v>0.88855646970830215</v>
      </c>
      <c r="L19" s="20">
        <f t="shared" si="3"/>
        <v>0.94315632011967088</v>
      </c>
      <c r="M19" s="20">
        <f t="shared" si="3"/>
        <v>1</v>
      </c>
      <c r="N19" s="20">
        <f t="shared" si="3"/>
        <v>1.0329999999999999</v>
      </c>
      <c r="O19" s="20">
        <f t="shared" si="3"/>
        <v>1.0650229999999998</v>
      </c>
      <c r="P19" s="20"/>
      <c r="Q19" s="190"/>
      <c r="R19" s="190"/>
      <c r="S19" s="190"/>
      <c r="T19" s="190"/>
      <c r="U19" s="266"/>
    </row>
    <row r="20" spans="3:23" ht="11.25" customHeight="1" outlineLevel="1" x14ac:dyDescent="0.2">
      <c r="C20" s="237">
        <v>45444</v>
      </c>
      <c r="D20" s="238" t="str">
        <f t="shared" si="2"/>
        <v>calculated</v>
      </c>
      <c r="E20" s="100" t="str">
        <f t="shared" si="4"/>
        <v>index</v>
      </c>
      <c r="F20" s="100"/>
      <c r="G20" s="100"/>
      <c r="H20" s="100"/>
      <c r="I20" s="20"/>
      <c r="J20" s="20">
        <f t="shared" si="3"/>
        <v>0.82831265327223347</v>
      </c>
      <c r="K20" s="20">
        <f t="shared" si="3"/>
        <v>0.86017083224424229</v>
      </c>
      <c r="L20" s="20">
        <f t="shared" si="3"/>
        <v>0.91302644735689353</v>
      </c>
      <c r="M20" s="20">
        <f t="shared" si="3"/>
        <v>0.96805421103581812</v>
      </c>
      <c r="N20" s="20">
        <f t="shared" si="3"/>
        <v>1</v>
      </c>
      <c r="O20" s="20">
        <f t="shared" si="3"/>
        <v>1.0309999999999999</v>
      </c>
      <c r="P20" s="20">
        <f t="shared" si="3"/>
        <v>0</v>
      </c>
      <c r="Q20" s="190"/>
      <c r="R20" s="190"/>
      <c r="S20" s="190"/>
      <c r="T20" s="190"/>
      <c r="U20" s="266"/>
    </row>
    <row r="21" spans="3:23" ht="11.25" customHeight="1" outlineLevel="1" x14ac:dyDescent="0.2">
      <c r="C21" s="237">
        <v>45809</v>
      </c>
      <c r="D21" s="238" t="str">
        <f t="shared" si="2"/>
        <v>calculated</v>
      </c>
      <c r="E21" s="100" t="str">
        <f t="shared" si="4"/>
        <v>index</v>
      </c>
      <c r="F21" s="100"/>
      <c r="G21" s="100"/>
      <c r="H21" s="100"/>
      <c r="I21" s="20"/>
      <c r="J21" s="20">
        <f t="shared" si="3"/>
        <v>0.80340703518160372</v>
      </c>
      <c r="K21" s="20">
        <f t="shared" si="3"/>
        <v>0.83430730576551149</v>
      </c>
      <c r="L21" s="20">
        <f t="shared" si="3"/>
        <v>0.88557366377972224</v>
      </c>
      <c r="M21" s="20">
        <f t="shared" si="3"/>
        <v>0.93894685842465397</v>
      </c>
      <c r="N21" s="20">
        <f t="shared" si="3"/>
        <v>0.96993210475266745</v>
      </c>
      <c r="O21" s="20">
        <f t="shared" si="3"/>
        <v>1</v>
      </c>
      <c r="P21" s="20">
        <f t="shared" si="3"/>
        <v>0</v>
      </c>
      <c r="Q21" s="190"/>
      <c r="R21" s="190"/>
      <c r="S21" s="190"/>
      <c r="T21" s="190"/>
      <c r="U21" s="266"/>
    </row>
    <row r="22" spans="3:23" ht="11.25" customHeight="1" outlineLevel="1" x14ac:dyDescent="0.2">
      <c r="C22" s="237" t="str">
        <v/>
      </c>
      <c r="D22" s="238" t="str">
        <f t="shared" si="2"/>
        <v/>
      </c>
      <c r="E22" s="100" t="str">
        <f t="shared" si="4"/>
        <v/>
      </c>
      <c r="F22" s="100"/>
      <c r="G22" s="100"/>
      <c r="H22" s="100"/>
      <c r="I22" s="20"/>
      <c r="J22" s="20">
        <f t="shared" si="3"/>
        <v>0</v>
      </c>
      <c r="K22" s="20">
        <f t="shared" si="3"/>
        <v>0</v>
      </c>
      <c r="L22" s="20">
        <f t="shared" si="3"/>
        <v>0</v>
      </c>
      <c r="M22" s="20"/>
      <c r="N22" s="20">
        <f t="shared" si="3"/>
        <v>0</v>
      </c>
      <c r="O22" s="20">
        <f>IF(AND($C22&gt;O$14,ISNONTEXT($C22)),P22/(1+P$12),IF(AND($C22=O$14,O$14=O$4),1,IF(AND($C22&lt;O$14,O$14=O$4),N22*(1+O$12),0)))</f>
        <v>0</v>
      </c>
      <c r="P22" s="20">
        <f>IF(AND($C22&gt;P$14,ISNONTEXT($C22)),Q22/(1+Q$12),IF(AND($C22=P$14,P$14=P$4),1,IF(AND($C22&lt;P$14,P$14=P$4),O22*(1+P$12),0)))</f>
        <v>0</v>
      </c>
      <c r="Q22" s="190"/>
      <c r="R22" s="190"/>
      <c r="S22" s="190"/>
      <c r="T22" s="190"/>
      <c r="U22" s="266"/>
    </row>
    <row r="23" spans="3:23" ht="11.25" customHeight="1" outlineLevel="1" x14ac:dyDescent="0.2">
      <c r="C23" s="105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spans="3:23" ht="11.25" customHeight="1" outlineLevel="1" x14ac:dyDescent="0.2">
      <c r="C24" s="63" t="s">
        <v>45</v>
      </c>
      <c r="J24" s="234">
        <f t="shared" ref="J24:T24" si="5">IF(YEAR(J$4)&lt;=PPLastYear,J$4,"")</f>
        <v>43983</v>
      </c>
      <c r="K24" s="234">
        <f t="shared" si="5"/>
        <v>44348</v>
      </c>
      <c r="L24" s="234">
        <f t="shared" si="5"/>
        <v>44713</v>
      </c>
      <c r="M24" s="234">
        <f t="shared" si="5"/>
        <v>45078</v>
      </c>
      <c r="N24" s="234">
        <f t="shared" si="5"/>
        <v>45444</v>
      </c>
      <c r="O24" s="234">
        <f t="shared" si="5"/>
        <v>45809</v>
      </c>
      <c r="P24" s="234" t="str">
        <f t="shared" si="5"/>
        <v/>
      </c>
      <c r="Q24" s="234" t="str">
        <f t="shared" si="5"/>
        <v/>
      </c>
      <c r="R24" s="234" t="str">
        <f t="shared" si="5"/>
        <v/>
      </c>
      <c r="S24" s="234" t="str">
        <f t="shared" si="5"/>
        <v/>
      </c>
      <c r="T24" s="234" t="str">
        <f t="shared" si="5"/>
        <v/>
      </c>
      <c r="U24" s="151"/>
    </row>
    <row r="25" spans="3:23" ht="11.25" customHeight="1" outlineLevel="1" x14ac:dyDescent="0.2">
      <c r="C25" s="105"/>
      <c r="J25" s="26"/>
      <c r="P25" s="134"/>
      <c r="Q25" s="20"/>
      <c r="R25" s="20"/>
      <c r="S25" s="20"/>
      <c r="T25" s="20"/>
      <c r="U25" s="20"/>
    </row>
    <row r="26" spans="3:23" ht="11.25" customHeight="1" outlineLevel="1" x14ac:dyDescent="0.2">
      <c r="C26" s="237">
        <f t="array" ref="C26:C32">TRANSPOSE(J10:P10)</f>
        <v>43983</v>
      </c>
      <c r="D26" s="238" t="str">
        <f t="shared" ref="D26:D32" si="6">IF(ISNONTEXT($C26),"calculated","")</f>
        <v>calculated</v>
      </c>
      <c r="E26" s="100" t="str">
        <f t="shared" ref="E26:E32" si="7">IF(ISNONTEXT($C26),"index","")</f>
        <v>index</v>
      </c>
      <c r="I26" s="20"/>
      <c r="J26" s="20">
        <f>IF(AND(J$24=J$4,ISNONTEXT($C26)),1/J16*(1+J$12)^0.5,0)</f>
        <v>0.99825631951042948</v>
      </c>
      <c r="K26" s="20">
        <f t="shared" ref="K26:T26" si="8">IF(AND(K$24=K$4,ISNONTEXT($C26)),1/K16*(1+K$12)^0.5,0)</f>
        <v>0.98130676292531638</v>
      </c>
      <c r="L26" s="20">
        <f t="shared" si="8"/>
        <v>0.93467421272075479</v>
      </c>
      <c r="M26" s="20">
        <f t="shared" si="8"/>
        <v>0.88105450779258843</v>
      </c>
      <c r="N26" s="20">
        <f t="shared" si="8"/>
        <v>0.84186888092667156</v>
      </c>
      <c r="O26" s="20">
        <f t="shared" si="8"/>
        <v>0.81576480248221828</v>
      </c>
      <c r="P26" s="20">
        <f t="shared" si="8"/>
        <v>0</v>
      </c>
      <c r="Q26" s="20">
        <f t="shared" si="8"/>
        <v>0</v>
      </c>
      <c r="R26" s="20">
        <f t="shared" si="8"/>
        <v>0</v>
      </c>
      <c r="S26" s="20">
        <f t="shared" si="8"/>
        <v>0</v>
      </c>
      <c r="T26" s="20">
        <f t="shared" si="8"/>
        <v>0</v>
      </c>
      <c r="U26" s="20"/>
      <c r="V26" s="138"/>
      <c r="W26" s="138"/>
    </row>
    <row r="27" spans="3:23" ht="11.25" customHeight="1" outlineLevel="1" x14ac:dyDescent="0.2">
      <c r="C27" s="237">
        <v>44348</v>
      </c>
      <c r="D27" s="238" t="str">
        <f t="shared" si="6"/>
        <v>calculated</v>
      </c>
      <c r="E27" s="100" t="str">
        <f t="shared" si="7"/>
        <v>index</v>
      </c>
      <c r="I27" s="20"/>
      <c r="J27" s="20">
        <f t="shared" ref="J27:T27" si="9">IF(AND(J$24=J$4,ISNONTEXT($C27)),1/J17*(1+J$12)^0.5,0)</f>
        <v>1.0366507933377536</v>
      </c>
      <c r="K27" s="20">
        <f t="shared" si="9"/>
        <v>1.019049330730136</v>
      </c>
      <c r="L27" s="20">
        <f t="shared" si="9"/>
        <v>0.970623220902322</v>
      </c>
      <c r="M27" s="20">
        <f t="shared" si="9"/>
        <v>0.9149412196307648</v>
      </c>
      <c r="N27" s="20">
        <f t="shared" si="9"/>
        <v>0.874248453270005</v>
      </c>
      <c r="O27" s="20">
        <f t="shared" si="9"/>
        <v>0.84714037180845725</v>
      </c>
      <c r="P27" s="20">
        <f t="shared" si="9"/>
        <v>0</v>
      </c>
      <c r="Q27" s="20">
        <f t="shared" si="9"/>
        <v>0</v>
      </c>
      <c r="R27" s="20">
        <f t="shared" si="9"/>
        <v>0</v>
      </c>
      <c r="S27" s="20">
        <f t="shared" si="9"/>
        <v>0</v>
      </c>
      <c r="T27" s="20">
        <f t="shared" si="9"/>
        <v>0</v>
      </c>
      <c r="U27" s="20"/>
      <c r="V27" s="138"/>
      <c r="W27" s="138"/>
    </row>
    <row r="28" spans="3:23" ht="11.25" customHeight="1" outlineLevel="1" x14ac:dyDescent="0.2">
      <c r="C28" s="237">
        <v>44713</v>
      </c>
      <c r="D28" s="238" t="str">
        <f t="shared" si="6"/>
        <v>calculated</v>
      </c>
      <c r="E28" s="100" t="str">
        <f t="shared" si="7"/>
        <v>index</v>
      </c>
      <c r="I28" s="20"/>
      <c r="J28" s="20">
        <f t="shared" ref="J28:T28" si="10">IF(AND(J$24=J$4,ISNONTEXT($C28)),1/J18*(1+J$12)^0.5,0)</f>
        <v>1.100350715823996</v>
      </c>
      <c r="K28" s="20">
        <f t="shared" si="10"/>
        <v>1.0816676818608599</v>
      </c>
      <c r="L28" s="20">
        <f t="shared" si="10"/>
        <v>1.0302658935671953</v>
      </c>
      <c r="M28" s="20">
        <f t="shared" si="10"/>
        <v>0.97116235518046667</v>
      </c>
      <c r="N28" s="20">
        <f t="shared" si="10"/>
        <v>0.92796910738508109</v>
      </c>
      <c r="O28" s="20">
        <f t="shared" si="10"/>
        <v>0.89919529364517237</v>
      </c>
      <c r="P28" s="20">
        <f t="shared" si="10"/>
        <v>0</v>
      </c>
      <c r="Q28" s="20">
        <f t="shared" si="10"/>
        <v>0</v>
      </c>
      <c r="R28" s="20">
        <f t="shared" si="10"/>
        <v>0</v>
      </c>
      <c r="S28" s="20">
        <f t="shared" si="10"/>
        <v>0</v>
      </c>
      <c r="T28" s="20">
        <f t="shared" si="10"/>
        <v>0</v>
      </c>
      <c r="U28" s="20"/>
      <c r="V28" s="138"/>
      <c r="W28" s="138"/>
    </row>
    <row r="29" spans="3:23" ht="11.25" customHeight="1" outlineLevel="1" x14ac:dyDescent="0.2">
      <c r="C29" s="237">
        <v>45078</v>
      </c>
      <c r="D29" s="238" t="str">
        <f t="shared" si="6"/>
        <v>calculated</v>
      </c>
      <c r="E29" s="100" t="str">
        <f t="shared" si="7"/>
        <v>index</v>
      </c>
      <c r="I29" s="20"/>
      <c r="J29" s="20">
        <f t="shared" ref="J29:T29" si="11">IF(AND(J$24=J$4,ISNONTEXT($C29)),1/J19*(1+J$12)^0.5,0)</f>
        <v>1.1666684433439196</v>
      </c>
      <c r="K29" s="20">
        <f t="shared" si="11"/>
        <v>1.1468593898873669</v>
      </c>
      <c r="L29" s="20">
        <f t="shared" si="11"/>
        <v>1.0923596349717211</v>
      </c>
      <c r="M29" s="20">
        <f t="shared" si="11"/>
        <v>1.0296939483554988</v>
      </c>
      <c r="N29" s="20">
        <f t="shared" si="11"/>
        <v>0.98389745961447539</v>
      </c>
      <c r="O29" s="20">
        <f t="shared" si="11"/>
        <v>0.95338945884503989</v>
      </c>
      <c r="P29" s="20">
        <f t="shared" si="11"/>
        <v>0</v>
      </c>
      <c r="Q29" s="20">
        <f t="shared" si="11"/>
        <v>0</v>
      </c>
      <c r="R29" s="20">
        <f t="shared" si="11"/>
        <v>0</v>
      </c>
      <c r="S29" s="20">
        <f t="shared" si="11"/>
        <v>0</v>
      </c>
      <c r="T29" s="20">
        <f t="shared" si="11"/>
        <v>0</v>
      </c>
      <c r="U29" s="20"/>
      <c r="V29" s="138"/>
      <c r="W29" s="138"/>
    </row>
    <row r="30" spans="3:23" ht="11.25" customHeight="1" outlineLevel="1" x14ac:dyDescent="0.2">
      <c r="C30" s="237">
        <v>45444</v>
      </c>
      <c r="D30" s="238" t="str">
        <f t="shared" si="6"/>
        <v>calculated</v>
      </c>
      <c r="E30" s="100" t="str">
        <f t="shared" si="7"/>
        <v>index</v>
      </c>
      <c r="I30" s="20"/>
      <c r="J30" s="20">
        <f t="shared" ref="J30:T30" si="12">IF(AND(J$24=J$4,ISNONTEXT($C30)),1/J20*(1+J$12)^0.5,0)</f>
        <v>1.2051685019742686</v>
      </c>
      <c r="K30" s="20">
        <f t="shared" si="12"/>
        <v>1.18470574975365</v>
      </c>
      <c r="L30" s="20">
        <f t="shared" si="12"/>
        <v>1.1284075029257876</v>
      </c>
      <c r="M30" s="20">
        <f t="shared" si="12"/>
        <v>1.06367384865123</v>
      </c>
      <c r="N30" s="20">
        <f t="shared" si="12"/>
        <v>1.016366075781753</v>
      </c>
      <c r="O30" s="20">
        <f t="shared" si="12"/>
        <v>0.98485131098692624</v>
      </c>
      <c r="P30" s="20">
        <f t="shared" si="12"/>
        <v>0</v>
      </c>
      <c r="Q30" s="20">
        <f t="shared" si="12"/>
        <v>0</v>
      </c>
      <c r="R30" s="20">
        <f t="shared" si="12"/>
        <v>0</v>
      </c>
      <c r="S30" s="20">
        <f t="shared" si="12"/>
        <v>0</v>
      </c>
      <c r="T30" s="20">
        <f t="shared" si="12"/>
        <v>0</v>
      </c>
      <c r="U30" s="20"/>
      <c r="V30" s="138"/>
      <c r="W30" s="138"/>
    </row>
    <row r="31" spans="3:23" ht="11.25" customHeight="1" outlineLevel="1" x14ac:dyDescent="0.2">
      <c r="C31" s="237">
        <v>45809</v>
      </c>
      <c r="D31" s="238" t="str">
        <f t="shared" si="6"/>
        <v>calculated</v>
      </c>
      <c r="E31" s="100" t="str">
        <f t="shared" si="7"/>
        <v>index</v>
      </c>
      <c r="I31" s="20"/>
      <c r="J31" s="20">
        <f t="shared" ref="J31:T32" si="13">IF(AND(J$24=J$4,ISNONTEXT($C31)),1/J21*(1+J$12)^0.5,0)</f>
        <v>1.2425287255354711</v>
      </c>
      <c r="K31" s="20">
        <f t="shared" si="13"/>
        <v>1.2214316279960129</v>
      </c>
      <c r="L31" s="20">
        <f t="shared" si="13"/>
        <v>1.163388135516487</v>
      </c>
      <c r="M31" s="20">
        <f t="shared" si="13"/>
        <v>1.0966477379594182</v>
      </c>
      <c r="N31" s="20">
        <f t="shared" si="13"/>
        <v>1.0478734241309873</v>
      </c>
      <c r="O31" s="20">
        <f t="shared" si="13"/>
        <v>1.0153817016275208</v>
      </c>
      <c r="P31" s="20">
        <f t="shared" si="13"/>
        <v>0</v>
      </c>
      <c r="Q31" s="20">
        <f t="shared" si="13"/>
        <v>0</v>
      </c>
      <c r="R31" s="20">
        <f t="shared" si="13"/>
        <v>0</v>
      </c>
      <c r="S31" s="20">
        <f t="shared" si="13"/>
        <v>0</v>
      </c>
      <c r="T31" s="20">
        <f t="shared" si="13"/>
        <v>0</v>
      </c>
      <c r="U31" s="20"/>
      <c r="V31" s="138"/>
      <c r="W31" s="138"/>
    </row>
    <row r="32" spans="3:23" ht="11.25" customHeight="1" outlineLevel="1" x14ac:dyDescent="0.2">
      <c r="C32" s="237" t="str">
        <v/>
      </c>
      <c r="D32" s="238" t="str">
        <f t="shared" si="6"/>
        <v/>
      </c>
      <c r="E32" s="100" t="str">
        <f t="shared" si="7"/>
        <v/>
      </c>
      <c r="I32" s="20"/>
      <c r="J32" s="20">
        <f t="shared" si="13"/>
        <v>0</v>
      </c>
      <c r="K32" s="20">
        <f t="shared" si="13"/>
        <v>0</v>
      </c>
      <c r="L32" s="20">
        <f t="shared" si="13"/>
        <v>0</v>
      </c>
      <c r="M32" s="20"/>
      <c r="N32" s="20"/>
      <c r="O32" s="20">
        <f t="shared" si="13"/>
        <v>0</v>
      </c>
      <c r="P32" s="20">
        <f t="shared" si="13"/>
        <v>0</v>
      </c>
      <c r="Q32" s="20">
        <f t="shared" si="13"/>
        <v>0</v>
      </c>
      <c r="R32" s="20">
        <f t="shared" si="13"/>
        <v>0</v>
      </c>
      <c r="S32" s="20">
        <f t="shared" si="13"/>
        <v>0</v>
      </c>
      <c r="T32" s="20">
        <f t="shared" si="13"/>
        <v>0</v>
      </c>
      <c r="U32" s="20"/>
      <c r="V32" s="138"/>
      <c r="W32" s="138"/>
    </row>
    <row r="33" spans="1:51" ht="10.9" customHeight="1" x14ac:dyDescent="0.2">
      <c r="C33" s="105"/>
      <c r="K33" s="20"/>
      <c r="L33" s="20"/>
      <c r="M33" s="20"/>
      <c r="N33" s="20"/>
      <c r="O33" s="20"/>
      <c r="P33" s="274"/>
      <c r="Q33" s="274"/>
      <c r="R33" s="274"/>
      <c r="S33" s="274"/>
      <c r="T33" s="274"/>
      <c r="U33" s="20"/>
    </row>
    <row r="34" spans="1:51" s="98" customFormat="1" ht="12.75" x14ac:dyDescent="0.2">
      <c r="A34" s="89"/>
      <c r="B34" s="90" t="s">
        <v>69</v>
      </c>
      <c r="C34" s="89"/>
      <c r="D34" s="89"/>
      <c r="E34" s="89"/>
      <c r="F34" s="91"/>
      <c r="G34" s="91"/>
      <c r="H34" s="91"/>
      <c r="I34" s="91"/>
      <c r="J34" s="91"/>
      <c r="K34" s="92"/>
      <c r="L34" s="93"/>
      <c r="M34" s="92"/>
      <c r="N34" s="93"/>
      <c r="O34" s="92"/>
      <c r="P34" s="92"/>
      <c r="Q34" s="92"/>
      <c r="R34" s="92"/>
      <c r="S34" s="92"/>
      <c r="T34" s="92"/>
      <c r="U34" s="92"/>
      <c r="V34" s="92"/>
      <c r="W34" s="92"/>
      <c r="X34" s="93"/>
      <c r="Y34" s="94"/>
      <c r="Z34" s="94"/>
      <c r="AA34" s="94"/>
      <c r="AB34" s="94"/>
      <c r="AC34" s="94"/>
      <c r="AD34" s="94"/>
      <c r="AE34" s="94"/>
      <c r="AF34" s="95"/>
      <c r="AG34" s="96"/>
      <c r="AH34" s="96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</row>
    <row r="35" spans="1:51" ht="11.25" customHeight="1" outlineLevel="1" x14ac:dyDescent="0.2">
      <c r="K35" s="27"/>
      <c r="L35" s="27"/>
      <c r="M35" s="27"/>
      <c r="N35" s="27"/>
      <c r="O35" s="27"/>
      <c r="P35" s="274"/>
      <c r="Q35" s="274"/>
      <c r="R35" s="274"/>
      <c r="S35" s="274"/>
      <c r="T35" s="274"/>
      <c r="U35" s="27"/>
    </row>
    <row r="36" spans="1:51" ht="11.25" customHeight="1" outlineLevel="1" x14ac:dyDescent="0.2">
      <c r="C36" s="63" t="s">
        <v>72</v>
      </c>
      <c r="D36" s="29" t="s">
        <v>7</v>
      </c>
      <c r="E36" s="29" t="s">
        <v>8</v>
      </c>
      <c r="J36" s="220" t="str">
        <f t="shared" ref="J36:U36" si="14">IF(YEAR(J$4)&gt;=FPFirstYear,IF(YEAR(J$4)&lt;=FPLastYear,J$4,""),"")</f>
        <v/>
      </c>
      <c r="K36" s="220" t="str">
        <f t="shared" si="14"/>
        <v/>
      </c>
      <c r="L36" s="220" t="str">
        <f t="shared" si="14"/>
        <v/>
      </c>
      <c r="M36" s="220" t="str">
        <f t="shared" si="14"/>
        <v/>
      </c>
      <c r="N36" s="220" t="str">
        <f t="shared" si="14"/>
        <v/>
      </c>
      <c r="O36" s="220" t="str">
        <f t="shared" si="14"/>
        <v/>
      </c>
      <c r="P36" s="220">
        <f t="shared" si="14"/>
        <v>46174</v>
      </c>
      <c r="Q36" s="220">
        <f t="shared" si="14"/>
        <v>46539</v>
      </c>
      <c r="R36" s="220">
        <f t="shared" si="14"/>
        <v>46905</v>
      </c>
      <c r="S36" s="220">
        <f t="shared" si="14"/>
        <v>47270</v>
      </c>
      <c r="T36" s="220">
        <f t="shared" si="14"/>
        <v>47635</v>
      </c>
      <c r="U36" s="220" t="str">
        <f t="shared" si="14"/>
        <v/>
      </c>
    </row>
    <row r="37" spans="1:51" ht="11.25" customHeight="1" outlineLevel="1" x14ac:dyDescent="0.2">
      <c r="J37" s="10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</row>
    <row r="38" spans="1:51" ht="11.25" customHeight="1" outlineLevel="1" x14ac:dyDescent="0.2">
      <c r="C38" s="58" t="s">
        <v>183</v>
      </c>
      <c r="D38" s="100" t="s">
        <v>179</v>
      </c>
      <c r="E38" s="100" t="str">
        <f t="shared" ref="E38:E45" si="15">percent</f>
        <v>Per cent</v>
      </c>
      <c r="J38" s="186"/>
      <c r="K38" s="143"/>
      <c r="L38" s="143"/>
      <c r="M38" s="143"/>
      <c r="N38" s="143"/>
      <c r="O38" s="143"/>
      <c r="P38" s="251">
        <v>6.5104681588685764E-3</v>
      </c>
      <c r="Q38" s="251">
        <v>8.456533981035852E-3</v>
      </c>
      <c r="R38" s="251">
        <v>9.2627596362757636E-3</v>
      </c>
      <c r="S38" s="251">
        <v>9.4712192533161765E-3</v>
      </c>
      <c r="T38" s="251">
        <v>9.4712192533161765E-3</v>
      </c>
      <c r="U38"/>
    </row>
    <row r="39" spans="1:51" ht="11.25" customHeight="1" outlineLevel="1" x14ac:dyDescent="0.2">
      <c r="C39" s="58" t="s">
        <v>236</v>
      </c>
      <c r="D39" s="27" t="s">
        <v>222</v>
      </c>
      <c r="E39" s="100" t="str">
        <f t="shared" si="15"/>
        <v>Per cent</v>
      </c>
      <c r="J39" s="186"/>
      <c r="K39" s="143"/>
      <c r="L39" s="143"/>
      <c r="M39" s="143"/>
      <c r="N39" s="143"/>
      <c r="O39" s="143"/>
      <c r="P39" s="251">
        <v>1.1698010996330277E-2</v>
      </c>
      <c r="Q39" s="251">
        <v>1.1103534761613765E-2</v>
      </c>
      <c r="R39" s="251">
        <v>8.9783713888744645E-3</v>
      </c>
      <c r="S39" s="251">
        <v>1.1846642027943286E-2</v>
      </c>
      <c r="T39" s="251">
        <v>1.3462514172696735E-2</v>
      </c>
      <c r="U39"/>
    </row>
    <row r="40" spans="1:51" ht="11.25" customHeight="1" outlineLevel="1" x14ac:dyDescent="0.2">
      <c r="C40" s="58" t="s">
        <v>221</v>
      </c>
      <c r="D40" s="100" t="s">
        <v>90</v>
      </c>
      <c r="E40" s="100" t="str">
        <f t="shared" si="15"/>
        <v>Per cent</v>
      </c>
      <c r="J40" s="186"/>
      <c r="K40" s="143"/>
      <c r="L40" s="143"/>
      <c r="M40" s="143"/>
      <c r="N40" s="143"/>
      <c r="O40" s="143"/>
      <c r="P40" s="253">
        <f>+AVERAGE(P38:P39)</f>
        <v>9.1042395775994267E-3</v>
      </c>
      <c r="Q40" s="253">
        <f t="shared" ref="Q40:T40" si="16">+AVERAGE(Q38:Q39)</f>
        <v>9.7800343713248077E-3</v>
      </c>
      <c r="R40" s="253">
        <f t="shared" si="16"/>
        <v>9.1205655125751149E-3</v>
      </c>
      <c r="S40" s="253">
        <f t="shared" si="16"/>
        <v>1.065893064062973E-2</v>
      </c>
      <c r="T40" s="253">
        <f t="shared" si="16"/>
        <v>1.1466866713006455E-2</v>
      </c>
      <c r="U40"/>
    </row>
    <row r="41" spans="1:51" ht="11.25" customHeight="1" outlineLevel="1" x14ac:dyDescent="0.2">
      <c r="C41" s="58" t="s">
        <v>184</v>
      </c>
      <c r="D41" s="27" t="s">
        <v>223</v>
      </c>
      <c r="E41" s="100" t="str">
        <f t="shared" si="15"/>
        <v>Per cent</v>
      </c>
      <c r="J41" s="186"/>
      <c r="K41" s="143"/>
      <c r="L41" s="143"/>
      <c r="M41" s="143"/>
      <c r="N41" s="143"/>
      <c r="O41" s="143"/>
      <c r="P41" s="254">
        <v>5.0000000000000001E-3</v>
      </c>
      <c r="Q41" s="254">
        <v>0</v>
      </c>
      <c r="R41" s="254">
        <v>0</v>
      </c>
      <c r="S41" s="254">
        <v>0</v>
      </c>
      <c r="T41" s="254">
        <v>0</v>
      </c>
      <c r="U41" s="191"/>
      <c r="V41" s="139"/>
    </row>
    <row r="42" spans="1:51" ht="11.25" customHeight="1" outlineLevel="1" x14ac:dyDescent="0.2">
      <c r="C42" s="58" t="s">
        <v>185</v>
      </c>
      <c r="D42" s="27" t="s">
        <v>90</v>
      </c>
      <c r="E42" s="100" t="str">
        <f t="shared" si="15"/>
        <v>Per cent</v>
      </c>
      <c r="J42" s="186"/>
      <c r="K42" s="143"/>
      <c r="L42" s="143"/>
      <c r="M42" s="143"/>
      <c r="N42" s="143"/>
      <c r="O42" s="143"/>
      <c r="P42" s="254">
        <f>P40+P41</f>
        <v>1.4104239577599428E-2</v>
      </c>
      <c r="Q42" s="254">
        <f t="shared" ref="Q42:T42" si="17">Q40+Q41</f>
        <v>9.7800343713248077E-3</v>
      </c>
      <c r="R42" s="254">
        <f t="shared" si="17"/>
        <v>9.1205655125751149E-3</v>
      </c>
      <c r="S42" s="254">
        <f t="shared" si="17"/>
        <v>1.065893064062973E-2</v>
      </c>
      <c r="T42" s="254">
        <f t="shared" si="17"/>
        <v>1.1466866713006455E-2</v>
      </c>
      <c r="U42" s="191"/>
    </row>
    <row r="43" spans="1:51" ht="11.25" customHeight="1" outlineLevel="1" x14ac:dyDescent="0.2">
      <c r="C43" s="58"/>
      <c r="D43" s="27" t="s">
        <v>93</v>
      </c>
      <c r="E43" s="100" t="str">
        <f t="shared" si="15"/>
        <v>Per cent</v>
      </c>
      <c r="J43" s="186"/>
      <c r="K43" s="143"/>
      <c r="L43" s="143"/>
      <c r="M43" s="143"/>
      <c r="N43" s="143"/>
      <c r="O43" s="143"/>
      <c r="P43" s="255"/>
      <c r="Q43" s="252"/>
      <c r="R43" s="252"/>
      <c r="S43" s="252"/>
      <c r="T43" s="256"/>
      <c r="U43" s="191"/>
    </row>
    <row r="44" spans="1:51" ht="11.25" customHeight="1" outlineLevel="1" x14ac:dyDescent="0.2">
      <c r="C44" s="58"/>
      <c r="D44" s="27" t="s">
        <v>93</v>
      </c>
      <c r="E44" s="100" t="str">
        <f t="shared" si="15"/>
        <v>Per cent</v>
      </c>
      <c r="J44" s="186"/>
      <c r="K44" s="143"/>
      <c r="L44" s="143"/>
      <c r="M44" s="143"/>
      <c r="N44" s="143"/>
      <c r="O44" s="143"/>
      <c r="P44" s="255"/>
      <c r="Q44" s="252"/>
      <c r="R44" s="252"/>
      <c r="S44" s="252"/>
      <c r="T44" s="256"/>
      <c r="U44" s="191"/>
    </row>
    <row r="45" spans="1:51" ht="11.25" customHeight="1" outlineLevel="1" x14ac:dyDescent="0.2">
      <c r="C45" s="58" t="s">
        <v>73</v>
      </c>
      <c r="D45" s="27" t="s">
        <v>93</v>
      </c>
      <c r="E45" s="100" t="str">
        <f t="shared" si="15"/>
        <v>Per cent</v>
      </c>
      <c r="J45" s="186"/>
      <c r="K45" s="143"/>
      <c r="L45" s="143"/>
      <c r="M45" s="143"/>
      <c r="N45" s="143"/>
      <c r="O45" s="143"/>
      <c r="P45" s="252">
        <v>0</v>
      </c>
      <c r="Q45" s="252">
        <v>0</v>
      </c>
      <c r="R45" s="252">
        <v>0</v>
      </c>
      <c r="S45" s="252">
        <v>0</v>
      </c>
      <c r="T45" s="252">
        <v>0</v>
      </c>
      <c r="U45" s="191"/>
    </row>
    <row r="46" spans="1:51" ht="11.25" customHeight="1" outlineLevel="1" x14ac:dyDescent="0.2"/>
    <row r="47" spans="1:51" ht="11.25" customHeight="1" outlineLevel="1" x14ac:dyDescent="0.2">
      <c r="C47" s="26" t="s">
        <v>38</v>
      </c>
      <c r="D47" s="27" t="s">
        <v>90</v>
      </c>
      <c r="E47" s="27" t="s">
        <v>27</v>
      </c>
      <c r="F47" s="27" t="s">
        <v>35</v>
      </c>
      <c r="J47" s="248" t="str">
        <f t="shared" ref="J47:S47" si="18">IF(J36=J4,IF(COUNTA($C38:$C45)=COUNT(J38:J45),"Ok","Check"),"")</f>
        <v/>
      </c>
      <c r="K47" s="248" t="str">
        <f t="shared" si="18"/>
        <v/>
      </c>
      <c r="L47" s="248" t="str">
        <f t="shared" si="18"/>
        <v/>
      </c>
      <c r="M47" s="248" t="str">
        <f t="shared" si="18"/>
        <v/>
      </c>
      <c r="N47" s="248" t="str">
        <f t="shared" si="18"/>
        <v/>
      </c>
      <c r="O47" s="248" t="str">
        <f t="shared" si="18"/>
        <v/>
      </c>
      <c r="P47" s="248" t="str">
        <f t="shared" si="18"/>
        <v>Ok</v>
      </c>
      <c r="Q47" s="248" t="str">
        <f t="shared" si="18"/>
        <v>Ok</v>
      </c>
      <c r="R47" s="248" t="str">
        <f t="shared" si="18"/>
        <v>Ok</v>
      </c>
      <c r="S47" s="248" t="str">
        <f t="shared" si="18"/>
        <v>Ok</v>
      </c>
      <c r="T47" s="248" t="str">
        <f>IF(T36=T4,IF(COUNTA($C38:$C45)=COUNT(T38:T45),"Ok","Check"),"")</f>
        <v>Ok</v>
      </c>
      <c r="U47" s="248" t="str">
        <f>IF(U36=U4,IF(COUNTA($C38:$C45)=COUNT(U38:U45),"Ok","Check"),"")</f>
        <v/>
      </c>
      <c r="V47" s="248"/>
      <c r="W47" s="248"/>
      <c r="X47" s="248" t="str">
        <f>IF(COUNTIF(J47:U47,"Check")=0,"Ok","Check")</f>
        <v>Ok</v>
      </c>
    </row>
    <row r="48" spans="1:51" ht="11.25" customHeight="1" outlineLevel="1" x14ac:dyDescent="0.2"/>
    <row r="49" spans="1:51" ht="11.25" customHeight="1" outlineLevel="1" x14ac:dyDescent="0.2">
      <c r="C49" s="63" t="s">
        <v>41</v>
      </c>
      <c r="D49" s="29" t="s">
        <v>7</v>
      </c>
      <c r="E49" s="29" t="s">
        <v>8</v>
      </c>
      <c r="J49" s="220" t="str">
        <f t="shared" ref="J49:U49" si="19">IF(YEAR(J$4)&gt;=FPFirstYear,IF(YEAR(J$4)&lt;=FPLastYear,J$4,""),"")</f>
        <v/>
      </c>
      <c r="K49" s="220" t="str">
        <f t="shared" si="19"/>
        <v/>
      </c>
      <c r="L49" s="220" t="str">
        <f t="shared" si="19"/>
        <v/>
      </c>
      <c r="M49" s="220" t="str">
        <f t="shared" si="19"/>
        <v/>
      </c>
      <c r="N49" s="220" t="str">
        <f t="shared" si="19"/>
        <v/>
      </c>
      <c r="O49" s="220" t="str">
        <f t="shared" si="19"/>
        <v/>
      </c>
      <c r="P49" s="220">
        <f t="shared" si="19"/>
        <v>46174</v>
      </c>
      <c r="Q49" s="220">
        <f t="shared" si="19"/>
        <v>46539</v>
      </c>
      <c r="R49" s="220">
        <f t="shared" si="19"/>
        <v>46905</v>
      </c>
      <c r="S49" s="220">
        <f t="shared" si="19"/>
        <v>47270</v>
      </c>
      <c r="T49" s="220">
        <f t="shared" si="19"/>
        <v>47635</v>
      </c>
      <c r="U49" s="220" t="str">
        <f t="shared" si="19"/>
        <v/>
      </c>
    </row>
    <row r="50" spans="1:51" ht="11.25" customHeight="1" outlineLevel="1" x14ac:dyDescent="0.2"/>
    <row r="51" spans="1:51" ht="11.25" customHeight="1" outlineLevel="1" x14ac:dyDescent="0.2">
      <c r="C51" s="140" t="str">
        <f t="shared" ref="C51:C58" si="20">C38</f>
        <v>WPI - KPMG forecast (placeholder from NSW draft decision)</v>
      </c>
      <c r="D51" s="27" t="s">
        <v>93</v>
      </c>
      <c r="E51" s="100" t="str">
        <f t="shared" ref="E51:E58" si="21">percent</f>
        <v>Per cent</v>
      </c>
      <c r="J51" s="186"/>
      <c r="K51" s="143"/>
      <c r="L51" s="143"/>
      <c r="M51" s="143"/>
      <c r="N51" s="143"/>
      <c r="O51" s="143"/>
      <c r="P51" s="57"/>
      <c r="Q51" s="57"/>
      <c r="R51" s="57"/>
      <c r="S51" s="57"/>
      <c r="T51" s="57"/>
      <c r="U51"/>
    </row>
    <row r="52" spans="1:51" ht="11.25" customHeight="1" outlineLevel="1" x14ac:dyDescent="0.2">
      <c r="C52" s="140" t="str">
        <f t="shared" si="20"/>
        <v>Oxford Economics (EGWWS  WPI - NSW, 08 April 2024)</v>
      </c>
      <c r="D52" s="27" t="s">
        <v>93</v>
      </c>
      <c r="E52" s="100" t="str">
        <f t="shared" si="21"/>
        <v>Per cent</v>
      </c>
      <c r="J52" s="186"/>
      <c r="K52" s="143"/>
      <c r="L52" s="143"/>
      <c r="M52" s="143"/>
      <c r="N52" s="143"/>
      <c r="O52" s="143"/>
      <c r="P52" s="57"/>
      <c r="Q52" s="57"/>
      <c r="R52" s="57"/>
      <c r="S52" s="57"/>
      <c r="T52" s="57"/>
      <c r="U52"/>
    </row>
    <row r="53" spans="1:51" ht="11.25" customHeight="1" outlineLevel="1" x14ac:dyDescent="0.2">
      <c r="C53" s="140" t="str">
        <f t="shared" si="20"/>
        <v>WPI - average of KPMG and Oxford Economics</v>
      </c>
      <c r="D53" s="27" t="s">
        <v>93</v>
      </c>
      <c r="E53" s="100" t="str">
        <f t="shared" si="21"/>
        <v>Per cent</v>
      </c>
      <c r="J53" s="186"/>
      <c r="K53" s="143"/>
      <c r="L53" s="143"/>
      <c r="M53" s="143"/>
      <c r="N53" s="143"/>
      <c r="O53" s="143"/>
      <c r="P53" s="57"/>
      <c r="Q53" s="57"/>
      <c r="R53" s="57"/>
      <c r="S53" s="57"/>
      <c r="T53" s="57"/>
      <c r="U53"/>
    </row>
    <row r="54" spans="1:51" ht="11.25" customHeight="1" outlineLevel="1" x14ac:dyDescent="0.2">
      <c r="C54" s="140" t="str">
        <f t="shared" si="20"/>
        <v>Superannuation guarantee increases</v>
      </c>
      <c r="D54" s="27" t="s">
        <v>93</v>
      </c>
      <c r="E54" s="100" t="str">
        <f t="shared" si="21"/>
        <v>Per cent</v>
      </c>
      <c r="J54" s="186"/>
      <c r="K54" s="143"/>
      <c r="L54" s="143"/>
      <c r="M54" s="143"/>
      <c r="N54" s="143"/>
      <c r="O54" s="143"/>
      <c r="P54" s="143"/>
      <c r="Q54" s="57"/>
      <c r="R54" s="57"/>
      <c r="S54" s="57"/>
      <c r="T54" s="57"/>
      <c r="U54"/>
      <c r="V54" s="139"/>
    </row>
    <row r="55" spans="1:51" ht="11.25" customHeight="1" outlineLevel="1" x14ac:dyDescent="0.2">
      <c r="C55" s="140" t="str">
        <f t="shared" si="20"/>
        <v>WPI - average + super guarantee increases</v>
      </c>
      <c r="D55" s="27" t="s">
        <v>62</v>
      </c>
      <c r="E55" s="100" t="str">
        <f t="shared" si="21"/>
        <v>Per cent</v>
      </c>
      <c r="J55" s="186"/>
      <c r="K55" s="143"/>
      <c r="L55" s="143"/>
      <c r="M55" s="143"/>
      <c r="N55" s="273"/>
      <c r="O55" s="143"/>
      <c r="P55" s="57">
        <v>0.62</v>
      </c>
      <c r="Q55" s="57">
        <v>0.62</v>
      </c>
      <c r="R55" s="57">
        <v>0.62</v>
      </c>
      <c r="S55" s="57">
        <v>0.62</v>
      </c>
      <c r="T55" s="57">
        <v>0.62</v>
      </c>
      <c r="U55"/>
    </row>
    <row r="56" spans="1:51" ht="11.25" customHeight="1" outlineLevel="1" x14ac:dyDescent="0.2">
      <c r="C56" s="140">
        <f t="shared" si="20"/>
        <v>0</v>
      </c>
      <c r="D56" s="27" t="s">
        <v>93</v>
      </c>
      <c r="E56" s="100" t="str">
        <f t="shared" si="21"/>
        <v>Per cent</v>
      </c>
      <c r="J56" s="186"/>
      <c r="K56" s="143"/>
      <c r="L56" s="143"/>
      <c r="M56" s="143"/>
      <c r="N56" s="273"/>
      <c r="O56" s="143"/>
      <c r="P56" s="143"/>
      <c r="Q56" s="143"/>
      <c r="R56" s="143"/>
      <c r="S56" s="143"/>
      <c r="T56" s="143"/>
      <c r="U56"/>
    </row>
    <row r="57" spans="1:51" ht="11.25" customHeight="1" outlineLevel="1" x14ac:dyDescent="0.2">
      <c r="C57" s="140">
        <f t="shared" si="20"/>
        <v>0</v>
      </c>
      <c r="D57" s="27" t="s">
        <v>93</v>
      </c>
      <c r="E57" s="100" t="str">
        <f t="shared" si="21"/>
        <v>Per cent</v>
      </c>
      <c r="J57" s="186"/>
      <c r="K57" s="143"/>
      <c r="L57" s="143"/>
      <c r="M57" s="143"/>
      <c r="N57" s="273"/>
      <c r="O57" s="143"/>
      <c r="P57" s="143"/>
      <c r="Q57" s="143"/>
      <c r="R57" s="143"/>
      <c r="S57" s="143"/>
      <c r="T57" s="143"/>
      <c r="U57"/>
    </row>
    <row r="58" spans="1:51" ht="11.25" customHeight="1" outlineLevel="1" x14ac:dyDescent="0.2">
      <c r="C58" s="140" t="str">
        <f t="shared" si="20"/>
        <v>CPI</v>
      </c>
      <c r="D58" s="27" t="s">
        <v>62</v>
      </c>
      <c r="E58" s="100" t="str">
        <f t="shared" si="21"/>
        <v>Per cent</v>
      </c>
      <c r="J58" s="186"/>
      <c r="K58" s="143"/>
      <c r="L58" s="143"/>
      <c r="M58" s="143"/>
      <c r="N58" s="273"/>
      <c r="O58" s="143"/>
      <c r="P58" s="57">
        <f>1-P55</f>
        <v>0.38</v>
      </c>
      <c r="Q58" s="57">
        <f t="shared" ref="Q58:T58" si="22">1-Q55</f>
        <v>0.38</v>
      </c>
      <c r="R58" s="57">
        <f t="shared" si="22"/>
        <v>0.38</v>
      </c>
      <c r="S58" s="57">
        <f t="shared" si="22"/>
        <v>0.38</v>
      </c>
      <c r="T58" s="57">
        <f t="shared" si="22"/>
        <v>0.38</v>
      </c>
      <c r="U58"/>
    </row>
    <row r="59" spans="1:51" ht="11.25" customHeight="1" outlineLevel="1" x14ac:dyDescent="0.2"/>
    <row r="60" spans="1:51" outlineLevel="1" x14ac:dyDescent="0.2">
      <c r="C60" s="26" t="s">
        <v>38</v>
      </c>
      <c r="D60" s="27" t="s">
        <v>90</v>
      </c>
      <c r="E60" s="27" t="s">
        <v>27</v>
      </c>
      <c r="F60" s="27" t="s">
        <v>35</v>
      </c>
      <c r="J60" s="248" t="str">
        <f t="shared" ref="J60:S60" si="23">IF(J49=J$4,IF(SUM(J51:J58)=1,"Ok","Check"),"")</f>
        <v/>
      </c>
      <c r="K60" s="248" t="str">
        <f t="shared" si="23"/>
        <v/>
      </c>
      <c r="L60" s="248" t="str">
        <f t="shared" si="23"/>
        <v/>
      </c>
      <c r="M60" s="248" t="str">
        <f t="shared" si="23"/>
        <v/>
      </c>
      <c r="N60" s="248" t="str">
        <f t="shared" si="23"/>
        <v/>
      </c>
      <c r="O60" s="248" t="str">
        <f t="shared" si="23"/>
        <v/>
      </c>
      <c r="P60" s="248" t="str">
        <f t="shared" si="23"/>
        <v>Ok</v>
      </c>
      <c r="Q60" s="248" t="str">
        <f t="shared" si="23"/>
        <v>Ok</v>
      </c>
      <c r="R60" s="248" t="str">
        <f t="shared" si="23"/>
        <v>Ok</v>
      </c>
      <c r="S60" s="248" t="str">
        <f t="shared" si="23"/>
        <v>Ok</v>
      </c>
      <c r="T60" s="248" t="str">
        <f>IF(T49=T$4,IF(SUM(T51:T58)=1,"Ok","Check"),"")</f>
        <v>Ok</v>
      </c>
      <c r="U60" s="248" t="str">
        <f>IF(U49=U$4,IF(SUM(U51:U58)=1,"Ok","Check"),"")</f>
        <v/>
      </c>
      <c r="V60" s="22"/>
      <c r="X60" s="247" t="str">
        <f>IF(COUNTIF(J60:U60,"Check")=0,"Ok","Check")</f>
        <v>Ok</v>
      </c>
    </row>
    <row r="61" spans="1:51" x14ac:dyDescent="0.2"/>
    <row r="62" spans="1:51" s="98" customFormat="1" ht="12.75" x14ac:dyDescent="0.2">
      <c r="A62" s="89"/>
      <c r="B62" s="90" t="s">
        <v>76</v>
      </c>
      <c r="C62" s="89"/>
      <c r="D62" s="89"/>
      <c r="E62" s="89"/>
      <c r="F62" s="91"/>
      <c r="G62" s="91"/>
      <c r="H62" s="91"/>
      <c r="I62" s="91"/>
      <c r="J62" s="91"/>
      <c r="K62" s="92"/>
      <c r="L62" s="93"/>
      <c r="M62" s="92"/>
      <c r="N62" s="93"/>
      <c r="O62" s="92"/>
      <c r="P62" s="92"/>
      <c r="Q62" s="92"/>
      <c r="R62" s="92"/>
      <c r="S62" s="92"/>
      <c r="T62" s="92"/>
      <c r="U62" s="92"/>
      <c r="V62" s="92"/>
      <c r="W62" s="92"/>
      <c r="X62" s="93"/>
      <c r="Y62" s="94"/>
      <c r="Z62" s="94"/>
      <c r="AA62" s="94"/>
      <c r="AB62" s="94"/>
      <c r="AC62" s="94"/>
      <c r="AD62" s="94"/>
      <c r="AE62" s="94"/>
      <c r="AF62" s="95"/>
      <c r="AG62" s="96"/>
      <c r="AH62" s="96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</row>
    <row r="63" spans="1:51" outlineLevel="1" x14ac:dyDescent="0.2">
      <c r="G63" s="29"/>
      <c r="H63" s="29"/>
    </row>
    <row r="64" spans="1:51" outlineLevel="1" x14ac:dyDescent="0.2">
      <c r="C64" s="63" t="s">
        <v>77</v>
      </c>
      <c r="D64" s="29" t="s">
        <v>7</v>
      </c>
      <c r="E64" s="29" t="s">
        <v>8</v>
      </c>
      <c r="F64" s="29" t="s">
        <v>22</v>
      </c>
      <c r="G64" s="29"/>
      <c r="H64" s="29"/>
      <c r="J64" s="220" t="str">
        <f t="shared" ref="J64:U64" si="24">IF(YEAR(J$4)&gt;=PPLastYear,IF(YEAR(J$4)&lt;=FPLastYear,J$4,""),"")</f>
        <v/>
      </c>
      <c r="K64" s="220" t="str">
        <f t="shared" si="24"/>
        <v/>
      </c>
      <c r="L64" s="220" t="str">
        <f t="shared" si="24"/>
        <v/>
      </c>
      <c r="M64" s="220" t="str">
        <f t="shared" si="24"/>
        <v/>
      </c>
      <c r="N64" s="220" t="str">
        <f t="shared" si="24"/>
        <v/>
      </c>
      <c r="O64" s="220">
        <f t="shared" si="24"/>
        <v>45809</v>
      </c>
      <c r="P64" s="220">
        <f t="shared" si="24"/>
        <v>46174</v>
      </c>
      <c r="Q64" s="220">
        <f t="shared" si="24"/>
        <v>46539</v>
      </c>
      <c r="R64" s="220">
        <f t="shared" si="24"/>
        <v>46905</v>
      </c>
      <c r="S64" s="220">
        <f t="shared" si="24"/>
        <v>47270</v>
      </c>
      <c r="T64" s="220">
        <f t="shared" si="24"/>
        <v>47635</v>
      </c>
      <c r="U64" s="220" t="str">
        <f t="shared" si="24"/>
        <v/>
      </c>
    </row>
    <row r="65" spans="2:24" outlineLevel="1" x14ac:dyDescent="0.2">
      <c r="C65" s="105"/>
      <c r="G65" s="29"/>
      <c r="H65" s="29"/>
      <c r="K65" s="21"/>
      <c r="L65" s="21"/>
      <c r="M65" s="21"/>
      <c r="N65" s="21"/>
      <c r="O65" s="21"/>
    </row>
    <row r="66" spans="2:24" outlineLevel="1" x14ac:dyDescent="0.2">
      <c r="B66"/>
      <c r="C66" s="58" t="s">
        <v>160</v>
      </c>
      <c r="D66" s="100" t="s">
        <v>181</v>
      </c>
      <c r="E66" s="27" t="s">
        <v>18</v>
      </c>
      <c r="F66" s="27" t="s">
        <v>35</v>
      </c>
      <c r="G66" s="29"/>
      <c r="H66" s="29"/>
      <c r="J66" s="186"/>
      <c r="K66" s="178"/>
      <c r="L66" s="178"/>
      <c r="M66" s="178"/>
      <c r="N66" s="178"/>
      <c r="O66" s="258">
        <v>1579677.1067768061</v>
      </c>
      <c r="P66" s="258">
        <v>1598533.9149937504</v>
      </c>
      <c r="Q66" s="258">
        <v>1613347.5140958235</v>
      </c>
      <c r="R66" s="258">
        <v>1625333.156335528</v>
      </c>
      <c r="S66" s="258">
        <v>1635333.0560305931</v>
      </c>
      <c r="T66" s="258">
        <v>1643361.9782662615</v>
      </c>
      <c r="U66" s="179"/>
    </row>
    <row r="67" spans="2:24" outlineLevel="1" x14ac:dyDescent="0.2">
      <c r="B67"/>
      <c r="C67" s="58" t="s">
        <v>176</v>
      </c>
      <c r="D67" s="100" t="s">
        <v>181</v>
      </c>
      <c r="E67" s="27" t="s">
        <v>18</v>
      </c>
      <c r="F67" s="27" t="s">
        <v>35</v>
      </c>
      <c r="G67" s="29"/>
      <c r="H67" s="29"/>
      <c r="J67" s="186"/>
      <c r="K67" s="178"/>
      <c r="L67" s="178"/>
      <c r="M67" s="178"/>
      <c r="N67" s="178"/>
      <c r="O67" s="258">
        <v>26731.740030576468</v>
      </c>
      <c r="P67" s="258">
        <v>26871.417871541162</v>
      </c>
      <c r="Q67" s="258">
        <v>27018.42967366604</v>
      </c>
      <c r="R67" s="258">
        <v>27167.734027342267</v>
      </c>
      <c r="S67" s="258">
        <v>27313.520508226306</v>
      </c>
      <c r="T67" s="258">
        <v>27423.099077293165</v>
      </c>
      <c r="U67" s="179"/>
    </row>
    <row r="68" spans="2:24" outlineLevel="1" x14ac:dyDescent="0.2">
      <c r="C68" s="58"/>
      <c r="D68" s="27" t="s">
        <v>93</v>
      </c>
      <c r="E68" s="27" t="s">
        <v>18</v>
      </c>
      <c r="F68" s="27" t="s">
        <v>35</v>
      </c>
      <c r="G68" s="29"/>
      <c r="H68" s="29"/>
      <c r="J68" s="186"/>
      <c r="K68" s="178"/>
      <c r="L68" s="178"/>
      <c r="M68" s="178"/>
      <c r="N68" s="178"/>
      <c r="O68" s="257"/>
      <c r="P68" s="257"/>
      <c r="Q68" s="257"/>
      <c r="R68" s="257"/>
      <c r="S68" s="257"/>
      <c r="T68" s="257"/>
      <c r="U68" s="179"/>
    </row>
    <row r="69" spans="2:24" outlineLevel="1" x14ac:dyDescent="0.2">
      <c r="C69" s="58"/>
      <c r="D69" s="27" t="s">
        <v>93</v>
      </c>
      <c r="E69" s="27" t="s">
        <v>18</v>
      </c>
      <c r="F69" s="27" t="s">
        <v>35</v>
      </c>
      <c r="G69" s="29"/>
      <c r="H69" s="29"/>
      <c r="J69" s="186"/>
      <c r="K69" s="178"/>
      <c r="L69" s="178"/>
      <c r="M69" s="178"/>
      <c r="N69" s="178"/>
      <c r="O69" s="257"/>
      <c r="P69" s="257"/>
      <c r="Q69" s="257"/>
      <c r="R69" s="257"/>
      <c r="S69" s="257"/>
      <c r="T69" s="257"/>
      <c r="U69" s="179"/>
    </row>
    <row r="70" spans="2:24" outlineLevel="1" x14ac:dyDescent="0.2">
      <c r="C70" s="58"/>
      <c r="D70" s="27" t="s">
        <v>93</v>
      </c>
      <c r="E70" s="27" t="s">
        <v>18</v>
      </c>
      <c r="F70" s="27" t="s">
        <v>35</v>
      </c>
      <c r="G70" s="29"/>
      <c r="H70" s="29"/>
      <c r="J70" s="186"/>
      <c r="K70" s="178"/>
      <c r="L70" s="178"/>
      <c r="M70" s="178"/>
      <c r="N70" s="178"/>
      <c r="O70" s="257"/>
      <c r="P70" s="257"/>
      <c r="Q70" s="257"/>
      <c r="R70" s="257"/>
      <c r="S70" s="257"/>
      <c r="T70" s="257"/>
      <c r="U70" s="179"/>
    </row>
    <row r="71" spans="2:24" outlineLevel="1" x14ac:dyDescent="0.2">
      <c r="C71" s="58"/>
      <c r="D71" s="27" t="s">
        <v>93</v>
      </c>
      <c r="E71" s="27" t="s">
        <v>18</v>
      </c>
      <c r="F71" s="27" t="s">
        <v>35</v>
      </c>
      <c r="G71" s="29"/>
      <c r="H71" s="29"/>
      <c r="J71" s="186"/>
      <c r="K71" s="178"/>
      <c r="L71" s="178"/>
      <c r="M71" s="178"/>
      <c r="N71" s="178"/>
      <c r="O71" s="257"/>
      <c r="P71" s="257"/>
      <c r="Q71" s="257"/>
      <c r="R71" s="257"/>
      <c r="S71" s="257"/>
      <c r="T71" s="257"/>
      <c r="U71" s="179"/>
    </row>
    <row r="72" spans="2:24" outlineLevel="1" x14ac:dyDescent="0.2">
      <c r="C72" s="105"/>
      <c r="G72" s="29"/>
      <c r="H72" s="29"/>
      <c r="K72" s="21"/>
      <c r="L72" s="21"/>
      <c r="M72" s="21"/>
      <c r="N72" s="21"/>
      <c r="O72" s="21"/>
      <c r="P72" s="206"/>
      <c r="Q72" s="206"/>
      <c r="R72" s="206"/>
      <c r="S72" s="206"/>
      <c r="T72" s="206"/>
    </row>
    <row r="73" spans="2:24" outlineLevel="1" x14ac:dyDescent="0.2">
      <c r="C73" s="26" t="s">
        <v>38</v>
      </c>
      <c r="D73" s="27" t="s">
        <v>90</v>
      </c>
      <c r="E73" s="27" t="s">
        <v>27</v>
      </c>
      <c r="F73" s="27" t="s">
        <v>35</v>
      </c>
      <c r="J73" s="248" t="str">
        <f t="shared" ref="J73:S73" si="25">IF(J64=J$4,IF(COUNTA($C66:$C71)=COUNT(J66:J71),"Ok","Check"),"")</f>
        <v/>
      </c>
      <c r="K73" s="248" t="str">
        <f t="shared" si="25"/>
        <v/>
      </c>
      <c r="L73" s="248" t="str">
        <f t="shared" si="25"/>
        <v/>
      </c>
      <c r="M73" s="248" t="str">
        <f t="shared" si="25"/>
        <v/>
      </c>
      <c r="N73" s="248" t="str">
        <f t="shared" si="25"/>
        <v/>
      </c>
      <c r="O73" s="248" t="str">
        <f t="shared" si="25"/>
        <v>Ok</v>
      </c>
      <c r="P73" s="248" t="str">
        <f t="shared" si="25"/>
        <v>Ok</v>
      </c>
      <c r="Q73" s="248" t="str">
        <f t="shared" si="25"/>
        <v>Ok</v>
      </c>
      <c r="R73" s="248" t="str">
        <f t="shared" si="25"/>
        <v>Ok</v>
      </c>
      <c r="S73" s="248" t="str">
        <f t="shared" si="25"/>
        <v>Ok</v>
      </c>
      <c r="T73" s="248" t="str">
        <f>IF(T64=T$4,IF(COUNTA($C66:$C71)=COUNT(T66:T71),"Ok","Check"),"")</f>
        <v>Ok</v>
      </c>
      <c r="U73" s="248" t="str">
        <f>IF(U64=U$4,IF(COUNTA($C66:$C71)=COUNT(U66:U71),"Ok","Check"),"")</f>
        <v/>
      </c>
      <c r="V73" s="22"/>
      <c r="X73" s="247" t="str">
        <f>IF(COUNTIF(J73:U73,"Check")=0,"Ok","Check")</f>
        <v>Ok</v>
      </c>
    </row>
    <row r="74" spans="2:24" outlineLevel="1" x14ac:dyDescent="0.2">
      <c r="C74" s="105"/>
      <c r="F74" s="100"/>
      <c r="G74" s="29"/>
      <c r="H74" s="29"/>
      <c r="K74" s="21"/>
      <c r="L74" s="21"/>
      <c r="M74" s="21"/>
      <c r="N74" s="21"/>
      <c r="O74" s="21"/>
    </row>
    <row r="75" spans="2:24" outlineLevel="1" x14ac:dyDescent="0.2">
      <c r="C75" s="63" t="s">
        <v>80</v>
      </c>
      <c r="D75" s="29" t="s">
        <v>7</v>
      </c>
      <c r="E75" s="29" t="s">
        <v>8</v>
      </c>
      <c r="F75" s="29" t="s">
        <v>22</v>
      </c>
      <c r="G75" s="29"/>
      <c r="H75" s="29"/>
      <c r="J75" s="220" t="str">
        <f t="shared" ref="J75:U75" si="26">IF(YEAR(J$4)&gt;=FPFirstYear,IF(YEAR(J$4)&lt;=FPLastYear,J$4,""),"")</f>
        <v/>
      </c>
      <c r="K75" s="220" t="str">
        <f t="shared" si="26"/>
        <v/>
      </c>
      <c r="L75" s="220" t="str">
        <f t="shared" si="26"/>
        <v/>
      </c>
      <c r="M75" s="220" t="str">
        <f t="shared" si="26"/>
        <v/>
      </c>
      <c r="N75" s="220" t="str">
        <f t="shared" si="26"/>
        <v/>
      </c>
      <c r="O75" s="220" t="str">
        <f t="shared" si="26"/>
        <v/>
      </c>
      <c r="P75" s="220">
        <f t="shared" si="26"/>
        <v>46174</v>
      </c>
      <c r="Q75" s="220">
        <f t="shared" si="26"/>
        <v>46539</v>
      </c>
      <c r="R75" s="220">
        <f t="shared" si="26"/>
        <v>46905</v>
      </c>
      <c r="S75" s="220">
        <f t="shared" si="26"/>
        <v>47270</v>
      </c>
      <c r="T75" s="220">
        <f t="shared" si="26"/>
        <v>47635</v>
      </c>
      <c r="U75" s="220" t="str">
        <f t="shared" si="26"/>
        <v/>
      </c>
      <c r="V75" s="180" t="str">
        <f>IF(RIGHT(V$4,2)&gt;=RIGHT('Input|General'!$G$13,2),IF(RIGHT(V$4,2)&lt;='Input|General'!$G$14,'Input|Reported opex'!U$4,""),"")</f>
        <v/>
      </c>
    </row>
    <row r="76" spans="2:24" outlineLevel="1" x14ac:dyDescent="0.2">
      <c r="C76" s="105"/>
      <c r="G76" s="29"/>
      <c r="H76" s="29"/>
      <c r="K76" s="21"/>
      <c r="L76" s="21"/>
      <c r="M76" s="21"/>
      <c r="N76" s="21"/>
      <c r="O76" s="21"/>
    </row>
    <row r="77" spans="2:24" outlineLevel="1" x14ac:dyDescent="0.2">
      <c r="C77" s="140" t="str">
        <f t="shared" ref="C77:C82" si="27">C66</f>
        <v>Customer numbers (#)</v>
      </c>
      <c r="D77" s="27" t="s">
        <v>90</v>
      </c>
      <c r="E77" s="27" t="s">
        <v>18</v>
      </c>
      <c r="F77" s="27" t="s">
        <v>35</v>
      </c>
      <c r="G77" s="29"/>
      <c r="H77" s="29"/>
      <c r="J77" s="228" t="str">
        <f>IF(ISBLANK(I66),"",IF(ISBLANK(J66),"",LN(J66)-LN(I66)))</f>
        <v/>
      </c>
      <c r="K77" s="228" t="str">
        <f>IF(ISBLANK(J66),"",IF(ISBLANK(K66),"",LN(K66)-LN(J66)))</f>
        <v/>
      </c>
      <c r="L77" s="228" t="str">
        <f>IF(ISBLANK(K66),"",IF(ISBLANK(L66),"",LN(L66)-LN(K66)))</f>
        <v/>
      </c>
      <c r="M77" s="228" t="str">
        <f>IF(ISBLANK(L66),"",IF(ISBLANK(M66),"",LN(M66)-LN(L66)))</f>
        <v/>
      </c>
      <c r="N77" s="228" t="str">
        <f>IF(ISBLANK(M66),"",IF(ISBLANK(N66),"",LN(N66)-LN(M66)))</f>
        <v/>
      </c>
      <c r="O77" s="228" t="str">
        <f t="shared" ref="O77:U77" si="28">IF(ISBLANK(N66),"",IF(ISBLANK(O66),"",LN(O66)-LN(N66)))</f>
        <v/>
      </c>
      <c r="P77" s="228">
        <f t="shared" si="28"/>
        <v>1.1866442700032565E-2</v>
      </c>
      <c r="Q77" s="228">
        <f t="shared" si="28"/>
        <v>9.2243156961213657E-3</v>
      </c>
      <c r="R77" s="228">
        <f t="shared" si="28"/>
        <v>7.40159230090498E-3</v>
      </c>
      <c r="S77" s="228">
        <f t="shared" si="28"/>
        <v>6.1336735470991499E-3</v>
      </c>
      <c r="T77" s="228">
        <f t="shared" si="28"/>
        <v>4.8976426296185593E-3</v>
      </c>
      <c r="U77" s="228" t="str">
        <f t="shared" si="28"/>
        <v/>
      </c>
    </row>
    <row r="78" spans="2:24" outlineLevel="1" x14ac:dyDescent="0.2">
      <c r="C78" s="140" t="str">
        <f t="shared" si="27"/>
        <v>Main length (km)</v>
      </c>
      <c r="D78" s="27" t="s">
        <v>90</v>
      </c>
      <c r="E78" s="27" t="s">
        <v>18</v>
      </c>
      <c r="F78" s="27" t="s">
        <v>35</v>
      </c>
      <c r="G78" s="29"/>
      <c r="H78" s="29"/>
      <c r="J78" s="228" t="str">
        <f t="shared" ref="J78:U78" si="29">IF(ISBLANK(I67),"",IF(ISBLANK(J67),"",LN(J67)-LN(I67)))</f>
        <v/>
      </c>
      <c r="K78" s="228" t="str">
        <f t="shared" si="29"/>
        <v/>
      </c>
      <c r="L78" s="228" t="str">
        <f t="shared" si="29"/>
        <v/>
      </c>
      <c r="M78" s="228" t="str">
        <f t="shared" si="29"/>
        <v/>
      </c>
      <c r="N78" s="228" t="str">
        <f t="shared" si="29"/>
        <v/>
      </c>
      <c r="O78" s="228" t="str">
        <f t="shared" si="29"/>
        <v/>
      </c>
      <c r="P78" s="228">
        <f t="shared" si="29"/>
        <v>5.2115644888619528E-3</v>
      </c>
      <c r="Q78" s="228">
        <f t="shared" si="29"/>
        <v>5.4560245950288078E-3</v>
      </c>
      <c r="R78" s="228">
        <f t="shared" si="29"/>
        <v>5.51080649856317E-3</v>
      </c>
      <c r="S78" s="228">
        <f t="shared" si="29"/>
        <v>5.3518161464491953E-3</v>
      </c>
      <c r="T78" s="228">
        <f t="shared" si="29"/>
        <v>4.0038539567479603E-3</v>
      </c>
      <c r="U78" s="228" t="str">
        <f t="shared" si="29"/>
        <v/>
      </c>
    </row>
    <row r="79" spans="2:24" outlineLevel="1" x14ac:dyDescent="0.2">
      <c r="C79" s="140">
        <f t="shared" si="27"/>
        <v>0</v>
      </c>
      <c r="D79" s="27" t="s">
        <v>90</v>
      </c>
      <c r="E79" s="27" t="s">
        <v>18</v>
      </c>
      <c r="F79" s="27" t="s">
        <v>35</v>
      </c>
      <c r="G79" s="29"/>
      <c r="H79" s="29"/>
      <c r="J79" s="228" t="str">
        <f t="shared" ref="J79:U79" si="30">IF(ISBLANK(I68),"",IF(ISBLANK(J68),"",LN(J68)-LN(I68)))</f>
        <v/>
      </c>
      <c r="K79" s="228" t="str">
        <f t="shared" si="30"/>
        <v/>
      </c>
      <c r="L79" s="228" t="str">
        <f t="shared" si="30"/>
        <v/>
      </c>
      <c r="M79" s="228" t="str">
        <f t="shared" si="30"/>
        <v/>
      </c>
      <c r="N79" s="228" t="str">
        <f t="shared" si="30"/>
        <v/>
      </c>
      <c r="O79" s="228" t="str">
        <f t="shared" si="30"/>
        <v/>
      </c>
      <c r="P79" s="228" t="str">
        <f t="shared" si="30"/>
        <v/>
      </c>
      <c r="Q79" s="228" t="str">
        <f t="shared" si="30"/>
        <v/>
      </c>
      <c r="R79" s="228" t="str">
        <f t="shared" si="30"/>
        <v/>
      </c>
      <c r="S79" s="228" t="str">
        <f t="shared" si="30"/>
        <v/>
      </c>
      <c r="T79" s="228" t="str">
        <f t="shared" si="30"/>
        <v/>
      </c>
      <c r="U79" s="228" t="str">
        <f t="shared" si="30"/>
        <v/>
      </c>
    </row>
    <row r="80" spans="2:24" outlineLevel="1" x14ac:dyDescent="0.2">
      <c r="C80" s="140">
        <f t="shared" si="27"/>
        <v>0</v>
      </c>
      <c r="D80" s="27" t="s">
        <v>90</v>
      </c>
      <c r="E80" s="27" t="s">
        <v>18</v>
      </c>
      <c r="F80" s="27" t="s">
        <v>35</v>
      </c>
      <c r="G80" s="29"/>
      <c r="H80" s="29"/>
      <c r="J80" s="228" t="str">
        <f t="shared" ref="J80:N82" si="31">IF(ISBLANK(I69),"",IF(ISBLANK(J69),"",LN(J69)-LN(I69)))</f>
        <v/>
      </c>
      <c r="K80" s="228" t="str">
        <f t="shared" si="31"/>
        <v/>
      </c>
      <c r="L80" s="228" t="str">
        <f t="shared" si="31"/>
        <v/>
      </c>
      <c r="M80" s="228" t="str">
        <f t="shared" si="31"/>
        <v/>
      </c>
      <c r="N80" s="228" t="str">
        <f t="shared" si="31"/>
        <v/>
      </c>
      <c r="O80" s="264"/>
      <c r="P80" s="264"/>
      <c r="Q80" s="264"/>
      <c r="R80" s="264"/>
      <c r="S80" s="264"/>
      <c r="T80" s="264"/>
      <c r="U80" s="228"/>
    </row>
    <row r="81" spans="2:24" outlineLevel="1" x14ac:dyDescent="0.2">
      <c r="C81" s="140">
        <f t="shared" si="27"/>
        <v>0</v>
      </c>
      <c r="D81" s="27" t="s">
        <v>90</v>
      </c>
      <c r="E81" s="27" t="s">
        <v>18</v>
      </c>
      <c r="F81" s="27" t="s">
        <v>35</v>
      </c>
      <c r="G81" s="29"/>
      <c r="H81" s="29"/>
      <c r="J81" s="228" t="str">
        <f t="shared" si="31"/>
        <v/>
      </c>
      <c r="K81" s="228" t="str">
        <f t="shared" si="31"/>
        <v/>
      </c>
      <c r="L81" s="228" t="str">
        <f t="shared" si="31"/>
        <v/>
      </c>
      <c r="M81" s="228" t="str">
        <f t="shared" si="31"/>
        <v/>
      </c>
      <c r="N81" s="228" t="str">
        <f t="shared" si="31"/>
        <v/>
      </c>
      <c r="O81" s="264"/>
      <c r="P81" s="264"/>
      <c r="Q81" s="264"/>
      <c r="R81" s="264"/>
      <c r="S81" s="264"/>
      <c r="T81" s="264"/>
      <c r="U81" s="111"/>
    </row>
    <row r="82" spans="2:24" outlineLevel="1" x14ac:dyDescent="0.2">
      <c r="C82" s="140">
        <f t="shared" si="27"/>
        <v>0</v>
      </c>
      <c r="D82" s="27" t="s">
        <v>90</v>
      </c>
      <c r="E82" s="27" t="s">
        <v>18</v>
      </c>
      <c r="F82" s="27" t="s">
        <v>35</v>
      </c>
      <c r="G82" s="29"/>
      <c r="H82" s="29"/>
      <c r="J82" s="228" t="str">
        <f t="shared" si="31"/>
        <v/>
      </c>
      <c r="K82" s="228" t="str">
        <f t="shared" si="31"/>
        <v/>
      </c>
      <c r="L82" s="228" t="str">
        <f t="shared" si="31"/>
        <v/>
      </c>
      <c r="M82" s="228" t="str">
        <f t="shared" si="31"/>
        <v/>
      </c>
      <c r="N82" s="228" t="str">
        <f t="shared" si="31"/>
        <v/>
      </c>
      <c r="O82" s="228"/>
      <c r="P82" s="228"/>
      <c r="Q82" s="228"/>
      <c r="R82" s="228"/>
      <c r="S82" s="228"/>
      <c r="T82" s="228"/>
      <c r="U82" s="111"/>
    </row>
    <row r="83" spans="2:24" outlineLevel="1" x14ac:dyDescent="0.2">
      <c r="C83" s="105"/>
      <c r="F83" s="100"/>
      <c r="G83" s="29"/>
      <c r="H83" s="29"/>
      <c r="K83" s="21"/>
      <c r="L83" s="21"/>
      <c r="M83" s="21"/>
      <c r="N83" s="21"/>
      <c r="O83" s="21"/>
      <c r="P83" s="111"/>
      <c r="Q83" s="111"/>
      <c r="R83" s="111"/>
      <c r="S83" s="111"/>
      <c r="T83" s="111"/>
    </row>
    <row r="84" spans="2:24" outlineLevel="1" x14ac:dyDescent="0.2">
      <c r="C84" s="63" t="s">
        <v>161</v>
      </c>
      <c r="D84" s="29" t="s">
        <v>7</v>
      </c>
      <c r="E84" s="29" t="s">
        <v>8</v>
      </c>
      <c r="F84" s="29" t="s">
        <v>22</v>
      </c>
      <c r="G84" s="29"/>
      <c r="H84" s="120"/>
      <c r="I84" s="104"/>
      <c r="J84" s="193" t="s">
        <v>234</v>
      </c>
      <c r="K84" s="193" t="s">
        <v>235</v>
      </c>
      <c r="L84" s="193"/>
      <c r="M84" s="193"/>
      <c r="N84" s="151"/>
      <c r="O84" s="151"/>
      <c r="P84" s="111"/>
      <c r="Q84" s="111"/>
      <c r="R84" s="111"/>
      <c r="S84" s="111"/>
      <c r="T84" s="111"/>
      <c r="U84" s="151"/>
    </row>
    <row r="85" spans="2:24" outlineLevel="1" x14ac:dyDescent="0.2">
      <c r="C85" s="105"/>
      <c r="F85" s="100"/>
      <c r="G85" s="29"/>
      <c r="H85" s="29"/>
      <c r="K85" s="21"/>
      <c r="L85" s="21"/>
      <c r="M85" s="21"/>
      <c r="N85" s="21"/>
      <c r="O85" s="102"/>
      <c r="P85" s="102"/>
      <c r="Q85" s="102"/>
      <c r="R85" s="102"/>
      <c r="S85" s="102"/>
      <c r="T85" s="102"/>
      <c r="U85" s="102"/>
    </row>
    <row r="86" spans="2:24" outlineLevel="1" x14ac:dyDescent="0.2">
      <c r="B86"/>
      <c r="C86" s="140" t="str">
        <f t="shared" ref="C86:C91" si="32">C66</f>
        <v>Customer numbers (#)</v>
      </c>
      <c r="D86" s="27" t="s">
        <v>224</v>
      </c>
      <c r="E86" s="27" t="s">
        <v>18</v>
      </c>
      <c r="F86" s="27" t="s">
        <v>35</v>
      </c>
      <c r="G86" s="29"/>
      <c r="H86" s="29"/>
      <c r="J86" s="200">
        <v>0.47565227998784743</v>
      </c>
      <c r="K86" s="200">
        <v>0.49491331632719349</v>
      </c>
      <c r="L86" s="200"/>
      <c r="M86" s="200"/>
      <c r="N86" s="176"/>
      <c r="O86" s="176"/>
      <c r="P86" s="176"/>
      <c r="Q86" s="176"/>
      <c r="R86" s="176"/>
      <c r="S86" s="176"/>
      <c r="T86" s="176"/>
      <c r="U86" s="176"/>
    </row>
    <row r="87" spans="2:24" outlineLevel="1" x14ac:dyDescent="0.2">
      <c r="B87"/>
      <c r="C87" s="140" t="str">
        <f t="shared" si="32"/>
        <v>Main length (km)</v>
      </c>
      <c r="D87" s="27" t="s">
        <v>224</v>
      </c>
      <c r="E87" s="27" t="s">
        <v>18</v>
      </c>
      <c r="F87" s="27" t="s">
        <v>35</v>
      </c>
      <c r="G87" s="29"/>
      <c r="H87" s="29"/>
      <c r="J87" s="200">
        <v>0.52434772001215257</v>
      </c>
      <c r="K87" s="200">
        <v>0.50508668367280651</v>
      </c>
      <c r="L87" s="200"/>
      <c r="M87" s="200"/>
      <c r="N87" s="176"/>
      <c r="O87" s="176"/>
      <c r="P87" s="176"/>
      <c r="Q87" s="176"/>
      <c r="R87" s="176"/>
      <c r="S87" s="176"/>
      <c r="T87" s="176"/>
      <c r="U87" s="176"/>
    </row>
    <row r="88" spans="2:24" outlineLevel="1" x14ac:dyDescent="0.2">
      <c r="C88" s="140">
        <f t="shared" si="32"/>
        <v>0</v>
      </c>
      <c r="D88" s="27" t="s">
        <v>93</v>
      </c>
      <c r="E88" s="27" t="s">
        <v>18</v>
      </c>
      <c r="F88" s="27" t="s">
        <v>35</v>
      </c>
      <c r="G88" s="29"/>
      <c r="H88" s="29"/>
      <c r="J88" s="200"/>
      <c r="K88" s="200"/>
      <c r="L88" s="200"/>
      <c r="M88" s="200"/>
      <c r="N88" s="176"/>
      <c r="O88" s="176"/>
      <c r="P88" s="176"/>
      <c r="Q88" s="176"/>
      <c r="R88" s="176"/>
      <c r="S88" s="176"/>
      <c r="T88" s="176"/>
      <c r="U88" s="176"/>
    </row>
    <row r="89" spans="2:24" outlineLevel="1" x14ac:dyDescent="0.2">
      <c r="C89" s="140">
        <f t="shared" si="32"/>
        <v>0</v>
      </c>
      <c r="D89" s="27" t="s">
        <v>93</v>
      </c>
      <c r="E89" s="27" t="s">
        <v>18</v>
      </c>
      <c r="F89" s="27" t="s">
        <v>35</v>
      </c>
      <c r="G89" s="29"/>
      <c r="H89" s="29"/>
      <c r="J89" s="201"/>
      <c r="K89" s="201"/>
      <c r="L89" s="201"/>
      <c r="M89" s="200"/>
      <c r="N89" s="176"/>
      <c r="O89" s="176"/>
      <c r="P89" s="176"/>
      <c r="Q89" s="176"/>
      <c r="R89" s="176"/>
      <c r="S89" s="176"/>
      <c r="T89" s="176"/>
      <c r="U89" s="176"/>
    </row>
    <row r="90" spans="2:24" outlineLevel="1" x14ac:dyDescent="0.2">
      <c r="C90" s="140">
        <f t="shared" si="32"/>
        <v>0</v>
      </c>
      <c r="D90" s="27" t="s">
        <v>93</v>
      </c>
      <c r="E90" s="27" t="s">
        <v>18</v>
      </c>
      <c r="F90" s="27" t="s">
        <v>35</v>
      </c>
      <c r="G90" s="29"/>
      <c r="H90" s="29"/>
      <c r="J90" s="58"/>
      <c r="K90" s="58"/>
      <c r="L90" s="58"/>
      <c r="M90" s="58"/>
      <c r="N90" s="176"/>
      <c r="O90" s="176"/>
      <c r="P90" s="176"/>
      <c r="Q90" s="176"/>
      <c r="R90" s="176"/>
      <c r="S90" s="176"/>
      <c r="T90" s="176"/>
      <c r="U90" s="176"/>
    </row>
    <row r="91" spans="2:24" outlineLevel="1" x14ac:dyDescent="0.2">
      <c r="C91" s="140">
        <f t="shared" si="32"/>
        <v>0</v>
      </c>
      <c r="D91" s="27" t="s">
        <v>93</v>
      </c>
      <c r="E91" s="27" t="s">
        <v>18</v>
      </c>
      <c r="F91" s="27" t="s">
        <v>35</v>
      </c>
      <c r="G91" s="29"/>
      <c r="H91" s="29"/>
      <c r="J91" s="58"/>
      <c r="K91" s="58"/>
      <c r="L91" s="58"/>
      <c r="M91" s="58"/>
      <c r="N91" s="176"/>
      <c r="O91" s="176"/>
      <c r="P91" s="176"/>
      <c r="Q91" s="176"/>
      <c r="R91" s="176"/>
      <c r="S91" s="176"/>
      <c r="T91" s="176"/>
      <c r="U91" s="176"/>
    </row>
    <row r="92" spans="2:24" outlineLevel="1" x14ac:dyDescent="0.2">
      <c r="G92" s="29"/>
      <c r="H92" s="29"/>
    </row>
    <row r="93" spans="2:24" outlineLevel="1" x14ac:dyDescent="0.2">
      <c r="C93" s="26" t="s">
        <v>38</v>
      </c>
      <c r="D93" s="27" t="s">
        <v>90</v>
      </c>
      <c r="E93" s="27" t="s">
        <v>27</v>
      </c>
      <c r="F93" s="27" t="s">
        <v>35</v>
      </c>
      <c r="J93" s="248" t="str">
        <f t="array" ref="J93">IF(ISBLANK(J84),IF(ISBLANK(J86:J91),"Ok","Check"),IF(SUM(J86:J91)=1,"Ok","Check"))</f>
        <v>Ok</v>
      </c>
      <c r="K93" s="248" t="str">
        <f t="array" ref="K93">IF(ISBLANK(K84),IF(ISBLANK(K86:K91),"Ok","Check"),IF(SUM(K86:K91)=1,"Ok","Check"))</f>
        <v>Ok</v>
      </c>
      <c r="L93" s="248" t="str">
        <f t="array" ref="L93">IF(ISBLANK(L84),IF(ISBLANK(L86:L91),"Ok","Check"),IF(SUM(L86:L91)=1,"Ok","Check"))</f>
        <v>Ok</v>
      </c>
      <c r="M93" s="248" t="str">
        <f t="array" ref="M93">IF(ISBLANK(M84),IF(ISBLANK(M86:M91),"Ok","Check"),IF(SUM(M86:M91)=1,"Ok","Check"))</f>
        <v>Ok</v>
      </c>
      <c r="N93" s="248" t="str">
        <f t="array" ref="N93">IF(ISBLANK(N86:N91),"",IF(SUM(N86:N91)=1,"Ok","Check"))</f>
        <v/>
      </c>
      <c r="O93" s="248" t="str">
        <f t="array" ref="O93">IF(ISBLANK(O86:O91),"",IF(SUM(O86:O91)=1,"Ok","Check"))</f>
        <v/>
      </c>
      <c r="P93" s="248" t="str">
        <f t="array" ref="P93">IF(ISBLANK(P86:P91),"",IF(SUM(P86:P91)=1,"Ok","Check"))</f>
        <v/>
      </c>
      <c r="Q93" s="248" t="str">
        <f t="array" ref="Q93">IF(ISBLANK(Q86:Q91),"",IF(SUM(Q86:Q91)=1,"Ok","Check"))</f>
        <v/>
      </c>
      <c r="R93" s="248" t="str">
        <f t="array" ref="R93">IF(ISBLANK(R86:R91),"",IF(SUM(R86:R91)=1,"Ok","Check"))</f>
        <v/>
      </c>
      <c r="S93" s="248" t="str">
        <f t="array" ref="S93">IF(ISBLANK(S86:S91),"",IF(SUM(S86:S91)=1,"Ok","Check"))</f>
        <v/>
      </c>
      <c r="T93" s="248" t="str">
        <f t="array" ref="T93">IF(ISBLANK(T86:T91),"",IF(SUM(T86:T91)=1,"Ok","Check"))</f>
        <v/>
      </c>
      <c r="U93" s="124"/>
      <c r="V93" s="22"/>
      <c r="X93" s="247" t="str">
        <f>IF(COUNTIF(K93:T93,"Check")=0,"Ok","Check")</f>
        <v>Ok</v>
      </c>
    </row>
    <row r="94" spans="2:24" outlineLevel="1" x14ac:dyDescent="0.2"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22"/>
      <c r="X94" s="124"/>
    </row>
    <row r="95" spans="2:24" outlineLevel="1" x14ac:dyDescent="0.2">
      <c r="C95" s="63" t="s">
        <v>162</v>
      </c>
      <c r="D95" s="29" t="s">
        <v>7</v>
      </c>
      <c r="E95" s="29" t="s">
        <v>8</v>
      </c>
      <c r="F95" s="29" t="s">
        <v>22</v>
      </c>
      <c r="J95" s="220" t="str">
        <f t="shared" ref="J95:U95" si="33">IF(YEAR(J$4)&gt;=FPFirstYear,IF(YEAR(J$4)&lt;=FPLastYear,J$4,""),"")</f>
        <v/>
      </c>
      <c r="K95" s="220" t="str">
        <f t="shared" si="33"/>
        <v/>
      </c>
      <c r="L95" s="220" t="str">
        <f t="shared" si="33"/>
        <v/>
      </c>
      <c r="M95" s="220" t="str">
        <f t="shared" si="33"/>
        <v/>
      </c>
      <c r="N95" s="220" t="str">
        <f t="shared" si="33"/>
        <v/>
      </c>
      <c r="O95" s="220" t="str">
        <f t="shared" si="33"/>
        <v/>
      </c>
      <c r="P95" s="220">
        <f t="shared" si="33"/>
        <v>46174</v>
      </c>
      <c r="Q95" s="220">
        <f t="shared" si="33"/>
        <v>46539</v>
      </c>
      <c r="R95" s="220">
        <f t="shared" si="33"/>
        <v>46905</v>
      </c>
      <c r="S95" s="220">
        <f t="shared" si="33"/>
        <v>47270</v>
      </c>
      <c r="T95" s="220">
        <f t="shared" si="33"/>
        <v>47635</v>
      </c>
      <c r="U95" s="220" t="str">
        <f t="shared" si="33"/>
        <v/>
      </c>
      <c r="V95" s="22"/>
      <c r="X95" s="124"/>
    </row>
    <row r="96" spans="2:24" outlineLevel="1" x14ac:dyDescent="0.2"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22"/>
      <c r="X96" s="124"/>
    </row>
    <row r="97" spans="1:51" outlineLevel="1" x14ac:dyDescent="0.2">
      <c r="C97" s="140" t="str">
        <f t="array" ref="C97:C100">TRANSPOSE(J84:M84)</f>
        <v>SFA</v>
      </c>
      <c r="D97" s="27" t="s">
        <v>90</v>
      </c>
      <c r="E97" s="27" t="s">
        <v>18</v>
      </c>
      <c r="F97" s="27" t="s">
        <v>35</v>
      </c>
      <c r="J97" s="228" t="str">
        <f t="shared" ref="J97:S97" si="34">IF(J$95=J$4,SUMPRODUCT(J$77:J$82,$J$86:$J$91),"")</f>
        <v/>
      </c>
      <c r="K97" s="228" t="str">
        <f t="shared" si="34"/>
        <v/>
      </c>
      <c r="L97" s="228" t="str">
        <f t="shared" si="34"/>
        <v/>
      </c>
      <c r="M97" s="228" t="str">
        <f t="shared" si="34"/>
        <v/>
      </c>
      <c r="N97" s="228" t="str">
        <f t="shared" si="34"/>
        <v/>
      </c>
      <c r="O97" s="228" t="str">
        <f t="shared" si="34"/>
        <v/>
      </c>
      <c r="P97" s="228">
        <f t="shared" si="34"/>
        <v>8.3769724830467015E-3</v>
      </c>
      <c r="Q97" s="228">
        <f t="shared" si="34"/>
        <v>7.2484208489213987E-3</v>
      </c>
      <c r="R97" s="228">
        <f t="shared" si="34"/>
        <v>6.4101630764157036E-3</v>
      </c>
      <c r="S97" s="228">
        <f t="shared" si="34"/>
        <v>5.7237084016937183E-3</v>
      </c>
      <c r="T97" s="228">
        <f>IF(T$95=T$4,SUMPRODUCT(T$77:T$82,$J$86:$J$91),"")</f>
        <v>4.428986576826173E-3</v>
      </c>
      <c r="U97" s="228" t="str">
        <f>IF(U$95=U$4,SUMPRODUCT(U$77:U$82,$J$86:$J$91),"")</f>
        <v/>
      </c>
      <c r="V97" s="22"/>
      <c r="X97" s="124"/>
    </row>
    <row r="98" spans="1:51" outlineLevel="1" x14ac:dyDescent="0.2">
      <c r="C98" s="140" t="str">
        <v>GLS</v>
      </c>
      <c r="D98" s="27" t="s">
        <v>90</v>
      </c>
      <c r="E98" s="27" t="s">
        <v>18</v>
      </c>
      <c r="F98" s="27" t="s">
        <v>35</v>
      </c>
      <c r="J98" s="228" t="str">
        <f t="shared" ref="J98:S98" si="35">IF(J$95=J$4,SUMPRODUCT(J$77:J$82,$K$86:$K$91),"")</f>
        <v/>
      </c>
      <c r="K98" s="228" t="str">
        <f t="shared" si="35"/>
        <v/>
      </c>
      <c r="L98" s="228" t="str">
        <f t="shared" si="35"/>
        <v/>
      </c>
      <c r="M98" s="228" t="str">
        <f t="shared" si="35"/>
        <v/>
      </c>
      <c r="N98" s="228" t="str">
        <f t="shared" si="35"/>
        <v/>
      </c>
      <c r="O98" s="228" t="str">
        <f t="shared" si="35"/>
        <v/>
      </c>
      <c r="P98" s="228">
        <f t="shared" si="35"/>
        <v>8.5051523341059809E-3</v>
      </c>
      <c r="Q98" s="228">
        <f t="shared" si="35"/>
        <v>7.3210020407567774E-3</v>
      </c>
      <c r="R98" s="228">
        <f t="shared" si="35"/>
        <v>6.4465815704645288E-3</v>
      </c>
      <c r="S98" s="228">
        <f t="shared" si="35"/>
        <v>5.7387677854998237E-3</v>
      </c>
      <c r="T98" s="228">
        <f>IF(T$95=T$4,SUMPRODUCT(T$77:T$82,$K$86:$K$91),"")</f>
        <v>4.4462018729340292E-3</v>
      </c>
      <c r="U98" s="228" t="str">
        <f>IF(U$95=U$4,SUMPRODUCT(U$77:U$82,$K$86:$K$91),"")</f>
        <v/>
      </c>
      <c r="V98" s="22"/>
      <c r="X98" s="124"/>
    </row>
    <row r="99" spans="1:51" outlineLevel="1" x14ac:dyDescent="0.2">
      <c r="C99" s="140">
        <v>0</v>
      </c>
      <c r="D99" s="27" t="s">
        <v>90</v>
      </c>
      <c r="E99" s="27" t="s">
        <v>18</v>
      </c>
      <c r="F99" s="27" t="s">
        <v>35</v>
      </c>
      <c r="J99" s="228" t="str">
        <f t="shared" ref="J99:S99" si="36">IF(J$95=J$4,SUMPRODUCT(J$77:J$82,$L$86:$L$91),"")</f>
        <v/>
      </c>
      <c r="K99" s="228" t="str">
        <f t="shared" si="36"/>
        <v/>
      </c>
      <c r="L99" s="228" t="str">
        <f t="shared" si="36"/>
        <v/>
      </c>
      <c r="M99" s="228" t="str">
        <f t="shared" si="36"/>
        <v/>
      </c>
      <c r="N99" s="228" t="str">
        <f t="shared" si="36"/>
        <v/>
      </c>
      <c r="O99" s="228" t="str">
        <f t="shared" si="36"/>
        <v/>
      </c>
      <c r="P99" s="228">
        <f t="shared" si="36"/>
        <v>0</v>
      </c>
      <c r="Q99" s="228">
        <f t="shared" si="36"/>
        <v>0</v>
      </c>
      <c r="R99" s="228">
        <f t="shared" si="36"/>
        <v>0</v>
      </c>
      <c r="S99" s="228">
        <f t="shared" si="36"/>
        <v>0</v>
      </c>
      <c r="T99" s="228">
        <f>IF(T$95=T$4,SUMPRODUCT(T$77:T$82,$L$86:$L$91),"")</f>
        <v>0</v>
      </c>
      <c r="U99" s="228" t="str">
        <f>IF(U$95=U$4,SUMPRODUCT(U$77:U$82,$L$86:$L$91),"")</f>
        <v/>
      </c>
      <c r="V99" s="22"/>
      <c r="X99" s="124"/>
    </row>
    <row r="100" spans="1:51" outlineLevel="1" x14ac:dyDescent="0.2">
      <c r="C100" s="140">
        <v>0</v>
      </c>
      <c r="D100" s="27" t="s">
        <v>90</v>
      </c>
      <c r="E100" s="27" t="s">
        <v>18</v>
      </c>
      <c r="F100" s="27" t="s">
        <v>35</v>
      </c>
      <c r="J100" s="228" t="str">
        <f t="shared" ref="J100:S100" si="37">IF(J$95=J$4,SUMPRODUCT(J$77:J$82,$M$86:$M$91),"")</f>
        <v/>
      </c>
      <c r="K100" s="228" t="str">
        <f t="shared" si="37"/>
        <v/>
      </c>
      <c r="L100" s="228" t="str">
        <f t="shared" si="37"/>
        <v/>
      </c>
      <c r="M100" s="228" t="str">
        <f t="shared" si="37"/>
        <v/>
      </c>
      <c r="N100" s="228" t="str">
        <f t="shared" si="37"/>
        <v/>
      </c>
      <c r="O100" s="228" t="str">
        <f t="shared" si="37"/>
        <v/>
      </c>
      <c r="P100" s="228">
        <f t="shared" si="37"/>
        <v>0</v>
      </c>
      <c r="Q100" s="228">
        <f t="shared" si="37"/>
        <v>0</v>
      </c>
      <c r="R100" s="228">
        <f t="shared" si="37"/>
        <v>0</v>
      </c>
      <c r="S100" s="228">
        <f t="shared" si="37"/>
        <v>0</v>
      </c>
      <c r="T100" s="228">
        <f>IF(T$95=T$4,SUMPRODUCT(T$77:T$82,$M$86:$M$91),"")</f>
        <v>0</v>
      </c>
      <c r="U100" s="228" t="str">
        <f>IF(U$95=U$4,SUMPRODUCT(U$77:U$82,$M$86:$M$91),"")</f>
        <v/>
      </c>
      <c r="V100" s="22"/>
      <c r="X100" s="124"/>
    </row>
    <row r="101" spans="1:51" outlineLevel="1" x14ac:dyDescent="0.2">
      <c r="C101" s="105"/>
      <c r="F101" s="100"/>
      <c r="G101" s="29"/>
      <c r="H101" s="29"/>
      <c r="K101" s="21"/>
      <c r="L101" s="21"/>
      <c r="M101" s="21"/>
      <c r="N101" s="21"/>
      <c r="O101" s="21"/>
    </row>
    <row r="102" spans="1:51" s="98" customFormat="1" ht="12.75" x14ac:dyDescent="0.2">
      <c r="A102" s="89"/>
      <c r="B102" s="90" t="s">
        <v>70</v>
      </c>
      <c r="C102" s="89"/>
      <c r="D102" s="89"/>
      <c r="E102" s="89"/>
      <c r="F102" s="91"/>
      <c r="G102" s="91"/>
      <c r="H102" s="91"/>
      <c r="I102" s="91"/>
      <c r="J102" s="91"/>
      <c r="K102" s="92"/>
      <c r="L102" s="93"/>
      <c r="M102" s="92"/>
      <c r="N102" s="93"/>
      <c r="O102" s="92"/>
      <c r="P102" s="92"/>
      <c r="Q102" s="92"/>
      <c r="R102" s="92"/>
      <c r="S102" s="92"/>
      <c r="T102" s="92"/>
      <c r="U102" s="92"/>
      <c r="V102" s="92"/>
      <c r="W102" s="92"/>
      <c r="X102" s="93"/>
      <c r="Y102" s="94"/>
      <c r="Z102" s="94"/>
      <c r="AA102" s="94"/>
      <c r="AB102" s="94"/>
      <c r="AC102" s="94"/>
      <c r="AD102" s="94"/>
      <c r="AE102" s="94"/>
      <c r="AF102" s="95"/>
      <c r="AG102" s="96"/>
      <c r="AH102" s="96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</row>
    <row r="103" spans="1:51" outlineLevel="1" x14ac:dyDescent="0.2">
      <c r="G103" s="29"/>
      <c r="H103" s="29"/>
    </row>
    <row r="104" spans="1:51" outlineLevel="1" x14ac:dyDescent="0.2">
      <c r="C104" s="63" t="s">
        <v>46</v>
      </c>
      <c r="D104" s="29" t="s">
        <v>7</v>
      </c>
      <c r="E104" s="29" t="s">
        <v>8</v>
      </c>
      <c r="F104" s="29" t="s">
        <v>22</v>
      </c>
      <c r="G104" s="29"/>
      <c r="H104" s="29"/>
      <c r="J104" s="220" t="str">
        <f t="shared" ref="J104:U104" si="38">IF(YEAR(J$4)&gt;=FPFirstYear,IF(YEAR(J$4)&lt;=FPLastYear,J$4,""),"")</f>
        <v/>
      </c>
      <c r="K104" s="220" t="str">
        <f t="shared" si="38"/>
        <v/>
      </c>
      <c r="L104" s="220" t="str">
        <f t="shared" si="38"/>
        <v/>
      </c>
      <c r="M104" s="220" t="str">
        <f t="shared" si="38"/>
        <v/>
      </c>
      <c r="N104" s="220" t="str">
        <f t="shared" si="38"/>
        <v/>
      </c>
      <c r="O104" s="220" t="str">
        <f t="shared" si="38"/>
        <v/>
      </c>
      <c r="P104" s="220">
        <f t="shared" si="38"/>
        <v>46174</v>
      </c>
      <c r="Q104" s="220">
        <f t="shared" si="38"/>
        <v>46539</v>
      </c>
      <c r="R104" s="220">
        <f t="shared" si="38"/>
        <v>46905</v>
      </c>
      <c r="S104" s="220">
        <f t="shared" si="38"/>
        <v>47270</v>
      </c>
      <c r="T104" s="220">
        <f t="shared" si="38"/>
        <v>47635</v>
      </c>
      <c r="U104" s="220" t="str">
        <f t="shared" si="38"/>
        <v/>
      </c>
    </row>
    <row r="105" spans="1:51" outlineLevel="1" x14ac:dyDescent="0.2">
      <c r="C105" s="105"/>
      <c r="G105" s="29"/>
      <c r="H105" s="29"/>
      <c r="K105" s="21"/>
      <c r="L105" s="21"/>
      <c r="M105" s="21"/>
      <c r="N105" s="21"/>
      <c r="O105" s="21"/>
    </row>
    <row r="106" spans="1:51" outlineLevel="1" x14ac:dyDescent="0.2">
      <c r="B106"/>
      <c r="C106" s="105" t="s">
        <v>46</v>
      </c>
      <c r="D106" s="100" t="s">
        <v>224</v>
      </c>
      <c r="E106" s="100" t="str">
        <f>percent</f>
        <v>Per cent</v>
      </c>
      <c r="F106" s="27" t="s">
        <v>35</v>
      </c>
      <c r="G106" s="29"/>
      <c r="H106" s="29"/>
      <c r="J106" s="187"/>
      <c r="K106" s="177"/>
      <c r="L106" s="177"/>
      <c r="M106" s="177"/>
      <c r="N106" s="177"/>
      <c r="O106" s="155"/>
      <c r="P106" s="155">
        <v>8.6239999999999997E-3</v>
      </c>
      <c r="Q106" s="155">
        <v>8.6239999999999997E-3</v>
      </c>
      <c r="R106" s="155">
        <v>8.6239999999999997E-3</v>
      </c>
      <c r="S106" s="155">
        <v>8.6239999999999997E-3</v>
      </c>
      <c r="T106" s="155">
        <v>8.6239999999999997E-3</v>
      </c>
      <c r="U106" s="155"/>
    </row>
    <row r="107" spans="1:51" outlineLevel="1" x14ac:dyDescent="0.2">
      <c r="C107" s="105"/>
      <c r="G107" s="29"/>
      <c r="H107" s="29"/>
      <c r="J107" s="154"/>
      <c r="K107" s="21"/>
      <c r="L107" s="21"/>
      <c r="M107" s="21"/>
      <c r="N107" s="21"/>
      <c r="O107" s="21"/>
      <c r="P107" s="175"/>
      <c r="Q107" s="175"/>
      <c r="R107" s="175"/>
      <c r="S107" s="175"/>
      <c r="T107" s="175"/>
      <c r="U107" s="175"/>
    </row>
    <row r="108" spans="1:51" outlineLevel="1" x14ac:dyDescent="0.2">
      <c r="C108" s="26" t="s">
        <v>38</v>
      </c>
      <c r="D108" s="27" t="s">
        <v>90</v>
      </c>
      <c r="E108" s="27" t="s">
        <v>27</v>
      </c>
      <c r="F108" s="27" t="s">
        <v>35</v>
      </c>
      <c r="J108" s="248" t="str">
        <f t="shared" ref="J108:S108" si="39">IF(J104=J$4,IF(ISBLANK(J106),"Check","Ok"),"")</f>
        <v/>
      </c>
      <c r="K108" s="248" t="str">
        <f t="shared" si="39"/>
        <v/>
      </c>
      <c r="L108" s="248" t="str">
        <f t="shared" si="39"/>
        <v/>
      </c>
      <c r="M108" s="248" t="str">
        <f t="shared" si="39"/>
        <v/>
      </c>
      <c r="N108" s="248" t="str">
        <f t="shared" si="39"/>
        <v/>
      </c>
      <c r="O108" s="248" t="str">
        <f t="shared" si="39"/>
        <v/>
      </c>
      <c r="P108" s="248" t="str">
        <f t="shared" si="39"/>
        <v>Ok</v>
      </c>
      <c r="Q108" s="248" t="str">
        <f t="shared" si="39"/>
        <v>Ok</v>
      </c>
      <c r="R108" s="248" t="str">
        <f t="shared" si="39"/>
        <v>Ok</v>
      </c>
      <c r="S108" s="248" t="str">
        <f t="shared" si="39"/>
        <v>Ok</v>
      </c>
      <c r="T108" s="248" t="str">
        <f>IF(T104=T$4,IF(ISBLANK(T106),"Check","Ok"),"")</f>
        <v>Ok</v>
      </c>
      <c r="U108" s="248" t="str">
        <f>IF(U104=U$4,IF(ISBLANK(U106),"Check","Ok"),"")</f>
        <v/>
      </c>
      <c r="V108" s="22"/>
      <c r="X108" s="247" t="str">
        <f>IF(COUNTIF(J108:T108,"Check")=0,"Ok","Check")</f>
        <v>Ok</v>
      </c>
    </row>
    <row r="109" spans="1:51" outlineLevel="1" x14ac:dyDescent="0.2">
      <c r="C109" s="105"/>
      <c r="F109" s="100"/>
      <c r="G109" s="29"/>
      <c r="H109" s="29"/>
      <c r="K109" s="21"/>
      <c r="L109" s="21"/>
      <c r="M109" s="21"/>
      <c r="N109" s="21"/>
      <c r="O109" s="21"/>
    </row>
    <row r="110" spans="1:51" s="98" customFormat="1" ht="12.75" x14ac:dyDescent="0.2">
      <c r="A110" s="89"/>
      <c r="B110" s="90" t="s">
        <v>21</v>
      </c>
      <c r="C110" s="89"/>
      <c r="D110" s="89"/>
      <c r="E110" s="89"/>
      <c r="F110" s="91"/>
      <c r="G110" s="91"/>
      <c r="H110" s="91"/>
      <c r="I110" s="91"/>
      <c r="J110" s="91"/>
      <c r="K110" s="92"/>
      <c r="L110" s="93"/>
      <c r="M110" s="92"/>
      <c r="N110" s="93"/>
      <c r="O110" s="92"/>
      <c r="P110" s="92"/>
      <c r="Q110" s="92"/>
      <c r="R110" s="92"/>
      <c r="S110" s="92"/>
      <c r="T110" s="92"/>
      <c r="U110" s="92"/>
      <c r="V110" s="92"/>
      <c r="W110" s="92"/>
      <c r="X110" s="93"/>
      <c r="Y110" s="94"/>
      <c r="Z110" s="94"/>
      <c r="AA110" s="94"/>
      <c r="AB110" s="94"/>
      <c r="AC110" s="94"/>
      <c r="AD110" s="94"/>
      <c r="AE110" s="94"/>
      <c r="AF110" s="95"/>
      <c r="AG110" s="96"/>
      <c r="AH110" s="96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</row>
  </sheetData>
  <mergeCells count="2">
    <mergeCell ref="K3:M3"/>
    <mergeCell ref="O3:T3"/>
  </mergeCells>
  <conditionalFormatting sqref="X1">
    <cfRule type="cellIs" dxfId="184" priority="114" operator="equal">
      <formula>"Check"</formula>
    </cfRule>
    <cfRule type="cellIs" dxfId="183" priority="115" operator="equal">
      <formula>"Ok"</formula>
    </cfRule>
  </conditionalFormatting>
  <conditionalFormatting sqref="T1:U1">
    <cfRule type="cellIs" dxfId="182" priority="78" operator="equal">
      <formula>"Check"</formula>
    </cfRule>
    <cfRule type="cellIs" dxfId="181" priority="79" operator="equal">
      <formula>"Ok"</formula>
    </cfRule>
  </conditionalFormatting>
  <conditionalFormatting sqref="X60">
    <cfRule type="cellIs" dxfId="180" priority="66" operator="equal">
      <formula>"Check"</formula>
    </cfRule>
    <cfRule type="cellIs" dxfId="179" priority="67" operator="equal">
      <formula>"Ok"</formula>
    </cfRule>
  </conditionalFormatting>
  <conditionalFormatting sqref="J60:U60">
    <cfRule type="cellIs" dxfId="178" priority="58" operator="equal">
      <formula>"Check"</formula>
    </cfRule>
    <cfRule type="cellIs" dxfId="177" priority="59" operator="equal">
      <formula>"Ok"</formula>
    </cfRule>
  </conditionalFormatting>
  <conditionalFormatting sqref="J36:U36">
    <cfRule type="expression" dxfId="176" priority="49">
      <formula>J$36=J$4</formula>
    </cfRule>
  </conditionalFormatting>
  <conditionalFormatting sqref="J41:O42 U41:U42 J43:U45 J38:T40">
    <cfRule type="expression" dxfId="175" priority="47">
      <formula>J$36=J$4</formula>
    </cfRule>
  </conditionalFormatting>
  <conditionalFormatting sqref="J51:T58">
    <cfRule type="expression" dxfId="174" priority="46">
      <formula>J$49=J$4</formula>
    </cfRule>
  </conditionalFormatting>
  <conditionalFormatting sqref="X108">
    <cfRule type="cellIs" dxfId="173" priority="40" operator="equal">
      <formula>"Check"</formula>
    </cfRule>
    <cfRule type="cellIs" dxfId="172" priority="41" operator="equal">
      <formula>"Ok"</formula>
    </cfRule>
  </conditionalFormatting>
  <conditionalFormatting sqref="J108:U108">
    <cfRule type="cellIs" dxfId="171" priority="38" operator="equal">
      <formula>"Check"</formula>
    </cfRule>
    <cfRule type="cellIs" dxfId="170" priority="39" operator="equal">
      <formula>"Ok"</formula>
    </cfRule>
  </conditionalFormatting>
  <conditionalFormatting sqref="J47:O47">
    <cfRule type="cellIs" dxfId="169" priority="34" operator="equal">
      <formula>"Check"</formula>
    </cfRule>
    <cfRule type="cellIs" dxfId="168" priority="35" operator="equal">
      <formula>"Ok"</formula>
    </cfRule>
  </conditionalFormatting>
  <conditionalFormatting sqref="X73">
    <cfRule type="cellIs" dxfId="167" priority="32" operator="equal">
      <formula>"Check"</formula>
    </cfRule>
    <cfRule type="cellIs" dxfId="166" priority="33" operator="equal">
      <formula>"Ok"</formula>
    </cfRule>
  </conditionalFormatting>
  <conditionalFormatting sqref="J73:U73">
    <cfRule type="cellIs" dxfId="165" priority="30" operator="equal">
      <formula>"Check"</formula>
    </cfRule>
    <cfRule type="cellIs" dxfId="164" priority="31" operator="equal">
      <formula>"Ok"</formula>
    </cfRule>
  </conditionalFormatting>
  <conditionalFormatting sqref="J64:U64">
    <cfRule type="expression" dxfId="163" priority="24">
      <formula>J$64=J$4</formula>
    </cfRule>
  </conditionalFormatting>
  <conditionalFormatting sqref="J66:U71">
    <cfRule type="expression" dxfId="162" priority="22">
      <formula>J$64=J$4</formula>
    </cfRule>
  </conditionalFormatting>
  <conditionalFormatting sqref="J49:U49">
    <cfRule type="expression" dxfId="161" priority="19">
      <formula>J$36=J$4</formula>
    </cfRule>
  </conditionalFormatting>
  <conditionalFormatting sqref="J75:U75">
    <cfRule type="expression" dxfId="160" priority="18">
      <formula>J$36=J$4</formula>
    </cfRule>
  </conditionalFormatting>
  <conditionalFormatting sqref="J104:U104">
    <cfRule type="expression" dxfId="159" priority="17">
      <formula>J$36=J$4</formula>
    </cfRule>
  </conditionalFormatting>
  <conditionalFormatting sqref="J26:U32">
    <cfRule type="cellIs" dxfId="158" priority="15" operator="equal">
      <formula>0</formula>
    </cfRule>
  </conditionalFormatting>
  <conditionalFormatting sqref="J16:U22">
    <cfRule type="cellIs" dxfId="157" priority="14" operator="equal">
      <formula>0</formula>
    </cfRule>
  </conditionalFormatting>
  <conditionalFormatting sqref="X93:X100">
    <cfRule type="cellIs" dxfId="156" priority="10" operator="equal">
      <formula>"Check"</formula>
    </cfRule>
    <cfRule type="cellIs" dxfId="155" priority="11" operator="equal">
      <formula>"Ok"</formula>
    </cfRule>
  </conditionalFormatting>
  <conditionalFormatting sqref="K90:M91">
    <cfRule type="expression" dxfId="154" priority="9">
      <formula>K$84=K$4</formula>
    </cfRule>
  </conditionalFormatting>
  <conditionalFormatting sqref="J96:U96 J93:U94">
    <cfRule type="cellIs" dxfId="153" priority="7" operator="equal">
      <formula>"Check"</formula>
    </cfRule>
    <cfRule type="cellIs" dxfId="152" priority="8" operator="equal">
      <formula>"Ok"</formula>
    </cfRule>
  </conditionalFormatting>
  <conditionalFormatting sqref="J95:U95">
    <cfRule type="expression" dxfId="151" priority="6">
      <formula>J$95=J$4</formula>
    </cfRule>
  </conditionalFormatting>
  <conditionalFormatting sqref="J106:U106">
    <cfRule type="expression" dxfId="150" priority="119">
      <formula>J$104=J$4</formula>
    </cfRule>
  </conditionalFormatting>
  <conditionalFormatting sqref="K88:M89 L86:M87">
    <cfRule type="expression" dxfId="149" priority="5">
      <formula>K$84=K$4</formula>
    </cfRule>
  </conditionalFormatting>
  <conditionalFormatting sqref="P41:T41">
    <cfRule type="expression" dxfId="148" priority="4">
      <formula>P$36=P$4</formula>
    </cfRule>
  </conditionalFormatting>
  <conditionalFormatting sqref="P42:T42">
    <cfRule type="expression" dxfId="147" priority="3">
      <formula>P$36=P$4</formula>
    </cfRule>
  </conditionalFormatting>
  <conditionalFormatting sqref="P47:X47">
    <cfRule type="cellIs" dxfId="146" priority="1" operator="equal">
      <formula>"Check"</formula>
    </cfRule>
    <cfRule type="cellIs" dxfId="145" priority="2" operator="equal">
      <formula>"Ok"</formula>
    </cfRule>
  </conditionalFormatting>
  <dataValidations disablePrompts="1" count="2">
    <dataValidation type="list" allowBlank="1" showInputMessage="1" showErrorMessage="1" sqref="F109 F74 F101" xr:uid="{00000000-0002-0000-0400-000000000000}">
      <formula1>#REF!</formula1>
    </dataValidation>
    <dataValidation type="list" allowBlank="1" showInputMessage="1" showErrorMessage="1" sqref="F85 F83" xr:uid="{00000000-0002-0000-0400-000001000000}">
      <formula1>#REF!</formula1>
    </dataValidation>
  </dataValidations>
  <hyperlinks>
    <hyperlink ref="K1" location="Index!A1" display="Back to Index" xr:uid="{00000000-0004-0000-0400-000000000000}"/>
    <hyperlink ref="W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15020-79B7-406C-A9BC-822AB1F11A24}">
  <sheetPr codeName="Sheet4">
    <tabColor rgb="FFFFFF99"/>
    <outlinePr summaryBelow="0" summaryRight="0"/>
  </sheetPr>
  <dimension ref="A1:AU87"/>
  <sheetViews>
    <sheetView showGridLines="0" zoomScaleNormal="100" workbookViewId="0"/>
  </sheetViews>
  <sheetFormatPr defaultColWidth="0" defaultRowHeight="11.25" zeroHeight="1" outlineLevelRow="1" x14ac:dyDescent="0.2"/>
  <cols>
    <col min="1" max="2" width="1.5" style="26" customWidth="1"/>
    <col min="3" max="3" width="48" style="26" bestFit="1" customWidth="1"/>
    <col min="4" max="4" width="27.6640625" style="27" customWidth="1"/>
    <col min="5" max="5" width="15.83203125" style="27" customWidth="1"/>
    <col min="6" max="6" width="10.6640625" style="27" customWidth="1"/>
    <col min="7" max="9" width="3.33203125" style="27" customWidth="1"/>
    <col min="10" max="23" width="10.83203125" style="26" customWidth="1"/>
    <col min="24" max="47" width="10.5" style="26" hidden="1" customWidth="1"/>
    <col min="48" max="16384" width="0" style="26" hidden="1"/>
  </cols>
  <sheetData>
    <row r="1" spans="1:47" s="64" customFormat="1" ht="15.75" x14ac:dyDescent="0.25">
      <c r="B1" s="215" t="str">
        <f>Index!$B$1</f>
        <v>AER opex model v1.8</v>
      </c>
      <c r="C1" s="65"/>
      <c r="D1" s="65"/>
      <c r="E1" s="65"/>
      <c r="F1" s="66"/>
      <c r="G1" s="66"/>
      <c r="H1" s="66"/>
      <c r="I1" s="66"/>
      <c r="J1" s="34" t="s">
        <v>2</v>
      </c>
      <c r="L1" s="67" t="s">
        <v>3</v>
      </c>
      <c r="M1" s="68" t="s">
        <v>4</v>
      </c>
      <c r="N1" s="69" t="s">
        <v>5</v>
      </c>
      <c r="O1" s="239" t="s">
        <v>6</v>
      </c>
      <c r="R1" s="67" t="s">
        <v>74</v>
      </c>
      <c r="S1" s="217" t="str">
        <f>IF(COUNTA($W$8:$W$32)=COUNTIF($W$8:$W$32,"OK"),"OK","Check")</f>
        <v>OK</v>
      </c>
      <c r="U1" s="170" t="s">
        <v>24</v>
      </c>
      <c r="V1" s="217" t="str">
        <f ca="1">'Check|List'!$S$1</f>
        <v>Ok</v>
      </c>
    </row>
    <row r="2" spans="1:47" s="72" customFormat="1" ht="13.5" thickBot="1" x14ac:dyDescent="0.25">
      <c r="B2" s="216" t="str">
        <f>+Index!C11</f>
        <v>Input|UAG</v>
      </c>
      <c r="C2" s="73"/>
      <c r="D2" s="73"/>
      <c r="E2" s="73"/>
      <c r="F2" s="74"/>
      <c r="G2" s="74"/>
      <c r="H2" s="74"/>
      <c r="I2" s="74"/>
    </row>
    <row r="3" spans="1:47" s="75" customFormat="1" x14ac:dyDescent="0.2">
      <c r="C3" s="76"/>
      <c r="D3" s="275"/>
      <c r="E3" s="275"/>
      <c r="F3" s="275"/>
      <c r="G3" s="275"/>
      <c r="H3" s="275"/>
      <c r="I3" s="275"/>
      <c r="J3" s="147" t="s">
        <v>110</v>
      </c>
      <c r="K3" s="158"/>
      <c r="L3" s="158"/>
      <c r="M3" s="275"/>
      <c r="N3" s="295"/>
      <c r="O3" s="295"/>
      <c r="P3" s="295"/>
      <c r="Q3" s="295"/>
      <c r="R3" s="295"/>
      <c r="S3" s="295"/>
      <c r="T3" s="77"/>
      <c r="U3" s="77"/>
      <c r="V3" s="77"/>
      <c r="W3" s="77"/>
      <c r="X3" s="77"/>
      <c r="Y3" s="77"/>
      <c r="Z3" s="77"/>
    </row>
    <row r="4" spans="1:47" s="98" customFormat="1" x14ac:dyDescent="0.2">
      <c r="A4" s="78"/>
      <c r="B4" s="78"/>
      <c r="C4" s="78"/>
      <c r="D4" s="79" t="s">
        <v>7</v>
      </c>
      <c r="E4" s="79" t="s">
        <v>8</v>
      </c>
      <c r="F4" s="80" t="s">
        <v>22</v>
      </c>
      <c r="G4" s="81"/>
      <c r="H4" s="81"/>
      <c r="I4" s="81"/>
      <c r="J4" s="218">
        <f>DATE(PPFirstYear,MONTH('Input|General'!$G$9),1)</f>
        <v>44348</v>
      </c>
      <c r="K4" s="218">
        <f>DATE(PPFirstYear+1,MONTH('Input|General'!$G$9),1)</f>
        <v>44713</v>
      </c>
      <c r="L4" s="218">
        <f>DATE(PPFirstYear+2,MONTH('Input|General'!$G$9),1)</f>
        <v>45078</v>
      </c>
      <c r="M4" s="218">
        <f>DATE(PPFirstYear+3,MONTH('Input|General'!$G$9),1)</f>
        <v>45444</v>
      </c>
      <c r="N4" s="218">
        <f>DATE(PPFirstYear+4,MONTH('Input|General'!$G$9),1)</f>
        <v>45809</v>
      </c>
      <c r="O4" s="218">
        <f>DATE(PPFirstYear+5,MONTH('Input|General'!$G$9),1)</f>
        <v>46174</v>
      </c>
      <c r="P4" s="218">
        <f>DATE(PPFirstYear+6,MONTH('Input|General'!$G$9),1)</f>
        <v>46539</v>
      </c>
      <c r="Q4" s="218">
        <f>DATE(PPFirstYear+7,MONTH('Input|General'!$G$9),1)</f>
        <v>46905</v>
      </c>
      <c r="R4" s="218">
        <f>DATE(PPFirstYear+8,MONTH('Input|General'!$G$9),1)</f>
        <v>47270</v>
      </c>
      <c r="S4" s="218">
        <f>DATE(PPFirstYear+9,MONTH('Input|General'!$G$9),1)</f>
        <v>47635</v>
      </c>
      <c r="T4" s="218">
        <f>DATE(PPFirstYear+10,MONTH('Input|General'!$G$9),1)</f>
        <v>48000</v>
      </c>
      <c r="U4" s="82"/>
      <c r="V4" s="83"/>
      <c r="W4" s="83"/>
    </row>
    <row r="5" spans="1:47" s="24" customFormat="1" ht="3.2" customHeight="1" x14ac:dyDescent="0.2">
      <c r="D5" s="25"/>
      <c r="E5" s="25"/>
      <c r="F5" s="25"/>
      <c r="G5" s="25"/>
      <c r="H5" s="25"/>
      <c r="I5" s="25"/>
    </row>
    <row r="6" spans="1:47" s="24" customFormat="1" ht="9" customHeight="1" x14ac:dyDescent="0.2">
      <c r="D6" s="25"/>
      <c r="E6" s="25"/>
      <c r="F6" s="25"/>
      <c r="G6" s="25"/>
      <c r="H6" s="25"/>
      <c r="I6" s="25"/>
    </row>
    <row r="7" spans="1:47" s="24" customFormat="1" ht="3.2" customHeight="1" x14ac:dyDescent="0.2">
      <c r="D7" s="25"/>
      <c r="E7" s="25"/>
      <c r="F7" s="25"/>
      <c r="G7" s="25"/>
      <c r="H7" s="25"/>
      <c r="I7" s="25"/>
    </row>
    <row r="8" spans="1:47" s="98" customFormat="1" ht="12.75" x14ac:dyDescent="0.2">
      <c r="A8" s="89"/>
      <c r="B8" s="90" t="s">
        <v>205</v>
      </c>
      <c r="C8" s="89"/>
      <c r="D8" s="89"/>
      <c r="E8" s="89"/>
      <c r="F8" s="91"/>
      <c r="G8" s="91"/>
      <c r="H8" s="91"/>
      <c r="I8" s="91"/>
      <c r="J8" s="92"/>
      <c r="K8" s="93"/>
      <c r="L8" s="92"/>
      <c r="M8" s="93"/>
      <c r="N8" s="92"/>
      <c r="O8" s="92"/>
      <c r="P8" s="92"/>
      <c r="Q8" s="92"/>
      <c r="R8" s="92"/>
      <c r="S8" s="92"/>
      <c r="T8" s="92"/>
      <c r="U8" s="92"/>
      <c r="V8" s="93"/>
      <c r="W8" s="93"/>
      <c r="X8" s="94"/>
      <c r="Y8" s="94"/>
      <c r="Z8" s="94"/>
      <c r="AA8" s="94"/>
      <c r="AB8" s="95"/>
      <c r="AC8" s="96"/>
      <c r="AD8" s="96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</row>
    <row r="9" spans="1:47" outlineLevel="1" x14ac:dyDescent="0.2">
      <c r="G9" s="29"/>
      <c r="H9" s="29"/>
    </row>
    <row r="10" spans="1:47" outlineLevel="1" x14ac:dyDescent="0.2">
      <c r="C10" s="63" t="s">
        <v>227</v>
      </c>
      <c r="D10" s="29" t="s">
        <v>7</v>
      </c>
      <c r="E10" s="29" t="s">
        <v>8</v>
      </c>
      <c r="F10" s="29" t="s">
        <v>22</v>
      </c>
      <c r="G10" s="29"/>
      <c r="H10" s="29"/>
      <c r="I10" s="151"/>
      <c r="J10" s="220" t="str">
        <f t="shared" ref="J10:T10" si="0">IF(YEAR(J$4)&gt;=FPFirstYear,IF(YEAR(J$4)&lt;=FPLastYear,J$4,""),"")</f>
        <v/>
      </c>
      <c r="K10" s="220" t="str">
        <f t="shared" si="0"/>
        <v/>
      </c>
      <c r="L10" s="220" t="str">
        <f t="shared" si="0"/>
        <v/>
      </c>
      <c r="M10" s="220" t="str">
        <f t="shared" si="0"/>
        <v/>
      </c>
      <c r="N10" s="220" t="str">
        <f t="shared" si="0"/>
        <v/>
      </c>
      <c r="O10" s="220">
        <f t="shared" si="0"/>
        <v>46174</v>
      </c>
      <c r="P10" s="220">
        <f t="shared" si="0"/>
        <v>46539</v>
      </c>
      <c r="Q10" s="220">
        <f t="shared" si="0"/>
        <v>46905</v>
      </c>
      <c r="R10" s="220">
        <f t="shared" si="0"/>
        <v>47270</v>
      </c>
      <c r="S10" s="220">
        <f t="shared" si="0"/>
        <v>47635</v>
      </c>
      <c r="T10" s="220" t="str">
        <f t="shared" si="0"/>
        <v/>
      </c>
    </row>
    <row r="11" spans="1:47" outlineLevel="1" x14ac:dyDescent="0.2">
      <c r="G11" s="29"/>
      <c r="H11" s="29"/>
    </row>
    <row r="12" spans="1:47" outlineLevel="1" x14ac:dyDescent="0.2">
      <c r="B12"/>
      <c r="C12" s="259" t="s">
        <v>206</v>
      </c>
      <c r="D12" s="27" t="s">
        <v>225</v>
      </c>
      <c r="E12" s="276" t="s">
        <v>207</v>
      </c>
      <c r="F12" s="276" t="s">
        <v>35</v>
      </c>
      <c r="G12" s="29"/>
      <c r="H12" s="29"/>
      <c r="J12" s="272"/>
      <c r="K12" s="268"/>
      <c r="L12" s="268"/>
      <c r="M12" s="143"/>
      <c r="N12" s="143"/>
      <c r="O12" s="277">
        <v>40510.874525677027</v>
      </c>
      <c r="P12" s="277">
        <v>39975.333302492036</v>
      </c>
      <c r="Q12" s="277">
        <v>39103.641711935139</v>
      </c>
      <c r="R12" s="277">
        <v>37957.638649648405</v>
      </c>
      <c r="S12" s="277">
        <v>36312.087793792438</v>
      </c>
      <c r="T12" s="156"/>
      <c r="U12"/>
    </row>
    <row r="13" spans="1:47" outlineLevel="1" x14ac:dyDescent="0.2">
      <c r="B13"/>
      <c r="C13" s="259" t="s">
        <v>210</v>
      </c>
      <c r="D13" s="27" t="s">
        <v>226</v>
      </c>
      <c r="E13" s="284" t="str">
        <f>+percent</f>
        <v>Per cent</v>
      </c>
      <c r="F13" s="276" t="s">
        <v>35</v>
      </c>
      <c r="G13" s="29"/>
      <c r="H13" s="29"/>
      <c r="J13" s="272"/>
      <c r="K13" s="268"/>
      <c r="L13" s="268"/>
      <c r="M13" s="143"/>
      <c r="N13" s="143"/>
      <c r="O13" s="278">
        <v>4.9520000000000002E-2</v>
      </c>
      <c r="P13" s="278">
        <v>4.9520000000000002E-2</v>
      </c>
      <c r="Q13" s="278">
        <v>4.9520000000000002E-2</v>
      </c>
      <c r="R13" s="278">
        <v>4.9520000000000002E-2</v>
      </c>
      <c r="S13" s="278">
        <v>4.9520000000000002E-2</v>
      </c>
      <c r="T13" s="156"/>
      <c r="U13"/>
    </row>
    <row r="14" spans="1:47" outlineLevel="1" x14ac:dyDescent="0.2">
      <c r="B14"/>
      <c r="C14" s="259" t="s">
        <v>211</v>
      </c>
      <c r="D14" s="27" t="s">
        <v>220</v>
      </c>
      <c r="E14" s="276" t="s">
        <v>208</v>
      </c>
      <c r="F14" s="157">
        <v>45078</v>
      </c>
      <c r="G14" s="29"/>
      <c r="H14" s="29"/>
      <c r="J14" s="272"/>
      <c r="K14" s="268"/>
      <c r="L14" s="268"/>
      <c r="M14" s="143"/>
      <c r="N14" s="143"/>
      <c r="O14" s="283">
        <v>12.090165853087321</v>
      </c>
      <c r="P14" s="283">
        <v>10.958834086681939</v>
      </c>
      <c r="Q14" s="283">
        <v>9.6338819391185027</v>
      </c>
      <c r="R14" s="283">
        <v>9.0335556897255884</v>
      </c>
      <c r="S14" s="283">
        <v>8.9166592985698543</v>
      </c>
      <c r="T14" s="156"/>
      <c r="U14"/>
    </row>
    <row r="15" spans="1:47" customFormat="1" outlineLevel="1" x14ac:dyDescent="0.2"/>
    <row r="16" spans="1:47" customFormat="1" outlineLevel="1" x14ac:dyDescent="0.2">
      <c r="C16" s="279" t="s">
        <v>229</v>
      </c>
      <c r="D16" s="280" t="s">
        <v>90</v>
      </c>
      <c r="E16" s="285" t="str">
        <f>+millions</f>
        <v>$millions</v>
      </c>
      <c r="F16" s="281">
        <v>45078</v>
      </c>
      <c r="O16" s="286">
        <f>+O12*O13*O14/10^3</f>
        <v>24.254063661355129</v>
      </c>
      <c r="P16" s="286">
        <f t="shared" ref="P16:S16" si="1">+P12*P13*P14/10^3</f>
        <v>21.693872399384599</v>
      </c>
      <c r="Q16" s="286">
        <f t="shared" si="1"/>
        <v>18.655167845650308</v>
      </c>
      <c r="R16" s="286">
        <f t="shared" si="1"/>
        <v>16.980033757159763</v>
      </c>
      <c r="S16" s="286">
        <f t="shared" si="1"/>
        <v>16.033710156517252</v>
      </c>
    </row>
    <row r="17" spans="1:47" outlineLevel="1" x14ac:dyDescent="0.2">
      <c r="E17"/>
      <c r="F17"/>
      <c r="G17" s="29"/>
      <c r="H17" s="29"/>
      <c r="O17" s="268"/>
      <c r="P17" s="268"/>
      <c r="Q17" s="268"/>
      <c r="R17" s="268"/>
      <c r="S17" s="268"/>
      <c r="U17"/>
    </row>
    <row r="18" spans="1:47" outlineLevel="1" x14ac:dyDescent="0.2">
      <c r="C18" s="26" t="s">
        <v>38</v>
      </c>
      <c r="D18" s="27" t="s">
        <v>90</v>
      </c>
      <c r="E18" s="27" t="s">
        <v>27</v>
      </c>
      <c r="F18" s="27" t="s">
        <v>35</v>
      </c>
      <c r="J18" s="248" t="str">
        <f t="shared" ref="J18:O18" si="2">IF(J10=J4,IF(COUNTA($C12:$C14)=COUNT(J12:J14),"Ok","Check"),"")</f>
        <v/>
      </c>
      <c r="K18" s="248" t="str">
        <f t="shared" si="2"/>
        <v/>
      </c>
      <c r="L18" s="248" t="str">
        <f t="shared" si="2"/>
        <v/>
      </c>
      <c r="M18" s="248" t="str">
        <f t="shared" si="2"/>
        <v/>
      </c>
      <c r="N18" s="248" t="str">
        <f t="shared" si="2"/>
        <v/>
      </c>
      <c r="O18" s="248" t="str">
        <f t="shared" si="2"/>
        <v>Ok</v>
      </c>
      <c r="P18" s="248" t="str">
        <f t="shared" ref="P18:T18" si="3">IF(P10=P4,IF(COUNTA($C12:$C14)=COUNT(P12:P14),"Ok","Check"),"")</f>
        <v>Ok</v>
      </c>
      <c r="Q18" s="248" t="str">
        <f t="shared" si="3"/>
        <v>Ok</v>
      </c>
      <c r="R18" s="248" t="str">
        <f t="shared" si="3"/>
        <v>Ok</v>
      </c>
      <c r="S18" s="248" t="str">
        <f t="shared" si="3"/>
        <v>Ok</v>
      </c>
      <c r="T18" s="248" t="str">
        <f t="shared" si="3"/>
        <v/>
      </c>
      <c r="U18"/>
      <c r="W18" s="247" t="str">
        <f>IF(COUNTIF(J18:T18,"Check")=0,"Ok","Check")</f>
        <v>Ok</v>
      </c>
    </row>
    <row r="19" spans="1:47" outlineLevel="1" x14ac:dyDescent="0.2">
      <c r="F19"/>
      <c r="G19" s="29"/>
      <c r="H19" s="29"/>
      <c r="I19"/>
      <c r="U19"/>
    </row>
    <row r="20" spans="1:47" outlineLevel="1" x14ac:dyDescent="0.2">
      <c r="C20" s="63" t="s">
        <v>228</v>
      </c>
      <c r="D20" s="29" t="s">
        <v>7</v>
      </c>
      <c r="E20" s="29" t="s">
        <v>8</v>
      </c>
      <c r="F20" s="29" t="s">
        <v>22</v>
      </c>
      <c r="G20" s="29"/>
      <c r="H20" s="29"/>
      <c r="I20"/>
      <c r="J20"/>
      <c r="K20"/>
      <c r="L20"/>
      <c r="M20"/>
      <c r="N20"/>
      <c r="O20" s="220">
        <f t="shared" ref="O20:T20" si="4">IF(YEAR(O$4)&gt;=FPFirstYear,IF(YEAR(O$4)&lt;=FPLastYear,O$4,""),"")</f>
        <v>46174</v>
      </c>
      <c r="P20" s="220">
        <f t="shared" si="4"/>
        <v>46539</v>
      </c>
      <c r="Q20" s="220">
        <f t="shared" si="4"/>
        <v>46905</v>
      </c>
      <c r="R20" s="220">
        <f t="shared" si="4"/>
        <v>47270</v>
      </c>
      <c r="S20" s="220">
        <f t="shared" si="4"/>
        <v>47635</v>
      </c>
      <c r="T20" s="220" t="str">
        <f t="shared" si="4"/>
        <v/>
      </c>
      <c r="U20"/>
    </row>
    <row r="21" spans="1:47" outlineLevel="1" x14ac:dyDescent="0.2">
      <c r="G21" s="29"/>
      <c r="H21" s="29"/>
      <c r="I21"/>
      <c r="J21"/>
      <c r="K21"/>
      <c r="L21"/>
      <c r="M21"/>
      <c r="N21"/>
      <c r="U21"/>
    </row>
    <row r="22" spans="1:47" outlineLevel="1" x14ac:dyDescent="0.2">
      <c r="B22"/>
      <c r="C22" s="259" t="s">
        <v>206</v>
      </c>
      <c r="D22" s="27" t="s">
        <v>225</v>
      </c>
      <c r="E22" s="276" t="s">
        <v>207</v>
      </c>
      <c r="F22" s="276" t="s">
        <v>35</v>
      </c>
      <c r="G22" s="29"/>
      <c r="H22" s="29"/>
      <c r="I22"/>
      <c r="J22"/>
      <c r="K22"/>
      <c r="L22"/>
      <c r="M22"/>
      <c r="N22"/>
      <c r="O22" s="277">
        <v>48462.148325408045</v>
      </c>
      <c r="P22" s="277">
        <v>50244.995631962025</v>
      </c>
      <c r="Q22" s="277">
        <v>46705.00782179302</v>
      </c>
      <c r="R22" s="277">
        <v>44193.043708347039</v>
      </c>
      <c r="S22" s="277">
        <v>44591.72331716113</v>
      </c>
      <c r="T22" s="156"/>
      <c r="U22"/>
    </row>
    <row r="23" spans="1:47" ht="10.9" customHeight="1" outlineLevel="1" x14ac:dyDescent="0.2">
      <c r="B23"/>
      <c r="C23" s="259" t="s">
        <v>210</v>
      </c>
      <c r="D23" s="27" t="s">
        <v>226</v>
      </c>
      <c r="E23" s="284" t="str">
        <f>+percent</f>
        <v>Per cent</v>
      </c>
      <c r="F23" s="276" t="s">
        <v>35</v>
      </c>
      <c r="G23" s="29"/>
      <c r="H23" s="29"/>
      <c r="I23"/>
      <c r="J23"/>
      <c r="K23"/>
      <c r="L23"/>
      <c r="M23"/>
      <c r="N23"/>
      <c r="O23" s="278">
        <v>1.6469999999999999E-2</v>
      </c>
      <c r="P23" s="278">
        <v>1.6469999999999999E-2</v>
      </c>
      <c r="Q23" s="278">
        <v>1.6469999999999999E-2</v>
      </c>
      <c r="R23" s="278">
        <v>1.6469999999999999E-2</v>
      </c>
      <c r="S23" s="278">
        <v>1.6469999999999999E-2</v>
      </c>
      <c r="T23" s="156"/>
      <c r="U23"/>
    </row>
    <row r="24" spans="1:47" outlineLevel="1" x14ac:dyDescent="0.2">
      <c r="B24"/>
      <c r="C24" s="259" t="s">
        <v>211</v>
      </c>
      <c r="D24" s="27" t="s">
        <v>220</v>
      </c>
      <c r="E24" s="276" t="s">
        <v>208</v>
      </c>
      <c r="F24" s="157">
        <v>45078</v>
      </c>
      <c r="G24" s="29"/>
      <c r="H24" s="29"/>
      <c r="I24"/>
      <c r="J24"/>
      <c r="K24"/>
      <c r="L24"/>
      <c r="M24"/>
      <c r="N24"/>
      <c r="O24" s="283">
        <v>12.090165853087321</v>
      </c>
      <c r="P24" s="283">
        <v>10.958834086681939</v>
      </c>
      <c r="Q24" s="283">
        <v>9.6338819391185027</v>
      </c>
      <c r="R24" s="283">
        <v>9.0335556897255884</v>
      </c>
      <c r="S24" s="283">
        <v>8.9166592985698543</v>
      </c>
      <c r="T24" s="156"/>
      <c r="U24"/>
    </row>
    <row r="25" spans="1:47" customFormat="1" outlineLevel="1" x14ac:dyDescent="0.2"/>
    <row r="26" spans="1:47" customFormat="1" outlineLevel="1" x14ac:dyDescent="0.2">
      <c r="C26" s="279" t="s">
        <v>230</v>
      </c>
      <c r="D26" s="280" t="s">
        <v>90</v>
      </c>
      <c r="E26" s="285" t="str">
        <f>+millions</f>
        <v>$millions</v>
      </c>
      <c r="F26" s="281">
        <v>45078</v>
      </c>
      <c r="O26" s="286">
        <f>+O22*O23*O24/10^3</f>
        <v>9.6500268167176362</v>
      </c>
      <c r="P26" s="286">
        <f t="shared" ref="P26:S26" si="5">+P22*P23*P24/10^3</f>
        <v>9.0688196213515511</v>
      </c>
      <c r="Q26" s="286">
        <f t="shared" si="5"/>
        <v>7.4106852508529188</v>
      </c>
      <c r="R26" s="286">
        <f t="shared" si="5"/>
        <v>6.5751586940810602</v>
      </c>
      <c r="S26" s="286">
        <f t="shared" si="5"/>
        <v>6.5486235957304562</v>
      </c>
    </row>
    <row r="27" spans="1:47" outlineLevel="1" x14ac:dyDescent="0.2">
      <c r="F27"/>
      <c r="G27" s="29"/>
      <c r="H27" s="29"/>
      <c r="I27"/>
      <c r="U27"/>
    </row>
    <row r="28" spans="1:47" outlineLevel="1" x14ac:dyDescent="0.2">
      <c r="C28" s="26" t="s">
        <v>38</v>
      </c>
      <c r="D28" s="27" t="s">
        <v>90</v>
      </c>
      <c r="E28" s="27" t="s">
        <v>27</v>
      </c>
      <c r="F28" s="27" t="s">
        <v>35</v>
      </c>
      <c r="I28"/>
      <c r="J28" s="248" t="str">
        <f t="shared" ref="J28:T28" si="6">IF(J20=J4,IF(COUNTA($C22:$C24)=COUNT(J22:J24),"Ok","Check"),"")</f>
        <v/>
      </c>
      <c r="K28" s="248" t="str">
        <f t="shared" si="6"/>
        <v/>
      </c>
      <c r="L28" s="248" t="str">
        <f t="shared" si="6"/>
        <v/>
      </c>
      <c r="M28" s="248" t="str">
        <f t="shared" si="6"/>
        <v/>
      </c>
      <c r="N28" s="248" t="str">
        <f t="shared" si="6"/>
        <v/>
      </c>
      <c r="O28" s="248" t="str">
        <f t="shared" si="6"/>
        <v>Ok</v>
      </c>
      <c r="P28" s="248" t="str">
        <f t="shared" si="6"/>
        <v>Ok</v>
      </c>
      <c r="Q28" s="248" t="str">
        <f t="shared" si="6"/>
        <v>Ok</v>
      </c>
      <c r="R28" s="248" t="str">
        <f t="shared" si="6"/>
        <v>Ok</v>
      </c>
      <c r="S28" s="248" t="str">
        <f t="shared" si="6"/>
        <v>Ok</v>
      </c>
      <c r="T28" s="248" t="str">
        <f t="shared" si="6"/>
        <v/>
      </c>
      <c r="U28"/>
      <c r="W28" s="247" t="str">
        <f>IF(COUNTIF(J28:T28,"Check")=0,"Ok","Check")</f>
        <v>Ok</v>
      </c>
    </row>
    <row r="29" spans="1:47" outlineLevel="1" x14ac:dyDescent="0.2">
      <c r="F29"/>
      <c r="G29" s="29"/>
      <c r="H29" s="29"/>
      <c r="I29"/>
      <c r="U29"/>
    </row>
    <row r="30" spans="1:47" customFormat="1" outlineLevel="1" x14ac:dyDescent="0.2">
      <c r="C30" s="279" t="s">
        <v>209</v>
      </c>
      <c r="D30" s="280" t="s">
        <v>90</v>
      </c>
      <c r="E30" s="285" t="str">
        <f>+millions</f>
        <v>$millions</v>
      </c>
      <c r="F30" s="281">
        <v>45078</v>
      </c>
      <c r="O30" s="286">
        <f>+O16+O26</f>
        <v>33.904090478072767</v>
      </c>
      <c r="P30" s="286">
        <f t="shared" ref="P30:S30" si="7">+P16+P26</f>
        <v>30.76269202073615</v>
      </c>
      <c r="Q30" s="286">
        <f t="shared" si="7"/>
        <v>26.065853096503226</v>
      </c>
      <c r="R30" s="286">
        <f t="shared" si="7"/>
        <v>23.555192451240824</v>
      </c>
      <c r="S30" s="286">
        <f t="shared" si="7"/>
        <v>22.582333752247706</v>
      </c>
    </row>
    <row r="31" spans="1:47" outlineLevel="1" x14ac:dyDescent="0.2">
      <c r="G31" s="29"/>
      <c r="H31" s="29"/>
    </row>
    <row r="32" spans="1:47" s="98" customFormat="1" ht="12.75" x14ac:dyDescent="0.2">
      <c r="A32" s="89"/>
      <c r="B32" s="90" t="s">
        <v>21</v>
      </c>
      <c r="C32" s="89"/>
      <c r="D32" s="89"/>
      <c r="E32" s="89"/>
      <c r="F32" s="91"/>
      <c r="G32" s="91"/>
      <c r="H32" s="91"/>
      <c r="I32" s="91"/>
      <c r="J32" s="92"/>
      <c r="K32" s="93"/>
      <c r="L32" s="92"/>
      <c r="M32" s="93"/>
      <c r="N32" s="92"/>
      <c r="O32" s="92"/>
      <c r="P32" s="92"/>
      <c r="Q32" s="92"/>
      <c r="R32" s="92"/>
      <c r="S32" s="92"/>
      <c r="T32" s="92"/>
      <c r="U32" s="92"/>
      <c r="V32" s="93"/>
      <c r="W32" s="93"/>
      <c r="X32" s="94"/>
      <c r="Y32" s="94"/>
      <c r="Z32" s="94"/>
      <c r="AA32" s="94"/>
      <c r="AB32" s="95"/>
      <c r="AC32" s="96"/>
      <c r="AD32" s="96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</row>
    <row r="33" spans="7:8" hidden="1" x14ac:dyDescent="0.2">
      <c r="G33" s="29"/>
      <c r="H33" s="29"/>
    </row>
    <row r="34" spans="7:8" hidden="1" x14ac:dyDescent="0.2">
      <c r="G34" s="29"/>
      <c r="H34" s="29"/>
    </row>
    <row r="35" spans="7:8" hidden="1" x14ac:dyDescent="0.2">
      <c r="G35" s="29"/>
      <c r="H35" s="29"/>
    </row>
    <row r="36" spans="7:8" hidden="1" x14ac:dyDescent="0.2">
      <c r="G36" s="29"/>
      <c r="H36" s="29"/>
    </row>
    <row r="37" spans="7:8" hidden="1" x14ac:dyDescent="0.2">
      <c r="G37" s="29"/>
      <c r="H37" s="29"/>
    </row>
    <row r="38" spans="7:8" hidden="1" x14ac:dyDescent="0.2">
      <c r="G38" s="29"/>
      <c r="H38" s="29"/>
    </row>
    <row r="39" spans="7:8" hidden="1" x14ac:dyDescent="0.2">
      <c r="G39" s="29"/>
      <c r="H39" s="29"/>
    </row>
    <row r="40" spans="7:8" hidden="1" x14ac:dyDescent="0.2">
      <c r="G40" s="29"/>
      <c r="H40" s="29"/>
    </row>
    <row r="41" spans="7:8" s="27" customFormat="1" hidden="1" x14ac:dyDescent="0.2">
      <c r="G41" s="29"/>
      <c r="H41" s="29"/>
    </row>
    <row r="42" spans="7:8" s="27" customFormat="1" hidden="1" x14ac:dyDescent="0.2">
      <c r="G42" s="29"/>
      <c r="H42" s="29"/>
    </row>
    <row r="43" spans="7:8" s="27" customFormat="1" x14ac:dyDescent="0.2"/>
    <row r="44" spans="7:8" s="27" customFormat="1" x14ac:dyDescent="0.2"/>
    <row r="45" spans="7:8" s="27" customFormat="1" x14ac:dyDescent="0.2"/>
    <row r="46" spans="7:8" s="27" customFormat="1" x14ac:dyDescent="0.2"/>
    <row r="47" spans="7:8" s="27" customFormat="1" x14ac:dyDescent="0.2"/>
    <row r="48" spans="7:8" s="27" customFormat="1" x14ac:dyDescent="0.2"/>
    <row r="49" s="27" customFormat="1" x14ac:dyDescent="0.2"/>
    <row r="50" s="27" customFormat="1" x14ac:dyDescent="0.2"/>
    <row r="51" s="27" customFormat="1" x14ac:dyDescent="0.2"/>
    <row r="52" s="27" customFormat="1" x14ac:dyDescent="0.2"/>
    <row r="53" s="27" customFormat="1" x14ac:dyDescent="0.2"/>
    <row r="54" s="27" customFormat="1" x14ac:dyDescent="0.2"/>
    <row r="55" s="27" customFormat="1" x14ac:dyDescent="0.2"/>
    <row r="56" s="27" customFormat="1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</sheetData>
  <mergeCells count="1">
    <mergeCell ref="N3:S3"/>
  </mergeCells>
  <conditionalFormatting sqref="S1">
    <cfRule type="cellIs" dxfId="144" priority="21" operator="equal">
      <formula>"Check"</formula>
    </cfRule>
    <cfRule type="cellIs" dxfId="143" priority="22" operator="equal">
      <formula>"Ok"</formula>
    </cfRule>
  </conditionalFormatting>
  <conditionalFormatting sqref="V1">
    <cfRule type="cellIs" dxfId="142" priority="23" operator="equal">
      <formula>"Check"</formula>
    </cfRule>
    <cfRule type="cellIs" dxfId="141" priority="24" operator="equal">
      <formula>"Ok"</formula>
    </cfRule>
  </conditionalFormatting>
  <conditionalFormatting sqref="J10:T10">
    <cfRule type="expression" dxfId="140" priority="20">
      <formula>J$10=J$4</formula>
    </cfRule>
  </conditionalFormatting>
  <conditionalFormatting sqref="T12:T14 J12:N14">
    <cfRule type="expression" dxfId="139" priority="19">
      <formula>J$10=J$4</formula>
    </cfRule>
  </conditionalFormatting>
  <conditionalFormatting sqref="W18">
    <cfRule type="cellIs" dxfId="138" priority="17" operator="equal">
      <formula>"Check"</formula>
    </cfRule>
    <cfRule type="cellIs" dxfId="137" priority="18" operator="equal">
      <formula>"Ok"</formula>
    </cfRule>
  </conditionalFormatting>
  <conditionalFormatting sqref="J18:T18">
    <cfRule type="cellIs" dxfId="136" priority="15" operator="equal">
      <formula>"Check"</formula>
    </cfRule>
    <cfRule type="cellIs" dxfId="135" priority="16" operator="equal">
      <formula>"Ok"</formula>
    </cfRule>
  </conditionalFormatting>
  <conditionalFormatting sqref="W28">
    <cfRule type="cellIs" dxfId="134" priority="13" operator="equal">
      <formula>"Check"</formula>
    </cfRule>
    <cfRule type="cellIs" dxfId="133" priority="14" operator="equal">
      <formula>"Ok"</formula>
    </cfRule>
  </conditionalFormatting>
  <conditionalFormatting sqref="J28:T28">
    <cfRule type="cellIs" dxfId="132" priority="11" operator="equal">
      <formula>"Check"</formula>
    </cfRule>
    <cfRule type="cellIs" dxfId="131" priority="12" operator="equal">
      <formula>"Ok"</formula>
    </cfRule>
  </conditionalFormatting>
  <conditionalFormatting sqref="T22:T24">
    <cfRule type="expression" dxfId="130" priority="6">
      <formula>T$10=T$4</formula>
    </cfRule>
  </conditionalFormatting>
  <conditionalFormatting sqref="O20:T20">
    <cfRule type="expression" dxfId="129" priority="4">
      <formula>O$10=O$4</formula>
    </cfRule>
  </conditionalFormatting>
  <hyperlinks>
    <hyperlink ref="J1" location="Index!A1" display="Back to Index" xr:uid="{A9B6921A-DEF0-47CF-AC8B-481DA944D21E}"/>
    <hyperlink ref="U1" location="'Check|List'!A1" display="Overall Check:" xr:uid="{6ED662CE-C6C2-49D1-8E1C-724B4B7B32A2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E3E5EB-30E6-4585-9236-4219546AB7E5}">
          <x14:formula1>
            <xm:f>'Lookup|Tables'!$H$41:$H$60</xm:f>
          </x14:formula1>
          <xm:sqref>F30 F16 F14 F26 F24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  <outlinePr summaryBelow="0" summaryRight="0"/>
  </sheetPr>
  <dimension ref="A1:AU85"/>
  <sheetViews>
    <sheetView showGridLines="0" zoomScaleNormal="100" workbookViewId="0"/>
  </sheetViews>
  <sheetFormatPr defaultColWidth="0" defaultRowHeight="11.25" zeroHeight="1" outlineLevelRow="1" x14ac:dyDescent="0.2"/>
  <cols>
    <col min="1" max="2" width="1.5" style="26" customWidth="1"/>
    <col min="3" max="3" width="48" style="26" bestFit="1" customWidth="1"/>
    <col min="4" max="4" width="27.6640625" style="27" customWidth="1"/>
    <col min="5" max="5" width="15.83203125" style="27" customWidth="1"/>
    <col min="6" max="6" width="10.6640625" style="27" customWidth="1"/>
    <col min="7" max="9" width="3.33203125" style="27" customWidth="1"/>
    <col min="10" max="23" width="10.83203125" style="26" customWidth="1"/>
    <col min="24" max="47" width="10.5" style="26" hidden="1" customWidth="1"/>
    <col min="48" max="16384" width="0" style="26" hidden="1"/>
  </cols>
  <sheetData>
    <row r="1" spans="1:47" s="64" customFormat="1" ht="15.75" x14ac:dyDescent="0.25">
      <c r="B1" s="215" t="str">
        <f>Index!$B$1</f>
        <v>AER opex model v1.8</v>
      </c>
      <c r="C1" s="65"/>
      <c r="D1" s="65"/>
      <c r="E1" s="65"/>
      <c r="F1" s="66"/>
      <c r="G1" s="66"/>
      <c r="H1" s="66"/>
      <c r="I1" s="66"/>
      <c r="J1" s="34" t="s">
        <v>2</v>
      </c>
      <c r="L1" s="67" t="s">
        <v>3</v>
      </c>
      <c r="M1" s="68" t="s">
        <v>4</v>
      </c>
      <c r="N1" s="69" t="s">
        <v>5</v>
      </c>
      <c r="O1" s="239" t="s">
        <v>6</v>
      </c>
      <c r="R1" s="67" t="s">
        <v>74</v>
      </c>
      <c r="S1" s="217" t="str">
        <f ca="1">IF(COUNTA($W$8:$W$225)=COUNTIF($W$8:$W$225,"OK"),"OK","Check")</f>
        <v>OK</v>
      </c>
      <c r="U1" s="170" t="s">
        <v>24</v>
      </c>
      <c r="V1" s="217" t="str">
        <f ca="1">'Check|List'!$S$1</f>
        <v>Ok</v>
      </c>
    </row>
    <row r="2" spans="1:47" s="72" customFormat="1" ht="13.5" thickBot="1" x14ac:dyDescent="0.25">
      <c r="B2" s="216" t="str">
        <f>+Index!C12</f>
        <v>Input|Step changes</v>
      </c>
      <c r="C2" s="73"/>
      <c r="D2" s="73"/>
      <c r="E2" s="73"/>
      <c r="F2" s="74"/>
      <c r="G2" s="74"/>
      <c r="H2" s="74"/>
      <c r="I2" s="74"/>
    </row>
    <row r="3" spans="1:47" s="75" customFormat="1" x14ac:dyDescent="0.2">
      <c r="C3" s="76"/>
      <c r="D3" s="165"/>
      <c r="E3" s="165"/>
      <c r="F3" s="165"/>
      <c r="G3" s="165"/>
      <c r="H3" s="165"/>
      <c r="I3" s="165"/>
      <c r="J3" s="147" t="s">
        <v>110</v>
      </c>
      <c r="K3" s="158"/>
      <c r="L3" s="158"/>
      <c r="M3" s="165"/>
      <c r="N3" s="295"/>
      <c r="O3" s="295"/>
      <c r="P3" s="295"/>
      <c r="Q3" s="295"/>
      <c r="R3" s="295"/>
      <c r="S3" s="295"/>
      <c r="T3" s="77"/>
      <c r="U3" s="77"/>
      <c r="V3" s="77"/>
      <c r="W3" s="77"/>
      <c r="X3" s="77"/>
      <c r="Y3" s="77"/>
      <c r="Z3" s="77"/>
    </row>
    <row r="4" spans="1:47" s="98" customFormat="1" x14ac:dyDescent="0.2">
      <c r="A4" s="78"/>
      <c r="B4" s="78"/>
      <c r="C4" s="78"/>
      <c r="D4" s="79" t="s">
        <v>7</v>
      </c>
      <c r="E4" s="79" t="s">
        <v>8</v>
      </c>
      <c r="F4" s="80" t="s">
        <v>22</v>
      </c>
      <c r="G4" s="81"/>
      <c r="H4" s="81"/>
      <c r="I4" s="81"/>
      <c r="J4" s="218">
        <f>DATE(PPFirstYear,MONTH('Input|General'!$G$9),1)</f>
        <v>44348</v>
      </c>
      <c r="K4" s="218">
        <f>DATE(PPFirstYear+1,MONTH('Input|General'!$G$9),1)</f>
        <v>44713</v>
      </c>
      <c r="L4" s="218">
        <f>DATE(PPFirstYear+2,MONTH('Input|General'!$G$9),1)</f>
        <v>45078</v>
      </c>
      <c r="M4" s="218">
        <f>DATE(PPFirstYear+3,MONTH('Input|General'!$G$9),1)</f>
        <v>45444</v>
      </c>
      <c r="N4" s="218">
        <f>DATE(PPFirstYear+4,MONTH('Input|General'!$G$9),1)</f>
        <v>45809</v>
      </c>
      <c r="O4" s="218">
        <f>DATE(PPFirstYear+5,MONTH('Input|General'!$G$9),1)</f>
        <v>46174</v>
      </c>
      <c r="P4" s="218">
        <f>DATE(PPFirstYear+6,MONTH('Input|General'!$G$9),1)</f>
        <v>46539</v>
      </c>
      <c r="Q4" s="218">
        <f>DATE(PPFirstYear+7,MONTH('Input|General'!$G$9),1)</f>
        <v>46905</v>
      </c>
      <c r="R4" s="218">
        <f>DATE(PPFirstYear+8,MONTH('Input|General'!$G$9),1)</f>
        <v>47270</v>
      </c>
      <c r="S4" s="218">
        <f>DATE(PPFirstYear+9,MONTH('Input|General'!$G$9),1)</f>
        <v>47635</v>
      </c>
      <c r="T4" s="218">
        <f>DATE(PPFirstYear+10,MONTH('Input|General'!$G$9),1)</f>
        <v>48000</v>
      </c>
      <c r="U4" s="82"/>
      <c r="V4" s="83"/>
      <c r="W4" s="83"/>
    </row>
    <row r="5" spans="1:47" s="24" customFormat="1" ht="3.2" customHeight="1" x14ac:dyDescent="0.2">
      <c r="D5" s="25"/>
      <c r="E5" s="25"/>
      <c r="F5" s="25"/>
      <c r="G5" s="25"/>
      <c r="H5" s="25"/>
      <c r="I5" s="25"/>
    </row>
    <row r="6" spans="1:47" s="24" customFormat="1" ht="9" customHeight="1" x14ac:dyDescent="0.2">
      <c r="D6" s="25"/>
      <c r="E6" s="25"/>
      <c r="F6" s="25"/>
      <c r="G6" s="25"/>
      <c r="H6" s="25"/>
      <c r="I6" s="25"/>
    </row>
    <row r="7" spans="1:47" s="24" customFormat="1" ht="3.2" customHeight="1" x14ac:dyDescent="0.2">
      <c r="D7" s="25"/>
      <c r="E7" s="25"/>
      <c r="F7" s="25"/>
      <c r="G7" s="25"/>
      <c r="H7" s="25"/>
      <c r="I7" s="25"/>
    </row>
    <row r="8" spans="1:47" s="98" customFormat="1" ht="12.75" x14ac:dyDescent="0.2">
      <c r="A8" s="89"/>
      <c r="B8" s="90" t="s">
        <v>48</v>
      </c>
      <c r="C8" s="89"/>
      <c r="D8" s="89"/>
      <c r="E8" s="89"/>
      <c r="F8" s="91"/>
      <c r="G8" s="91"/>
      <c r="H8" s="91"/>
      <c r="I8" s="91"/>
      <c r="J8" s="92"/>
      <c r="K8" s="93"/>
      <c r="L8" s="92"/>
      <c r="M8" s="93"/>
      <c r="N8" s="92"/>
      <c r="O8" s="92"/>
      <c r="P8" s="92"/>
      <c r="Q8" s="92"/>
      <c r="R8" s="92"/>
      <c r="S8" s="92"/>
      <c r="T8" s="92"/>
      <c r="U8" s="92"/>
      <c r="V8" s="93"/>
      <c r="W8" s="93"/>
      <c r="X8" s="94"/>
      <c r="Y8" s="94"/>
      <c r="Z8" s="94"/>
      <c r="AA8" s="94"/>
      <c r="AB8" s="95"/>
      <c r="AC8" s="96"/>
      <c r="AD8" s="96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</row>
    <row r="9" spans="1:47" outlineLevel="1" x14ac:dyDescent="0.2">
      <c r="G9" s="29"/>
      <c r="H9" s="29"/>
    </row>
    <row r="10" spans="1:47" outlineLevel="1" x14ac:dyDescent="0.2">
      <c r="C10" s="63" t="s">
        <v>71</v>
      </c>
      <c r="D10" s="29" t="s">
        <v>7</v>
      </c>
      <c r="E10" s="29" t="s">
        <v>8</v>
      </c>
      <c r="F10" s="29" t="s">
        <v>22</v>
      </c>
      <c r="G10" s="29"/>
      <c r="H10" s="29"/>
      <c r="I10" s="151"/>
      <c r="J10" s="220" t="str">
        <f t="shared" ref="J10:T10" si="0">IF(YEAR(J$4)&gt;=FPFirstYear,IF(YEAR(J$4)&lt;=FPLastYear,J$4,""),"")</f>
        <v/>
      </c>
      <c r="K10" s="220" t="str">
        <f t="shared" si="0"/>
        <v/>
      </c>
      <c r="L10" s="220" t="str">
        <f t="shared" si="0"/>
        <v/>
      </c>
      <c r="M10" s="220" t="str">
        <f t="shared" si="0"/>
        <v/>
      </c>
      <c r="N10" s="220" t="str">
        <f t="shared" si="0"/>
        <v/>
      </c>
      <c r="O10" s="220">
        <f t="shared" si="0"/>
        <v>46174</v>
      </c>
      <c r="P10" s="220">
        <f t="shared" si="0"/>
        <v>46539</v>
      </c>
      <c r="Q10" s="220">
        <f t="shared" si="0"/>
        <v>46905</v>
      </c>
      <c r="R10" s="220">
        <f t="shared" si="0"/>
        <v>47270</v>
      </c>
      <c r="S10" s="220">
        <f t="shared" si="0"/>
        <v>47635</v>
      </c>
      <c r="T10" s="220" t="str">
        <f t="shared" si="0"/>
        <v/>
      </c>
    </row>
    <row r="11" spans="1:47" outlineLevel="1" x14ac:dyDescent="0.2">
      <c r="G11" s="29"/>
      <c r="H11" s="29"/>
    </row>
    <row r="12" spans="1:47" outlineLevel="1" x14ac:dyDescent="0.2">
      <c r="B12"/>
      <c r="C12" s="259" t="s">
        <v>212</v>
      </c>
      <c r="D12" s="27" t="s">
        <v>181</v>
      </c>
      <c r="E12" s="142" t="s">
        <v>15</v>
      </c>
      <c r="F12" s="157">
        <v>45809</v>
      </c>
      <c r="G12" s="29"/>
      <c r="H12" s="29"/>
      <c r="J12" s="272"/>
      <c r="K12" s="268"/>
      <c r="L12" s="268"/>
      <c r="M12" s="143"/>
      <c r="N12" s="143"/>
      <c r="O12" s="260">
        <v>0.53251149999999992</v>
      </c>
      <c r="P12" s="260">
        <v>0.53251149999999992</v>
      </c>
      <c r="Q12" s="260">
        <v>0.53251149999999992</v>
      </c>
      <c r="R12" s="260">
        <v>0.53251149999999992</v>
      </c>
      <c r="S12" s="260">
        <v>0.53251149999999992</v>
      </c>
      <c r="T12" s="156"/>
      <c r="U12"/>
    </row>
    <row r="13" spans="1:47" outlineLevel="1" x14ac:dyDescent="0.2">
      <c r="B13"/>
      <c r="C13" s="259" t="s">
        <v>213</v>
      </c>
      <c r="D13" s="27" t="s">
        <v>181</v>
      </c>
      <c r="E13" s="142" t="s">
        <v>15</v>
      </c>
      <c r="F13" s="240">
        <f>+$F$12</f>
        <v>45809</v>
      </c>
      <c r="G13" s="29"/>
      <c r="H13" s="29"/>
      <c r="J13" s="272"/>
      <c r="K13" s="268"/>
      <c r="L13" s="268"/>
      <c r="M13" s="143"/>
      <c r="N13" s="143"/>
      <c r="O13" s="260">
        <v>0.75507280076902472</v>
      </c>
      <c r="P13" s="260">
        <v>2.2559526398217771</v>
      </c>
      <c r="Q13" s="260">
        <v>3.7545348366970632</v>
      </c>
      <c r="R13" s="260">
        <v>3.9285183947618556</v>
      </c>
      <c r="S13" s="260">
        <v>4.3437999499808351</v>
      </c>
      <c r="T13" s="156"/>
      <c r="U13"/>
    </row>
    <row r="14" spans="1:47" outlineLevel="1" x14ac:dyDescent="0.2">
      <c r="B14"/>
      <c r="C14" s="259" t="s">
        <v>214</v>
      </c>
      <c r="D14" s="27" t="s">
        <v>181</v>
      </c>
      <c r="E14" s="142" t="s">
        <v>15</v>
      </c>
      <c r="F14" s="240">
        <f t="shared" ref="F14:F16" si="1">+$F$12</f>
        <v>45809</v>
      </c>
      <c r="G14" s="29"/>
      <c r="H14" s="29"/>
      <c r="J14" s="272"/>
      <c r="K14" s="268"/>
      <c r="L14" s="268"/>
      <c r="M14" s="143"/>
      <c r="N14" s="143"/>
      <c r="O14" s="260">
        <v>0.78049804122972455</v>
      </c>
      <c r="P14" s="260">
        <v>0.70714690154055548</v>
      </c>
      <c r="Q14" s="260">
        <v>0.70714690154055548</v>
      </c>
      <c r="R14" s="260">
        <v>0.70714690154055548</v>
      </c>
      <c r="S14" s="260">
        <v>0.70714690154055548</v>
      </c>
      <c r="T14" s="156"/>
      <c r="U14"/>
    </row>
    <row r="15" spans="1:47" outlineLevel="1" x14ac:dyDescent="0.2">
      <c r="B15"/>
      <c r="C15" s="259" t="s">
        <v>215</v>
      </c>
      <c r="D15" s="27" t="s">
        <v>181</v>
      </c>
      <c r="E15" s="142" t="s">
        <v>15</v>
      </c>
      <c r="F15" s="240">
        <f t="shared" si="1"/>
        <v>45809</v>
      </c>
      <c r="G15" s="29"/>
      <c r="H15" s="29"/>
      <c r="J15" s="272"/>
      <c r="K15" s="268"/>
      <c r="L15" s="268"/>
      <c r="M15" s="143"/>
      <c r="N15" s="143"/>
      <c r="O15" s="260">
        <v>4.1714219385175042</v>
      </c>
      <c r="P15" s="260">
        <v>4.1426054193539024</v>
      </c>
      <c r="Q15" s="260">
        <v>4.1630439274568642</v>
      </c>
      <c r="R15" s="260">
        <v>4.1630439274568642</v>
      </c>
      <c r="S15" s="260">
        <v>4.1630439274568642</v>
      </c>
      <c r="T15" s="156"/>
      <c r="U15"/>
    </row>
    <row r="16" spans="1:47" outlineLevel="1" x14ac:dyDescent="0.2">
      <c r="B16"/>
      <c r="C16" s="259" t="s">
        <v>216</v>
      </c>
      <c r="D16" s="27" t="s">
        <v>181</v>
      </c>
      <c r="E16" s="142" t="s">
        <v>15</v>
      </c>
      <c r="F16" s="240">
        <f t="shared" si="1"/>
        <v>45809</v>
      </c>
      <c r="G16" s="29"/>
      <c r="H16" s="29"/>
      <c r="J16" s="272"/>
      <c r="K16" s="268"/>
      <c r="L16" s="268"/>
      <c r="M16" s="143"/>
      <c r="N16" s="143"/>
      <c r="O16" s="260">
        <v>9.3043628062510475</v>
      </c>
      <c r="P16" s="260">
        <v>3.1447594010837103</v>
      </c>
      <c r="Q16" s="260">
        <v>4.0755185204739055</v>
      </c>
      <c r="R16" s="260">
        <v>4.0334893338255124</v>
      </c>
      <c r="S16" s="260">
        <v>7.5759522043658878</v>
      </c>
      <c r="T16" s="156"/>
      <c r="U16"/>
    </row>
    <row r="17" spans="1:47" outlineLevel="1" x14ac:dyDescent="0.2">
      <c r="E17" s="100"/>
      <c r="F17" s="100"/>
      <c r="G17" s="29"/>
      <c r="H17" s="29"/>
      <c r="O17" s="268"/>
      <c r="P17" s="268"/>
      <c r="Q17" s="268"/>
      <c r="R17" s="268"/>
      <c r="S17" s="268"/>
      <c r="U17"/>
    </row>
    <row r="18" spans="1:47" outlineLevel="1" x14ac:dyDescent="0.2">
      <c r="C18" s="26" t="s">
        <v>38</v>
      </c>
      <c r="D18" s="27" t="s">
        <v>90</v>
      </c>
      <c r="E18" s="27" t="s">
        <v>27</v>
      </c>
      <c r="F18" s="27" t="s">
        <v>35</v>
      </c>
      <c r="J18" s="248" t="str">
        <f>IF(J10=J4,IF(COUNTA($C12:$C14)=COUNT(J12:J14),"Ok","Check"),"")</f>
        <v/>
      </c>
      <c r="K18" s="248" t="str">
        <f>IF(K10=K4,IF(COUNTA($C12:$C14)=COUNT(K12:K14),"Ok","Check"),"")</f>
        <v/>
      </c>
      <c r="L18" s="248" t="str">
        <f>IF(L10=L4,IF(COUNTA($C12:$C14)=COUNT(L12:L14),"Ok","Check"),"")</f>
        <v/>
      </c>
      <c r="M18" s="248" t="str">
        <f>IF(M10=M4,IF(COUNTA($C12:$C14)=COUNT(M12:M14),"Ok","Check"),"")</f>
        <v/>
      </c>
      <c r="N18" s="248" t="str">
        <f>IF(N10=N4,IF(COUNTA($C12:$C14)=COUNT(N12:N14),"Ok","Check"),"")</f>
        <v/>
      </c>
      <c r="O18" s="248" t="str">
        <f t="shared" ref="O18:T18" si="2">IF(O10=O4,IF(COUNTA($C12:$C16)=COUNT(O12:O16),"Ok","Check"),"")</f>
        <v>Ok</v>
      </c>
      <c r="P18" s="248" t="str">
        <f t="shared" si="2"/>
        <v>Ok</v>
      </c>
      <c r="Q18" s="248" t="str">
        <f t="shared" si="2"/>
        <v>Ok</v>
      </c>
      <c r="R18" s="248" t="str">
        <f t="shared" si="2"/>
        <v>Ok</v>
      </c>
      <c r="S18" s="248" t="str">
        <f t="shared" si="2"/>
        <v>Ok</v>
      </c>
      <c r="T18" s="248" t="str">
        <f t="shared" si="2"/>
        <v/>
      </c>
      <c r="U18"/>
      <c r="W18" s="247" t="str">
        <f>IF(COUNTIF(J18:T18,"Check")=0,"Ok","Check")</f>
        <v>Ok</v>
      </c>
    </row>
    <row r="19" spans="1:47" x14ac:dyDescent="0.2">
      <c r="F19"/>
      <c r="G19" s="29"/>
      <c r="H19" s="29"/>
      <c r="I19"/>
      <c r="U19"/>
    </row>
    <row r="20" spans="1:47" s="98" customFormat="1" ht="12.75" x14ac:dyDescent="0.2">
      <c r="A20" s="89"/>
      <c r="B20" s="90" t="s">
        <v>188</v>
      </c>
      <c r="C20" s="89"/>
      <c r="D20" s="89"/>
      <c r="E20" s="89"/>
      <c r="F20" s="91"/>
      <c r="G20" s="91"/>
      <c r="H20" s="91"/>
      <c r="I20" s="91"/>
      <c r="J20" s="92"/>
      <c r="K20" s="93"/>
      <c r="L20" s="92"/>
      <c r="M20" s="93"/>
      <c r="N20" s="92"/>
      <c r="O20" s="92"/>
      <c r="P20" s="92"/>
      <c r="Q20" s="92"/>
      <c r="R20" s="92"/>
      <c r="S20" s="92"/>
      <c r="T20" s="92"/>
      <c r="U20" s="92"/>
      <c r="V20" s="93"/>
      <c r="W20" s="93"/>
      <c r="X20" s="94"/>
      <c r="Y20" s="94"/>
      <c r="Z20" s="94"/>
      <c r="AA20" s="94"/>
      <c r="AB20" s="95"/>
      <c r="AC20" s="96"/>
      <c r="AD20" s="96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</row>
    <row r="21" spans="1:47" outlineLevel="1" x14ac:dyDescent="0.2">
      <c r="G21" s="29"/>
      <c r="H21" s="29"/>
    </row>
    <row r="22" spans="1:47" outlineLevel="1" x14ac:dyDescent="0.2">
      <c r="C22" s="63" t="s">
        <v>102</v>
      </c>
      <c r="D22" s="29" t="s">
        <v>7</v>
      </c>
      <c r="E22" s="29" t="s">
        <v>8</v>
      </c>
      <c r="F22" s="29" t="s">
        <v>22</v>
      </c>
      <c r="G22" s="29"/>
      <c r="H22" s="29"/>
      <c r="J22"/>
      <c r="K22"/>
      <c r="L22"/>
      <c r="M22"/>
      <c r="N22"/>
      <c r="O22" s="220">
        <f t="shared" ref="O22:T22" si="3">IF(YEAR(O$4)&gt;=FPFirstYear,IF(YEAR(O$4)&lt;=FPLastYear,O$4,""),"")</f>
        <v>46174</v>
      </c>
      <c r="P22" s="220">
        <f t="shared" si="3"/>
        <v>46539</v>
      </c>
      <c r="Q22" s="220">
        <f t="shared" si="3"/>
        <v>46905</v>
      </c>
      <c r="R22" s="220">
        <f t="shared" si="3"/>
        <v>47270</v>
      </c>
      <c r="S22" s="220">
        <f t="shared" si="3"/>
        <v>47635</v>
      </c>
      <c r="T22" s="220" t="str">
        <f t="shared" si="3"/>
        <v/>
      </c>
    </row>
    <row r="23" spans="1:47" outlineLevel="1" x14ac:dyDescent="0.2">
      <c r="G23" s="29"/>
      <c r="H23" s="29"/>
      <c r="J23"/>
      <c r="K23"/>
      <c r="L23"/>
      <c r="M23"/>
      <c r="N23"/>
    </row>
    <row r="24" spans="1:47" outlineLevel="1" x14ac:dyDescent="0.2">
      <c r="B24"/>
      <c r="C24" s="259" t="s">
        <v>182</v>
      </c>
      <c r="D24" s="27" t="s">
        <v>181</v>
      </c>
      <c r="E24" s="142" t="s">
        <v>15</v>
      </c>
      <c r="F24" s="157">
        <v>45809</v>
      </c>
      <c r="G24" s="29"/>
      <c r="H24" s="29"/>
      <c r="I24"/>
      <c r="J24"/>
      <c r="K24"/>
      <c r="L24"/>
      <c r="M24"/>
      <c r="N24"/>
      <c r="O24" s="260">
        <f>+'Input|UAG'!O$30*'Input|Rate of change'!$O$19</f>
        <v>36.108636153228488</v>
      </c>
      <c r="P24" s="260">
        <f>+'Input|UAG'!P$30*'Input|Rate of change'!$O$19</f>
        <v>32.762974544000471</v>
      </c>
      <c r="Q24" s="260">
        <f>+'Input|UAG'!Q$30*'Input|Rate of change'!$O$19</f>
        <v>27.760733062397151</v>
      </c>
      <c r="R24" s="260">
        <f>+'Input|UAG'!R$30*'Input|Rate of change'!$O$19</f>
        <v>25.086821729997851</v>
      </c>
      <c r="S24" s="260">
        <f>+'Input|UAG'!S$30*'Input|Rate of change'!$O$19</f>
        <v>24.050704839820106</v>
      </c>
      <c r="T24" s="156"/>
      <c r="U24"/>
    </row>
    <row r="25" spans="1:47" ht="10.9" customHeight="1" outlineLevel="1" x14ac:dyDescent="0.2">
      <c r="B25"/>
      <c r="C25" s="259" t="s">
        <v>218</v>
      </c>
      <c r="D25" s="27" t="s">
        <v>181</v>
      </c>
      <c r="E25" s="142" t="s">
        <v>15</v>
      </c>
      <c r="F25" s="240">
        <f>+$F$24</f>
        <v>45809</v>
      </c>
      <c r="G25" s="29"/>
      <c r="H25" s="29"/>
      <c r="I25"/>
      <c r="J25"/>
      <c r="K25"/>
      <c r="L25"/>
      <c r="M25"/>
      <c r="N25"/>
      <c r="O25" s="260">
        <f>+AVERAGE('Input|Reported opex'!$J$52:$M$52)</f>
        <v>4.2568383600000006</v>
      </c>
      <c r="P25" s="260">
        <f>+O25</f>
        <v>4.2568383600000006</v>
      </c>
      <c r="Q25" s="260">
        <f t="shared" ref="Q25:S25" si="4">P25</f>
        <v>4.2568383600000006</v>
      </c>
      <c r="R25" s="260">
        <f t="shared" si="4"/>
        <v>4.2568383600000006</v>
      </c>
      <c r="S25" s="260">
        <f t="shared" si="4"/>
        <v>4.2568383600000006</v>
      </c>
      <c r="T25" s="156"/>
      <c r="U25"/>
    </row>
    <row r="26" spans="1:47" outlineLevel="1" x14ac:dyDescent="0.2">
      <c r="B26"/>
      <c r="C26" s="259" t="s">
        <v>187</v>
      </c>
      <c r="D26" s="27" t="s">
        <v>181</v>
      </c>
      <c r="E26" s="142" t="s">
        <v>15</v>
      </c>
      <c r="F26" s="240">
        <f>+$F$24</f>
        <v>45809</v>
      </c>
      <c r="G26" s="29"/>
      <c r="H26" s="29"/>
      <c r="I26"/>
      <c r="J26"/>
      <c r="K26"/>
      <c r="L26"/>
      <c r="M26"/>
      <c r="N26"/>
      <c r="O26" s="260">
        <v>2.163786122167596</v>
      </c>
      <c r="P26" s="260">
        <v>2.3155181421285609</v>
      </c>
      <c r="Q26" s="260">
        <v>2.0893836558870591</v>
      </c>
      <c r="R26" s="260">
        <v>1.9568944783439128</v>
      </c>
      <c r="S26" s="260">
        <v>1.888143772353478</v>
      </c>
      <c r="T26" s="156"/>
      <c r="U26"/>
    </row>
    <row r="27" spans="1:47" outlineLevel="1" x14ac:dyDescent="0.2">
      <c r="C27" s="259"/>
      <c r="D27" s="27" t="s">
        <v>181</v>
      </c>
      <c r="E27" s="142" t="s">
        <v>15</v>
      </c>
      <c r="F27" s="240">
        <f>+$F$24</f>
        <v>45809</v>
      </c>
      <c r="G27" s="29"/>
      <c r="H27" s="29"/>
      <c r="I27"/>
      <c r="J27" s="143"/>
      <c r="K27" s="143"/>
      <c r="L27" s="143"/>
      <c r="M27" s="143"/>
      <c r="N27" s="156"/>
      <c r="O27" s="260"/>
      <c r="P27" s="260"/>
      <c r="Q27" s="260"/>
      <c r="R27" s="260"/>
      <c r="S27" s="260"/>
      <c r="T27" s="156"/>
      <c r="U27"/>
    </row>
    <row r="28" spans="1:47" outlineLevel="1" x14ac:dyDescent="0.2">
      <c r="C28" s="259"/>
      <c r="D28" s="27" t="s">
        <v>181</v>
      </c>
      <c r="E28" s="142" t="s">
        <v>15</v>
      </c>
      <c r="F28" s="240">
        <f>+$F$24</f>
        <v>45809</v>
      </c>
      <c r="G28" s="29"/>
      <c r="H28" s="29"/>
      <c r="I28"/>
      <c r="J28" s="143"/>
      <c r="K28" s="143"/>
      <c r="L28" s="143"/>
      <c r="M28" s="143"/>
      <c r="N28" s="156"/>
      <c r="O28" s="260"/>
      <c r="P28" s="260"/>
      <c r="Q28" s="260"/>
      <c r="R28" s="260"/>
      <c r="S28" s="260"/>
      <c r="T28" s="156"/>
      <c r="U28"/>
    </row>
    <row r="29" spans="1:47" outlineLevel="1" x14ac:dyDescent="0.2">
      <c r="F29"/>
      <c r="G29" s="29"/>
      <c r="H29" s="29"/>
      <c r="I29"/>
      <c r="U29"/>
    </row>
    <row r="30" spans="1:47" outlineLevel="1" x14ac:dyDescent="0.2">
      <c r="C30" s="26" t="s">
        <v>38</v>
      </c>
      <c r="D30" s="27" t="s">
        <v>90</v>
      </c>
      <c r="E30" s="27" t="s">
        <v>27</v>
      </c>
      <c r="F30" s="27" t="s">
        <v>35</v>
      </c>
      <c r="I30"/>
      <c r="J30" s="248" t="str">
        <f t="shared" ref="J30:T30" si="5">IF(J22=J4,IF(COUNTA($C24:$C28)=COUNT(J24:J28),"Ok","Check"),"")</f>
        <v/>
      </c>
      <c r="K30" s="248" t="str">
        <f t="shared" si="5"/>
        <v/>
      </c>
      <c r="L30" s="248" t="str">
        <f t="shared" si="5"/>
        <v/>
      </c>
      <c r="M30" s="248" t="str">
        <f t="shared" si="5"/>
        <v/>
      </c>
      <c r="N30" s="248" t="str">
        <f t="shared" si="5"/>
        <v/>
      </c>
      <c r="O30" s="248" t="str">
        <f t="shared" si="5"/>
        <v>Ok</v>
      </c>
      <c r="P30" s="248" t="str">
        <f t="shared" si="5"/>
        <v>Ok</v>
      </c>
      <c r="Q30" s="248" t="str">
        <f t="shared" si="5"/>
        <v>Ok</v>
      </c>
      <c r="R30" s="248" t="str">
        <f t="shared" si="5"/>
        <v>Ok</v>
      </c>
      <c r="S30" s="248" t="str">
        <f t="shared" si="5"/>
        <v>Ok</v>
      </c>
      <c r="T30" s="248" t="str">
        <f t="shared" si="5"/>
        <v/>
      </c>
      <c r="U30"/>
      <c r="W30" s="247" t="str">
        <f>IF(COUNTIF(J30:T30,"Check")=0,"Ok","Check")</f>
        <v>Ok</v>
      </c>
    </row>
    <row r="31" spans="1:47" x14ac:dyDescent="0.2">
      <c r="F31"/>
      <c r="G31" s="29"/>
      <c r="H31" s="29"/>
      <c r="I31"/>
      <c r="U31"/>
    </row>
    <row r="32" spans="1:47" s="98" customFormat="1" ht="12.75" x14ac:dyDescent="0.2">
      <c r="A32" s="89"/>
      <c r="B32" s="90" t="s">
        <v>42</v>
      </c>
      <c r="C32" s="89"/>
      <c r="D32" s="89"/>
      <c r="E32" s="89"/>
      <c r="F32" s="91"/>
      <c r="G32" s="91"/>
      <c r="H32" s="91"/>
      <c r="I32" s="91"/>
      <c r="J32" s="92"/>
      <c r="K32" s="93"/>
      <c r="L32" s="92"/>
      <c r="M32" s="93"/>
      <c r="N32" s="92"/>
      <c r="O32" s="92"/>
      <c r="P32" s="92"/>
      <c r="Q32" s="92"/>
      <c r="R32" s="92"/>
      <c r="S32" s="92"/>
      <c r="T32" s="92"/>
      <c r="U32" s="92"/>
      <c r="V32" s="93"/>
      <c r="W32" s="93"/>
      <c r="X32" s="94"/>
      <c r="Y32" s="94"/>
      <c r="Z32" s="94"/>
      <c r="AA32" s="94"/>
      <c r="AB32" s="95"/>
      <c r="AC32" s="96"/>
      <c r="AD32" s="96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</row>
    <row r="33" spans="1:47" outlineLevel="1" x14ac:dyDescent="0.2">
      <c r="G33" s="29"/>
      <c r="H33" s="29"/>
    </row>
    <row r="34" spans="1:47" outlineLevel="1" x14ac:dyDescent="0.2">
      <c r="C34" s="63" t="s">
        <v>31</v>
      </c>
      <c r="D34" s="29" t="s">
        <v>7</v>
      </c>
      <c r="E34" s="29" t="s">
        <v>8</v>
      </c>
      <c r="F34" s="29" t="s">
        <v>22</v>
      </c>
      <c r="G34" s="29"/>
      <c r="H34" s="29"/>
      <c r="J34" s="220" t="str">
        <f t="shared" ref="J34:T34" si="6">IF(YEAR(J$4)&gt;=FPFirstYear,IF(YEAR(J$4)&lt;=FPLastYear,J$4,""),"")</f>
        <v/>
      </c>
      <c r="K34" s="220" t="str">
        <f t="shared" si="6"/>
        <v/>
      </c>
      <c r="L34" s="220" t="str">
        <f t="shared" si="6"/>
        <v/>
      </c>
      <c r="M34" s="220" t="str">
        <f t="shared" si="6"/>
        <v/>
      </c>
      <c r="N34" s="220" t="str">
        <f t="shared" si="6"/>
        <v/>
      </c>
      <c r="O34" s="220">
        <f t="shared" si="6"/>
        <v>46174</v>
      </c>
      <c r="P34" s="220">
        <f t="shared" si="6"/>
        <v>46539</v>
      </c>
      <c r="Q34" s="220">
        <f t="shared" si="6"/>
        <v>46905</v>
      </c>
      <c r="R34" s="220">
        <f t="shared" si="6"/>
        <v>47270</v>
      </c>
      <c r="S34" s="220">
        <f t="shared" si="6"/>
        <v>47635</v>
      </c>
      <c r="T34" s="220" t="str">
        <f t="shared" si="6"/>
        <v/>
      </c>
    </row>
    <row r="35" spans="1:47" outlineLevel="1" x14ac:dyDescent="0.2">
      <c r="G35" s="29"/>
      <c r="H35" s="29"/>
    </row>
    <row r="36" spans="1:47" outlineLevel="1" x14ac:dyDescent="0.2">
      <c r="C36" s="259" t="s">
        <v>186</v>
      </c>
      <c r="D36" s="27" t="s">
        <v>65</v>
      </c>
      <c r="E36" s="100" t="s">
        <v>15</v>
      </c>
      <c r="F36" s="192">
        <f>DATE(PPLastYear,MONTH('Input|General'!$G$9),1)</f>
        <v>45809</v>
      </c>
      <c r="G36" s="29"/>
      <c r="H36" s="29"/>
      <c r="I36"/>
      <c r="J36" s="156"/>
      <c r="K36" s="156"/>
      <c r="L36" s="156"/>
      <c r="M36" s="156"/>
      <c r="N36" s="156"/>
      <c r="O36" s="294">
        <f ca="1">+'[2]PTRM input'!G$340</f>
        <v>1.9854633653473015</v>
      </c>
      <c r="P36" s="294">
        <f ca="1">+'[2]PTRM input'!H$340</f>
        <v>1.9679109275037572</v>
      </c>
      <c r="Q36" s="294">
        <f ca="1">+'[2]PTRM input'!I$340</f>
        <v>1.957346614987312</v>
      </c>
      <c r="R36" s="294">
        <f ca="1">+'[2]PTRM input'!J$340</f>
        <v>1.9286063766568553</v>
      </c>
      <c r="S36" s="294">
        <f ca="1">+'[2]PTRM input'!K$340</f>
        <v>1.8739932499448937</v>
      </c>
      <c r="T36" s="156"/>
    </row>
    <row r="37" spans="1:47" outlineLevel="1" x14ac:dyDescent="0.2">
      <c r="G37" s="29"/>
      <c r="H37" s="29"/>
      <c r="I37"/>
    </row>
    <row r="38" spans="1:47" outlineLevel="1" x14ac:dyDescent="0.2">
      <c r="C38" s="26" t="s">
        <v>38</v>
      </c>
      <c r="D38" s="27" t="s">
        <v>90</v>
      </c>
      <c r="E38" s="27" t="s">
        <v>27</v>
      </c>
      <c r="F38" s="27" t="s">
        <v>35</v>
      </c>
      <c r="I38"/>
      <c r="J38" s="248" t="str">
        <f t="shared" ref="J38:T38" si="7">IF(J34=J4,IF(ISBLANK(J36),"Check","Ok"),"")</f>
        <v/>
      </c>
      <c r="K38" s="248" t="str">
        <f t="shared" si="7"/>
        <v/>
      </c>
      <c r="L38" s="248" t="str">
        <f t="shared" si="7"/>
        <v/>
      </c>
      <c r="M38" s="248" t="str">
        <f t="shared" si="7"/>
        <v/>
      </c>
      <c r="N38" s="248" t="str">
        <f t="shared" si="7"/>
        <v/>
      </c>
      <c r="O38" s="248" t="str">
        <f t="shared" ca="1" si="7"/>
        <v>Ok</v>
      </c>
      <c r="P38" s="248" t="str">
        <f t="shared" ca="1" si="7"/>
        <v>Ok</v>
      </c>
      <c r="Q38" s="248" t="str">
        <f t="shared" ca="1" si="7"/>
        <v>Ok</v>
      </c>
      <c r="R38" s="248" t="str">
        <f t="shared" ca="1" si="7"/>
        <v>Ok</v>
      </c>
      <c r="S38" s="248" t="str">
        <f t="shared" ca="1" si="7"/>
        <v>Ok</v>
      </c>
      <c r="T38" s="248" t="str">
        <f t="shared" si="7"/>
        <v/>
      </c>
      <c r="U38" s="22"/>
      <c r="W38" s="247" t="str">
        <f ca="1">IF(COUNTIF(J38:T38,"Check")=0,"Ok","Check")</f>
        <v>Ok</v>
      </c>
    </row>
    <row r="39" spans="1:47" x14ac:dyDescent="0.2">
      <c r="F39"/>
      <c r="G39" s="29"/>
      <c r="H39" s="29"/>
      <c r="I39"/>
      <c r="U39"/>
    </row>
    <row r="40" spans="1:47" s="98" customFormat="1" ht="12.75" x14ac:dyDescent="0.2">
      <c r="A40" s="89"/>
      <c r="B40" s="90" t="s">
        <v>21</v>
      </c>
      <c r="C40" s="89"/>
      <c r="D40" s="89"/>
      <c r="E40" s="89"/>
      <c r="F40" s="91"/>
      <c r="G40" s="91"/>
      <c r="H40" s="91"/>
      <c r="I40" s="91"/>
      <c r="J40" s="92"/>
      <c r="K40" s="93"/>
      <c r="L40" s="92"/>
      <c r="M40" s="93"/>
      <c r="N40" s="92"/>
      <c r="O40" s="92"/>
      <c r="P40" s="92"/>
      <c r="Q40" s="92"/>
      <c r="R40" s="92"/>
      <c r="S40" s="92"/>
      <c r="T40" s="92"/>
      <c r="U40" s="92"/>
      <c r="V40" s="93"/>
      <c r="W40" s="93"/>
      <c r="X40" s="94"/>
      <c r="Y40" s="94"/>
      <c r="Z40" s="94"/>
      <c r="AA40" s="94"/>
      <c r="AB40" s="95"/>
      <c r="AC40" s="96"/>
      <c r="AD40" s="96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</row>
    <row r="41" spans="1:47" hidden="1" x14ac:dyDescent="0.2">
      <c r="G41" s="29"/>
      <c r="H41" s="29"/>
    </row>
    <row r="42" spans="1:47" hidden="1" x14ac:dyDescent="0.2">
      <c r="G42" s="29"/>
      <c r="H42" s="29"/>
    </row>
    <row r="43" spans="1:47" hidden="1" x14ac:dyDescent="0.2">
      <c r="G43" s="29"/>
      <c r="H43" s="29"/>
    </row>
    <row r="44" spans="1:47" hidden="1" x14ac:dyDescent="0.2">
      <c r="G44" s="29"/>
      <c r="H44" s="29"/>
    </row>
    <row r="45" spans="1:47" hidden="1" x14ac:dyDescent="0.2">
      <c r="G45" s="29"/>
      <c r="H45" s="29"/>
    </row>
    <row r="46" spans="1:47" hidden="1" x14ac:dyDescent="0.2">
      <c r="G46" s="29"/>
      <c r="H46" s="29"/>
    </row>
    <row r="47" spans="1:47" hidden="1" x14ac:dyDescent="0.2">
      <c r="G47" s="29"/>
      <c r="H47" s="29"/>
    </row>
    <row r="48" spans="1:47" hidden="1" x14ac:dyDescent="0.2">
      <c r="G48" s="29"/>
      <c r="H48" s="29"/>
    </row>
    <row r="49" spans="7:8" hidden="1" x14ac:dyDescent="0.2">
      <c r="G49" s="29"/>
      <c r="H49" s="29"/>
    </row>
    <row r="50" spans="7:8" hidden="1" x14ac:dyDescent="0.2">
      <c r="G50" s="29"/>
      <c r="H50" s="29"/>
    </row>
    <row r="51" spans="7:8" x14ac:dyDescent="0.2"/>
    <row r="52" spans="7:8" x14ac:dyDescent="0.2"/>
    <row r="53" spans="7:8" x14ac:dyDescent="0.2"/>
    <row r="54" spans="7:8" x14ac:dyDescent="0.2"/>
    <row r="55" spans="7:8" x14ac:dyDescent="0.2"/>
    <row r="56" spans="7:8" x14ac:dyDescent="0.2"/>
    <row r="57" spans="7:8" x14ac:dyDescent="0.2"/>
    <row r="58" spans="7:8" x14ac:dyDescent="0.2"/>
    <row r="59" spans="7:8" x14ac:dyDescent="0.2"/>
    <row r="60" spans="7:8" x14ac:dyDescent="0.2"/>
    <row r="61" spans="7:8" x14ac:dyDescent="0.2"/>
    <row r="62" spans="7:8" x14ac:dyDescent="0.2"/>
    <row r="63" spans="7:8" x14ac:dyDescent="0.2"/>
    <row r="64" spans="7:8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1">
    <mergeCell ref="N3:S3"/>
  </mergeCells>
  <conditionalFormatting sqref="S1">
    <cfRule type="cellIs" dxfId="128" priority="35" operator="equal">
      <formula>"Check"</formula>
    </cfRule>
    <cfRule type="cellIs" dxfId="127" priority="36" operator="equal">
      <formula>"Ok"</formula>
    </cfRule>
  </conditionalFormatting>
  <conditionalFormatting sqref="V1">
    <cfRule type="cellIs" dxfId="126" priority="37" operator="equal">
      <formula>"Check"</formula>
    </cfRule>
    <cfRule type="cellIs" dxfId="125" priority="38" operator="equal">
      <formula>"Ok"</formula>
    </cfRule>
  </conditionalFormatting>
  <conditionalFormatting sqref="J10:T10">
    <cfRule type="expression" dxfId="124" priority="33">
      <formula>J$10=J$4</formula>
    </cfRule>
  </conditionalFormatting>
  <conditionalFormatting sqref="T12:T16 J12:N16">
    <cfRule type="expression" dxfId="123" priority="32">
      <formula>J$10=J$4</formula>
    </cfRule>
  </conditionalFormatting>
  <conditionalFormatting sqref="W18">
    <cfRule type="cellIs" dxfId="122" priority="28" operator="equal">
      <formula>"Check"</formula>
    </cfRule>
    <cfRule type="cellIs" dxfId="121" priority="29" operator="equal">
      <formula>"Ok"</formula>
    </cfRule>
  </conditionalFormatting>
  <conditionalFormatting sqref="J18:T18">
    <cfRule type="cellIs" dxfId="120" priority="26" operator="equal">
      <formula>"Check"</formula>
    </cfRule>
    <cfRule type="cellIs" dxfId="119" priority="27" operator="equal">
      <formula>"Ok"</formula>
    </cfRule>
  </conditionalFormatting>
  <conditionalFormatting sqref="W30">
    <cfRule type="cellIs" dxfId="118" priority="24" operator="equal">
      <formula>"Check"</formula>
    </cfRule>
    <cfRule type="cellIs" dxfId="117" priority="25" operator="equal">
      <formula>"Ok"</formula>
    </cfRule>
  </conditionalFormatting>
  <conditionalFormatting sqref="J30:T30">
    <cfRule type="cellIs" dxfId="116" priority="22" operator="equal">
      <formula>"Check"</formula>
    </cfRule>
    <cfRule type="cellIs" dxfId="115" priority="23" operator="equal">
      <formula>"Ok"</formula>
    </cfRule>
  </conditionalFormatting>
  <conditionalFormatting sqref="W38">
    <cfRule type="cellIs" dxfId="114" priority="19" operator="equal">
      <formula>"Check"</formula>
    </cfRule>
    <cfRule type="cellIs" dxfId="113" priority="20" operator="equal">
      <formula>"Ok"</formula>
    </cfRule>
  </conditionalFormatting>
  <conditionalFormatting sqref="J38:T38">
    <cfRule type="cellIs" dxfId="112" priority="17" operator="equal">
      <formula>"Check"</formula>
    </cfRule>
    <cfRule type="cellIs" dxfId="111" priority="18" operator="equal">
      <formula>"Ok"</formula>
    </cfRule>
  </conditionalFormatting>
  <conditionalFormatting sqref="T24:T28">
    <cfRule type="expression" dxfId="110" priority="16">
      <formula>T$10=T$4</formula>
    </cfRule>
  </conditionalFormatting>
  <conditionalFormatting sqref="N27:N28">
    <cfRule type="expression" dxfId="109" priority="15">
      <formula>N$10=N$4</formula>
    </cfRule>
  </conditionalFormatting>
  <conditionalFormatting sqref="O22:T22">
    <cfRule type="expression" dxfId="108" priority="11">
      <formula>O$10=O$4</formula>
    </cfRule>
  </conditionalFormatting>
  <conditionalFormatting sqref="J34:T34">
    <cfRule type="expression" dxfId="107" priority="10">
      <formula>J$10=J$4</formula>
    </cfRule>
  </conditionalFormatting>
  <conditionalFormatting sqref="J27:M28">
    <cfRule type="expression" dxfId="106" priority="210">
      <formula>J$22=J$4</formula>
    </cfRule>
  </conditionalFormatting>
  <conditionalFormatting sqref="J36:N36 T36">
    <cfRule type="expression" dxfId="105" priority="211">
      <formula>J$34=J$4</formula>
    </cfRule>
  </conditionalFormatting>
  <hyperlinks>
    <hyperlink ref="J1" location="Index!A1" display="Back to Index" xr:uid="{00000000-0004-0000-0500-000000000000}"/>
    <hyperlink ref="U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'Lookup|Tables'!$G$10:$G$12</xm:f>
          </x14:formula1>
          <xm:sqref>E36 E24:E28 E12:E17</xm:sqref>
        </x14:dataValidation>
        <x14:dataValidation type="list" allowBlank="1" showInputMessage="1" showErrorMessage="1" xr:uid="{00000000-0002-0000-0500-000003000000}">
          <x14:formula1>
            <xm:f>'Lookup|Tables'!$C$67:$C$76</xm:f>
          </x14:formula1>
          <xm:sqref>F17</xm:sqref>
        </x14:dataValidation>
        <x14:dataValidation type="list" allowBlank="1" showInputMessage="1" showErrorMessage="1" xr:uid="{00000000-0002-0000-0500-000004000000}">
          <x14:formula1>
            <xm:f>'Lookup|Tables'!$H$41:$H$60</xm:f>
          </x14:formula1>
          <xm:sqref>F36 F24:F28 F12:F16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  <outlinePr summaryBelow="0" summaryRight="0"/>
  </sheetPr>
  <dimension ref="A1:AV213"/>
  <sheetViews>
    <sheetView showGridLines="0" zoomScaleNormal="100" workbookViewId="0"/>
  </sheetViews>
  <sheetFormatPr defaultColWidth="0" defaultRowHeight="11.25" zeroHeight="1" outlineLevelRow="1" x14ac:dyDescent="0.2"/>
  <cols>
    <col min="1" max="2" width="1.5" style="26" customWidth="1"/>
    <col min="3" max="3" width="76.5" style="26" bestFit="1" customWidth="1"/>
    <col min="4" max="4" width="27.6640625" style="27" customWidth="1"/>
    <col min="5" max="5" width="15.83203125" style="27" customWidth="1"/>
    <col min="6" max="6" width="10.6640625" style="27" customWidth="1"/>
    <col min="7" max="9" width="3.5" style="27" customWidth="1"/>
    <col min="10" max="24" width="10.83203125" style="26" customWidth="1"/>
    <col min="25" max="39" width="10.5" style="26" hidden="1" customWidth="1"/>
    <col min="40" max="16384" width="10.5" style="26" hidden="1"/>
  </cols>
  <sheetData>
    <row r="1" spans="1:48" s="64" customFormat="1" ht="15.75" x14ac:dyDescent="0.25">
      <c r="B1" s="215" t="str">
        <f>Index!$B$1</f>
        <v>AER opex model v1.8</v>
      </c>
      <c r="C1" s="65"/>
      <c r="D1" s="65"/>
      <c r="E1" s="65"/>
      <c r="F1" s="66"/>
      <c r="G1" s="66"/>
      <c r="H1" s="66"/>
      <c r="I1" s="66"/>
      <c r="J1" s="34" t="s">
        <v>2</v>
      </c>
      <c r="L1" s="67" t="s">
        <v>3</v>
      </c>
      <c r="M1" s="68" t="s">
        <v>4</v>
      </c>
      <c r="N1" s="69" t="s">
        <v>5</v>
      </c>
      <c r="O1" s="70" t="s">
        <v>6</v>
      </c>
      <c r="R1" s="67" t="s">
        <v>74</v>
      </c>
      <c r="S1" s="71" t="s">
        <v>35</v>
      </c>
      <c r="T1" s="71"/>
      <c r="V1" s="170" t="s">
        <v>24</v>
      </c>
      <c r="W1" s="217" t="str">
        <f ca="1">'Check|List'!$S$1</f>
        <v>Ok</v>
      </c>
    </row>
    <row r="2" spans="1:48" s="72" customFormat="1" ht="13.5" thickBot="1" x14ac:dyDescent="0.25">
      <c r="B2" s="216" t="str">
        <f>+Index!C13</f>
        <v>Calc|Opex forecast</v>
      </c>
      <c r="C2" s="73"/>
      <c r="D2" s="73"/>
      <c r="E2" s="73"/>
      <c r="F2" s="74"/>
      <c r="G2" s="74"/>
      <c r="H2" s="74"/>
      <c r="I2" s="74"/>
    </row>
    <row r="3" spans="1:48" s="75" customFormat="1" x14ac:dyDescent="0.2">
      <c r="C3" s="76"/>
      <c r="D3" s="165"/>
      <c r="E3" s="165"/>
      <c r="F3" s="165"/>
      <c r="G3" s="165"/>
      <c r="H3" s="165"/>
      <c r="I3" s="165"/>
      <c r="J3" s="158" t="s">
        <v>110</v>
      </c>
      <c r="K3" s="158"/>
      <c r="L3" s="158"/>
      <c r="M3" s="165"/>
      <c r="N3" s="295"/>
      <c r="O3" s="295"/>
      <c r="P3" s="295"/>
      <c r="Q3" s="295"/>
      <c r="R3" s="295"/>
      <c r="S3" s="295"/>
      <c r="T3" s="202"/>
      <c r="U3" s="77"/>
      <c r="V3" s="77"/>
      <c r="W3" s="77"/>
      <c r="X3" s="77"/>
      <c r="Y3" s="77"/>
      <c r="Z3" s="77"/>
      <c r="AA3" s="77"/>
    </row>
    <row r="4" spans="1:48" s="98" customFormat="1" x14ac:dyDescent="0.2">
      <c r="A4" s="78"/>
      <c r="B4" s="78"/>
      <c r="C4" s="78"/>
      <c r="D4" s="79" t="s">
        <v>7</v>
      </c>
      <c r="E4" s="79" t="s">
        <v>8</v>
      </c>
      <c r="F4" s="80" t="s">
        <v>22</v>
      </c>
      <c r="G4" s="81"/>
      <c r="H4" s="81"/>
      <c r="I4" s="81"/>
      <c r="J4" s="218">
        <f>DATE(PPFirstYear,MONTH('Input|General'!$G$9),1)</f>
        <v>44348</v>
      </c>
      <c r="K4" s="218">
        <f>DATE(PPFirstYear+1,MONTH('Input|General'!$G$9),1)</f>
        <v>44713</v>
      </c>
      <c r="L4" s="218">
        <f>DATE(PPFirstYear+2,MONTH('Input|General'!$G$9),1)</f>
        <v>45078</v>
      </c>
      <c r="M4" s="218">
        <f>DATE(PPFirstYear+3,MONTH('Input|General'!$G$9),1)</f>
        <v>45444</v>
      </c>
      <c r="N4" s="218">
        <f>DATE(PPFirstYear+4,MONTH('Input|General'!$G$9),1)</f>
        <v>45809</v>
      </c>
      <c r="O4" s="218">
        <f>DATE(PPFirstYear+5,MONTH('Input|General'!$G$9),1)</f>
        <v>46174</v>
      </c>
      <c r="P4" s="218">
        <f>DATE(PPFirstYear+6,MONTH('Input|General'!$G$9),1)</f>
        <v>46539</v>
      </c>
      <c r="Q4" s="218">
        <f>DATE(PPFirstYear+7,MONTH('Input|General'!$G$9),1)</f>
        <v>46905</v>
      </c>
      <c r="R4" s="218">
        <f>DATE(PPFirstYear+8,MONTH('Input|General'!$G$9),1)</f>
        <v>47270</v>
      </c>
      <c r="S4" s="218">
        <f>DATE(PPFirstYear+9,MONTH('Input|General'!$G$9),1)</f>
        <v>47635</v>
      </c>
      <c r="T4" s="218">
        <f>DATE(PPFirstYear+10,MONTH('Input|General'!$G$9),1)</f>
        <v>48000</v>
      </c>
      <c r="U4" s="82"/>
      <c r="V4" s="82"/>
      <c r="W4" s="83"/>
      <c r="X4" s="83"/>
    </row>
    <row r="5" spans="1:48" s="24" customFormat="1" ht="3.2" customHeight="1" x14ac:dyDescent="0.2">
      <c r="D5" s="25"/>
      <c r="E5" s="25"/>
      <c r="F5" s="25"/>
      <c r="G5" s="25"/>
      <c r="H5" s="25"/>
      <c r="I5" s="25"/>
    </row>
    <row r="6" spans="1:48" s="24" customFormat="1" ht="9" customHeight="1" x14ac:dyDescent="0.2">
      <c r="D6" s="25"/>
      <c r="E6" s="25"/>
      <c r="F6" s="25"/>
      <c r="G6" s="25"/>
      <c r="H6" s="25"/>
      <c r="I6" s="25"/>
    </row>
    <row r="7" spans="1:48" s="24" customFormat="1" ht="3.2" customHeight="1" x14ac:dyDescent="0.2">
      <c r="D7" s="25"/>
      <c r="E7" s="25"/>
      <c r="F7" s="25"/>
      <c r="G7" s="25"/>
      <c r="H7" s="25"/>
      <c r="I7" s="25"/>
    </row>
    <row r="8" spans="1:48" s="98" customFormat="1" ht="12.75" x14ac:dyDescent="0.2">
      <c r="A8" s="89"/>
      <c r="B8" s="90" t="s">
        <v>78</v>
      </c>
      <c r="C8" s="89"/>
      <c r="D8" s="89"/>
      <c r="E8" s="219" t="s">
        <v>15</v>
      </c>
      <c r="F8" s="188">
        <f>DATE(PPLastYear,MONTH('Input|General'!$G$9),1)</f>
        <v>45809</v>
      </c>
      <c r="G8" s="91"/>
      <c r="H8" s="91"/>
      <c r="I8" s="91"/>
      <c r="J8" s="92"/>
      <c r="K8" s="93"/>
      <c r="L8" s="92"/>
      <c r="M8" s="93"/>
      <c r="N8" s="92"/>
      <c r="O8" s="92"/>
      <c r="P8" s="92"/>
      <c r="Q8" s="92"/>
      <c r="R8" s="92"/>
      <c r="S8" s="92"/>
      <c r="T8" s="92"/>
      <c r="U8" s="92"/>
      <c r="V8" s="92"/>
      <c r="W8" s="93"/>
      <c r="X8" s="93"/>
      <c r="Y8" s="94"/>
      <c r="Z8" s="94"/>
      <c r="AA8" s="94"/>
      <c r="AB8" s="94"/>
      <c r="AC8" s="95"/>
      <c r="AD8" s="96"/>
      <c r="AE8" s="96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</row>
    <row r="9" spans="1:48" outlineLevel="1" x14ac:dyDescent="0.2"/>
    <row r="10" spans="1:48" outlineLevel="1" x14ac:dyDescent="0.2">
      <c r="C10" s="99"/>
      <c r="D10" s="29" t="s">
        <v>7</v>
      </c>
      <c r="E10" s="29" t="s">
        <v>8</v>
      </c>
      <c r="F10" s="29" t="s">
        <v>22</v>
      </c>
      <c r="G10" s="100"/>
      <c r="H10" s="100"/>
      <c r="I10" s="100"/>
      <c r="J10" s="220">
        <f t="shared" ref="J10:S10" si="0">IF(YEAR(J$4)&lt;=PPLastYear,J$4,"")</f>
        <v>44348</v>
      </c>
      <c r="K10" s="220">
        <f t="shared" si="0"/>
        <v>44713</v>
      </c>
      <c r="L10" s="220">
        <f t="shared" si="0"/>
        <v>45078</v>
      </c>
      <c r="M10" s="220">
        <f t="shared" si="0"/>
        <v>45444</v>
      </c>
      <c r="N10" s="220">
        <f t="shared" si="0"/>
        <v>45809</v>
      </c>
      <c r="O10" s="220" t="str">
        <f t="shared" si="0"/>
        <v/>
      </c>
      <c r="P10" s="220" t="str">
        <f t="shared" si="0"/>
        <v/>
      </c>
      <c r="Q10" s="220" t="str">
        <f t="shared" si="0"/>
        <v/>
      </c>
      <c r="R10" s="220" t="str">
        <f t="shared" si="0"/>
        <v/>
      </c>
      <c r="S10" s="220" t="str">
        <f t="shared" si="0"/>
        <v/>
      </c>
      <c r="T10" s="151"/>
    </row>
    <row r="11" spans="1:48" outlineLevel="1" x14ac:dyDescent="0.2">
      <c r="C11" s="101"/>
      <c r="J11" s="102"/>
      <c r="K11" s="102"/>
      <c r="L11" s="102"/>
      <c r="M11"/>
      <c r="N11"/>
      <c r="O11" s="102"/>
      <c r="P11" s="102"/>
      <c r="Q11" s="102"/>
      <c r="R11" s="102"/>
      <c r="S11" s="102"/>
      <c r="T11" s="102"/>
    </row>
    <row r="12" spans="1:48" outlineLevel="1" x14ac:dyDescent="0.2">
      <c r="C12" s="101" t="s">
        <v>151</v>
      </c>
      <c r="D12" s="104" t="s">
        <v>84</v>
      </c>
      <c r="E12" s="100" t="str">
        <f>'Input|Reported opex'!E57</f>
        <v>$millions</v>
      </c>
      <c r="F12" s="221" t="str">
        <f>'Input|Reported opex'!F57</f>
        <v>nominal</v>
      </c>
      <c r="J12" s="211">
        <f>IF(YEAR(J$4)=BaseYear,
'Input|Reported opex'!J47,
0)</f>
        <v>0</v>
      </c>
      <c r="K12" s="211">
        <f>IF(YEAR(K$4)=BaseYear,
'Input|Reported opex'!K47,
0)</f>
        <v>0</v>
      </c>
      <c r="L12" s="211">
        <f>IF(YEAR(L$4)=BaseYear,
'Input|Reported opex'!L47,
0)</f>
        <v>0</v>
      </c>
      <c r="M12" s="211">
        <f>IF(YEAR(M$4)=BaseYear,
'Input|Reported opex'!M47,
0)</f>
        <v>256.07123189999982</v>
      </c>
      <c r="N12" s="211">
        <f>IF(YEAR(N$4)=BaseYear,
'Input|Reported opex'!N47,
0)</f>
        <v>0</v>
      </c>
      <c r="O12" s="211">
        <f>IF(YEAR(O$4)=BaseYear,
'Input|Reported opex'!O47,
0)</f>
        <v>0</v>
      </c>
      <c r="P12" s="211">
        <f>IF(YEAR(P$4)=BaseYear,
'Input|Reported opex'!P47,
0)</f>
        <v>0</v>
      </c>
      <c r="Q12" s="211">
        <f>IF(YEAR(Q$4)=BaseYear,
'Input|Reported opex'!Q47,
0)</f>
        <v>0</v>
      </c>
      <c r="R12" s="211">
        <f>IF(YEAR(R$4)=BaseYear,
'Input|Reported opex'!R47,
0)</f>
        <v>0</v>
      </c>
      <c r="S12" s="211">
        <f>IF(YEAR(S$4)=BaseYear,
'Input|Reported opex'!S47,
0)</f>
        <v>0</v>
      </c>
      <c r="T12" s="211">
        <f>IF(YEAR(T$4)=BaseYear,
'Input|Reported opex'!T47,
0)</f>
        <v>0</v>
      </c>
    </row>
    <row r="13" spans="1:48" outlineLevel="1" x14ac:dyDescent="0.2">
      <c r="C13" s="101" t="s">
        <v>151</v>
      </c>
      <c r="D13" s="104" t="s">
        <v>29</v>
      </c>
      <c r="E13" s="100" t="str">
        <f>$E$8</f>
        <v>$millions</v>
      </c>
      <c r="F13" s="221">
        <f>$F$8</f>
        <v>45809</v>
      </c>
      <c r="J13" s="211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211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211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211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268.33023859249289</v>
      </c>
      <c r="N13" s="211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211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211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211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211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211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211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8" outlineLevel="1" x14ac:dyDescent="0.2">
      <c r="C14" s="105" t="s">
        <v>152</v>
      </c>
      <c r="D14" s="104" t="s">
        <v>84</v>
      </c>
      <c r="E14" s="100" t="str">
        <f>'Input|Reported opex'!E15</f>
        <v>$millions</v>
      </c>
      <c r="F14" s="221">
        <f>'Input|Reported opex'!F15</f>
        <v>43983</v>
      </c>
      <c r="J14" s="211">
        <f>IF(YEAR(J$4)=BaseYear,
'Input|Reported opex'!J15,
0)</f>
        <v>0</v>
      </c>
      <c r="K14" s="211">
        <f>IF(YEAR(K$4)=BaseYear,
'Input|Reported opex'!K15,
0)</f>
        <v>0</v>
      </c>
      <c r="L14" s="211">
        <f>IF(YEAR(L$4)=BaseYear,
'Input|Reported opex'!L15,
0)</f>
        <v>0</v>
      </c>
      <c r="M14" s="211">
        <f>IF(YEAR(M$4)=BaseYear,
'Input|Reported opex'!M15,
0)</f>
        <v>222.59951234345334</v>
      </c>
      <c r="N14" s="211">
        <f>IF(YEAR(N$4)=BaseYear,
'Input|Reported opex'!N15,
0)</f>
        <v>0</v>
      </c>
      <c r="O14" s="211">
        <f>IF(YEAR(O$4)=BaseYear,
'Input|Reported opex'!O15,
0)</f>
        <v>0</v>
      </c>
      <c r="P14" s="211">
        <f>IF(YEAR(P$4)=BaseYear,
'Input|Reported opex'!P15,
0)</f>
        <v>0</v>
      </c>
      <c r="Q14" s="211">
        <f>IF(YEAR(Q$4)=BaseYear,
'Input|Reported opex'!Q15,
0)</f>
        <v>0</v>
      </c>
      <c r="R14" s="211">
        <f>IF(YEAR(R$4)=BaseYear,
'Input|Reported opex'!R15,
0)</f>
        <v>0</v>
      </c>
      <c r="S14" s="211">
        <f>IF(YEAR(S$4)=BaseYear,
'Input|Reported opex'!S15,
0)</f>
        <v>0</v>
      </c>
      <c r="T14" s="211">
        <f>IF(YEAR(T$4)=BaseYear,
'Input|Reported opex'!T15,
0)</f>
        <v>0</v>
      </c>
    </row>
    <row r="15" spans="1:48" outlineLevel="1" x14ac:dyDescent="0.2">
      <c r="C15" s="105" t="s">
        <v>152</v>
      </c>
      <c r="D15" s="104" t="s">
        <v>29</v>
      </c>
      <c r="E15" s="100" t="str">
        <f>$E$8</f>
        <v>$millions</v>
      </c>
      <c r="F15" s="221">
        <f>$F$8</f>
        <v>45809</v>
      </c>
      <c r="J15" s="211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211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211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211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277.06940889948334</v>
      </c>
      <c r="N15" s="211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211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211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211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211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211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211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48" outlineLevel="1" x14ac:dyDescent="0.2">
      <c r="C16" s="105" t="s">
        <v>153</v>
      </c>
      <c r="D16" s="104" t="s">
        <v>84</v>
      </c>
      <c r="E16" s="100" t="str">
        <f>'Input|Reported opex'!E15</f>
        <v>$millions</v>
      </c>
      <c r="F16" s="221">
        <f>'Input|Reported opex'!F15</f>
        <v>43983</v>
      </c>
      <c r="J16" s="211">
        <f>IF(YEAR(J$4)=PPLastYear,
'Input|Reported opex'!J15,
0)</f>
        <v>0</v>
      </c>
      <c r="K16" s="211">
        <f>IF(YEAR(K$4)=PPLastYear,
'Input|Reported opex'!K15,
0)</f>
        <v>0</v>
      </c>
      <c r="L16" s="211">
        <f>IF(YEAR(L$4)=PPLastYear,
'Input|Reported opex'!L15,
0)</f>
        <v>0</v>
      </c>
      <c r="M16" s="211">
        <f>IF(YEAR(M$4)=PPLastYear,
'Input|Reported opex'!M15,
0)</f>
        <v>0</v>
      </c>
      <c r="N16" s="211">
        <f>IF(YEAR(N$4)=PPLastYear,
'Input|Reported opex'!N15,
0)</f>
        <v>226.21971960316168</v>
      </c>
      <c r="O16" s="211">
        <f>IF(YEAR(O$4)=PPLastYear,
'Input|Reported opex'!O15,
0)</f>
        <v>0</v>
      </c>
      <c r="P16" s="211">
        <f>IF(YEAR(P$4)=PPLastYear,
'Input|Reported opex'!P15,
0)</f>
        <v>0</v>
      </c>
      <c r="Q16" s="211">
        <f>IF(YEAR(Q$4)=PPLastYear,
'Input|Reported opex'!Q15,
0)</f>
        <v>0</v>
      </c>
      <c r="R16" s="211">
        <f>IF(YEAR(R$4)=PPLastYear,
'Input|Reported opex'!R15,
0)</f>
        <v>0</v>
      </c>
      <c r="S16" s="211">
        <f>IF(YEAR(S$4)=PPLastYear,
'Input|Reported opex'!S15,
0)</f>
        <v>0</v>
      </c>
      <c r="T16" s="211">
        <f>IF(YEAR(T$4)=PPLastYear,
'Input|Reported opex'!T15,
0)</f>
        <v>0</v>
      </c>
    </row>
    <row r="17" spans="3:20" outlineLevel="1" x14ac:dyDescent="0.2">
      <c r="C17" s="105" t="s">
        <v>153</v>
      </c>
      <c r="D17" s="104" t="s">
        <v>29</v>
      </c>
      <c r="E17" s="100" t="str">
        <f>$E$8</f>
        <v>$millions</v>
      </c>
      <c r="F17" s="221">
        <f>$F$8</f>
        <v>45809</v>
      </c>
      <c r="J17" s="211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211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211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211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211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281.57547755606413</v>
      </c>
      <c r="O17" s="211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211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211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211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211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211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 x14ac:dyDescent="0.2">
      <c r="C18" s="105"/>
      <c r="D18" s="104"/>
      <c r="F18" s="149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</row>
    <row r="19" spans="3:20" outlineLevel="1" x14ac:dyDescent="0.2">
      <c r="C19" s="101" t="s">
        <v>154</v>
      </c>
      <c r="D19" s="104" t="s">
        <v>84</v>
      </c>
      <c r="E19" s="100" t="str">
        <f>'Input|Reported opex'!E64</f>
        <v>$millions</v>
      </c>
      <c r="F19" s="221" t="str">
        <f>'Input|Reported opex'!F57</f>
        <v>nominal</v>
      </c>
      <c r="J19" s="211">
        <f>IF(YEAR(J$4)=BaseYear,
'Input|Reported opex'!J57,
0)</f>
        <v>0</v>
      </c>
      <c r="K19" s="211">
        <f>IF(YEAR(K$4)=BaseYear,
'Input|Reported opex'!K57,
0)</f>
        <v>0</v>
      </c>
      <c r="L19" s="211">
        <f>IF(YEAR(L$4)=BaseYear,
'Input|Reported opex'!L57,
0)</f>
        <v>0</v>
      </c>
      <c r="M19" s="211">
        <f>IF(YEAR(M$4)=BaseYear,
'Input|Reported opex'!M57,
0)</f>
        <v>76.069937116399998</v>
      </c>
      <c r="N19" s="211">
        <f>IF(YEAR(N$4)=BaseYear,
'Input|Reported opex'!N57,
0)</f>
        <v>0</v>
      </c>
      <c r="O19" s="211">
        <f>IF(YEAR(O$4)=BaseYear,
'Input|Reported opex'!O57,
0)</f>
        <v>0</v>
      </c>
      <c r="P19" s="211">
        <f>IF(YEAR(P$4)=BaseYear,
'Input|Reported opex'!P57,
0)</f>
        <v>0</v>
      </c>
      <c r="Q19" s="211">
        <f>IF(YEAR(Q$4)=BaseYear,
'Input|Reported opex'!Q57,
0)</f>
        <v>0</v>
      </c>
      <c r="R19" s="211">
        <f>IF(YEAR(R$4)=BaseYear,
'Input|Reported opex'!R57,
0)</f>
        <v>0</v>
      </c>
      <c r="S19" s="211">
        <f>IF(YEAR(S$4)=BaseYear,
'Input|Reported opex'!S57,
0)</f>
        <v>0</v>
      </c>
      <c r="T19" s="211">
        <f>IF(YEAR(T$4)=BaseYear,
'Input|Reported opex'!T57,
0)</f>
        <v>0</v>
      </c>
    </row>
    <row r="20" spans="3:20" outlineLevel="1" x14ac:dyDescent="0.2">
      <c r="C20" s="101" t="s">
        <v>154</v>
      </c>
      <c r="D20" s="104" t="s">
        <v>29</v>
      </c>
      <c r="E20" s="100" t="str">
        <f>$E$8</f>
        <v>$millions</v>
      </c>
      <c r="F20" s="221">
        <f>$F$8</f>
        <v>45809</v>
      </c>
      <c r="J20" s="211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211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211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211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79.711665479590948</v>
      </c>
      <c r="N20" s="211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211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211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211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211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211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211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 x14ac:dyDescent="0.2">
      <c r="C21" s="105" t="s">
        <v>155</v>
      </c>
      <c r="D21" s="104" t="s">
        <v>84</v>
      </c>
      <c r="E21" s="100" t="str">
        <f>'Input|Reported opex'!E22</f>
        <v>$millions</v>
      </c>
      <c r="F21" s="221">
        <f>'Input|Reported opex'!F29</f>
        <v>43983</v>
      </c>
      <c r="J21" s="211">
        <f>IF(YEAR(J$4)=BaseYear,
'Input|Reported opex'!J29,
0)</f>
        <v>0</v>
      </c>
      <c r="K21" s="211">
        <f>IF(YEAR(K$4)=BaseYear,
'Input|Reported opex'!K29,
0)</f>
        <v>0</v>
      </c>
      <c r="L21" s="211">
        <f>IF(YEAR(L$4)=BaseYear,
'Input|Reported opex'!L29,
0)</f>
        <v>0</v>
      </c>
      <c r="M21" s="211">
        <f>IF(YEAR(M$4)=BaseYear,
'Input|Reported opex'!M29,
0)</f>
        <v>35.936916369965026</v>
      </c>
      <c r="N21" s="211">
        <f>IF(YEAR(N$4)=BaseYear,
'Input|Reported opex'!N29,
0)</f>
        <v>0</v>
      </c>
      <c r="O21" s="211">
        <f>IF(YEAR(O$4)=BaseYear,
'Input|Reported opex'!O29,
0)</f>
        <v>0</v>
      </c>
      <c r="P21" s="211">
        <f>IF(YEAR(P$4)=BaseYear,
'Input|Reported opex'!P29,
0)</f>
        <v>0</v>
      </c>
      <c r="Q21" s="211">
        <f>IF(YEAR(Q$4)=BaseYear,
'Input|Reported opex'!Q29,
0)</f>
        <v>0</v>
      </c>
      <c r="R21" s="211">
        <f>IF(YEAR(R$4)=BaseYear,
'Input|Reported opex'!R29,
0)</f>
        <v>0</v>
      </c>
      <c r="S21" s="211">
        <f>IF(YEAR(S$4)=BaseYear,
'Input|Reported opex'!S29,
0)</f>
        <v>0</v>
      </c>
      <c r="T21" s="211">
        <f>IF(YEAR(T$4)=BaseYear,
'Input|Reported opex'!T29,
0)</f>
        <v>0</v>
      </c>
    </row>
    <row r="22" spans="3:20" outlineLevel="1" x14ac:dyDescent="0.2">
      <c r="C22" s="105" t="s">
        <v>155</v>
      </c>
      <c r="D22" s="104" t="s">
        <v>29</v>
      </c>
      <c r="E22" s="100" t="str">
        <f>$E$8</f>
        <v>$millions</v>
      </c>
      <c r="F22" s="221">
        <f>$F$8</f>
        <v>45809</v>
      </c>
      <c r="J22" s="211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211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211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211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44.730646853050992</v>
      </c>
      <c r="N22" s="211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211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211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211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211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211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211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 x14ac:dyDescent="0.2">
      <c r="C23" s="105" t="s">
        <v>156</v>
      </c>
      <c r="D23" s="104" t="s">
        <v>84</v>
      </c>
      <c r="E23" s="100" t="str">
        <f>'Input|Reported opex'!E22</f>
        <v>$millions</v>
      </c>
      <c r="F23" s="221">
        <f>'Input|Reported opex'!F29</f>
        <v>43983</v>
      </c>
      <c r="J23" s="211">
        <f>IF(YEAR(J$4)=PPLastYear,
'Input|Reported opex'!J29,
0)</f>
        <v>0</v>
      </c>
      <c r="K23" s="211">
        <f>IF(YEAR(K$4)=PPLastYear,
'Input|Reported opex'!K29,
0)</f>
        <v>0</v>
      </c>
      <c r="L23" s="211">
        <f>IF(YEAR(L$4)=PPLastYear,
'Input|Reported opex'!L29,
0)</f>
        <v>0</v>
      </c>
      <c r="M23" s="211">
        <f>IF(YEAR(M$4)=PPLastYear,
'Input|Reported opex'!M29,
0)</f>
        <v>0</v>
      </c>
      <c r="N23" s="211">
        <f>IF(YEAR(N$4)=PPLastYear,
'Input|Reported opex'!N29,
0)</f>
        <v>35.519783606302184</v>
      </c>
      <c r="O23" s="211">
        <f>IF(YEAR(O$4)=PPLastYear,
'Input|Reported opex'!O29,
0)</f>
        <v>0</v>
      </c>
      <c r="P23" s="211">
        <f>IF(YEAR(P$4)=PPLastYear,
'Input|Reported opex'!P29,
0)</f>
        <v>0</v>
      </c>
      <c r="Q23" s="211">
        <f>IF(YEAR(Q$4)=PPLastYear,
'Input|Reported opex'!Q29,
0)</f>
        <v>0</v>
      </c>
      <c r="R23" s="211">
        <f>IF(YEAR(R$4)=PPLastYear,
'Input|Reported opex'!R29,
0)</f>
        <v>0</v>
      </c>
      <c r="S23" s="211">
        <f>IF(YEAR(S$4)=PPLastYear,
'Input|Reported opex'!S29,
0)</f>
        <v>0</v>
      </c>
      <c r="T23" s="211">
        <f>IF(YEAR(T$4)=PPLastYear,
'Input|Reported opex'!T29,
0)</f>
        <v>0</v>
      </c>
    </row>
    <row r="24" spans="3:20" outlineLevel="1" x14ac:dyDescent="0.2">
      <c r="C24" s="105" t="s">
        <v>156</v>
      </c>
      <c r="D24" s="104" t="s">
        <v>29</v>
      </c>
      <c r="E24" s="100" t="str">
        <f>$E$8</f>
        <v>$millions</v>
      </c>
      <c r="F24" s="221">
        <f>$F$8</f>
        <v>45809</v>
      </c>
      <c r="J24" s="211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211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211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211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211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44.21144208461309</v>
      </c>
      <c r="O24" s="211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211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211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211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211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211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 x14ac:dyDescent="0.2">
      <c r="C25" s="105"/>
      <c r="F25" s="106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</row>
    <row r="26" spans="3:20" outlineLevel="1" x14ac:dyDescent="0.2">
      <c r="C26" s="107" t="s">
        <v>127</v>
      </c>
      <c r="D26" s="108" t="s">
        <v>29</v>
      </c>
      <c r="E26" s="222" t="str">
        <f>$E$8</f>
        <v>$millions</v>
      </c>
      <c r="F26" s="221">
        <f>$F$8</f>
        <v>45809</v>
      </c>
      <c r="J26" s="223">
        <f ca="1">J13</f>
        <v>0</v>
      </c>
      <c r="K26" s="223">
        <f t="shared" ref="K26:S26" ca="1" si="1">K13</f>
        <v>0</v>
      </c>
      <c r="L26" s="223">
        <f t="shared" ca="1" si="1"/>
        <v>0</v>
      </c>
      <c r="M26" s="223">
        <f t="shared" ca="1" si="1"/>
        <v>268.33023859249289</v>
      </c>
      <c r="N26" s="223">
        <f t="shared" ca="1" si="1"/>
        <v>0</v>
      </c>
      <c r="O26" s="223">
        <f t="shared" ca="1" si="1"/>
        <v>0</v>
      </c>
      <c r="P26" s="223">
        <f t="shared" ca="1" si="1"/>
        <v>0</v>
      </c>
      <c r="Q26" s="223">
        <f t="shared" ca="1" si="1"/>
        <v>0</v>
      </c>
      <c r="R26" s="223">
        <f t="shared" ca="1" si="1"/>
        <v>0</v>
      </c>
      <c r="S26" s="223">
        <f t="shared" ca="1" si="1"/>
        <v>0</v>
      </c>
      <c r="T26" s="223">
        <f ca="1">T13</f>
        <v>0</v>
      </c>
    </row>
    <row r="27" spans="3:20" outlineLevel="1" x14ac:dyDescent="0.2">
      <c r="C27" s="117"/>
      <c r="D27" s="104"/>
      <c r="E27" s="104"/>
      <c r="F27" s="14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</row>
    <row r="28" spans="3:20" outlineLevel="1" x14ac:dyDescent="0.2">
      <c r="C28" s="117" t="s">
        <v>149</v>
      </c>
      <c r="D28" s="104" t="s">
        <v>84</v>
      </c>
      <c r="E28" s="154" t="str">
        <f>'Input|Reported opex'!E69</f>
        <v>$millions</v>
      </c>
      <c r="F28" s="221">
        <f>'Input|Reported opex'!F69</f>
        <v>45809</v>
      </c>
      <c r="J28" s="223">
        <f>IF('Input|Reported opex'!J$61='Input|Reported opex'!J$10,'Input|Reported opex'!J69,0)</f>
        <v>0</v>
      </c>
      <c r="K28" s="223">
        <f>IF('Input|Reported opex'!K$61='Input|Reported opex'!K$10,'Input|Reported opex'!K69,0)</f>
        <v>0</v>
      </c>
      <c r="L28" s="223">
        <f>IF('Input|Reported opex'!L$61='Input|Reported opex'!L$10,'Input|Reported opex'!L69,0)</f>
        <v>0</v>
      </c>
      <c r="M28" s="223">
        <f>IF('Input|Reported opex'!M$61='Input|Reported opex'!M$10,'Input|Reported opex'!M69,0)</f>
        <v>0</v>
      </c>
      <c r="N28" s="223">
        <f>IF('Input|Reported opex'!N$61='Input|Reported opex'!N$10,'Input|Reported opex'!N69,0)</f>
        <v>0</v>
      </c>
      <c r="O28" s="223">
        <f>IF('Input|Reported opex'!O$61='Input|Reported opex'!O$10,'Input|Reported opex'!O69,0)</f>
        <v>0</v>
      </c>
      <c r="P28" s="223">
        <f>IF('Input|Reported opex'!P$61='Input|Reported opex'!P$10,'Input|Reported opex'!P69,0)</f>
        <v>0</v>
      </c>
      <c r="Q28" s="223">
        <f>IF('Input|Reported opex'!Q$61='Input|Reported opex'!Q$10,'Input|Reported opex'!Q69,0)</f>
        <v>0</v>
      </c>
      <c r="R28" s="223">
        <f>IF('Input|Reported opex'!R$61='Input|Reported opex'!R$10,'Input|Reported opex'!R69,0)</f>
        <v>0</v>
      </c>
      <c r="S28" s="223">
        <f>IF('Input|Reported opex'!S$61='Input|Reported opex'!S$10,'Input|Reported opex'!S69,0)</f>
        <v>0</v>
      </c>
      <c r="T28" s="223">
        <f>IF('Input|Reported opex'!T$61='Input|Reported opex'!T$10,'Input|Reported opex'!T69,0)</f>
        <v>0</v>
      </c>
    </row>
    <row r="29" spans="3:20" outlineLevel="1" x14ac:dyDescent="0.2">
      <c r="C29" s="224" t="str">
        <f>C28</f>
        <v>Add back non-recurrent efficiency gains in the base year</v>
      </c>
      <c r="D29" s="104" t="s">
        <v>29</v>
      </c>
      <c r="E29" s="154" t="str">
        <f>$E$8</f>
        <v>$millions</v>
      </c>
      <c r="F29" s="221">
        <f>$F$8</f>
        <v>45809</v>
      </c>
      <c r="J29" s="223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223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223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223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223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223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223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223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223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223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223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outlineLevel="1" x14ac:dyDescent="0.2">
      <c r="C30" s="117"/>
      <c r="D30" s="104"/>
      <c r="E30" s="104"/>
      <c r="F30" s="14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</row>
    <row r="31" spans="3:20" outlineLevel="1" x14ac:dyDescent="0.2">
      <c r="C31" s="117" t="s">
        <v>147</v>
      </c>
      <c r="D31" s="104" t="s">
        <v>29</v>
      </c>
      <c r="E31" s="154" t="str">
        <f>$E$8</f>
        <v>$millions</v>
      </c>
      <c r="F31" s="221">
        <f>$F$8</f>
        <v>45809</v>
      </c>
      <c r="G31" s="104"/>
      <c r="H31" s="104"/>
      <c r="I31" s="104"/>
      <c r="J31" s="214">
        <f t="shared" ref="J31:S31" si="2">IF(YEAR(J$4)=PPLastYear,-SUM($J15:$S15)+SUM($J17:$S17),0)</f>
        <v>0</v>
      </c>
      <c r="K31" s="214">
        <f t="shared" si="2"/>
        <v>0</v>
      </c>
      <c r="L31" s="214">
        <f t="shared" si="2"/>
        <v>0</v>
      </c>
      <c r="M31" s="214">
        <f t="shared" si="2"/>
        <v>0</v>
      </c>
      <c r="N31" s="214">
        <f t="shared" si="2"/>
        <v>4.5060686565807941</v>
      </c>
      <c r="O31" s="214">
        <f t="shared" si="2"/>
        <v>0</v>
      </c>
      <c r="P31" s="214">
        <f t="shared" si="2"/>
        <v>0</v>
      </c>
      <c r="Q31" s="214">
        <f t="shared" si="2"/>
        <v>0</v>
      </c>
      <c r="R31" s="214">
        <f t="shared" si="2"/>
        <v>0</v>
      </c>
      <c r="S31" s="214">
        <f t="shared" si="2"/>
        <v>0</v>
      </c>
      <c r="T31" s="214">
        <f>IF(YEAR(T$4)=PPLastYear,-SUM($J15:$S15)+SUM($J17:$S17),0)</f>
        <v>0</v>
      </c>
    </row>
    <row r="32" spans="3:20" outlineLevel="1" x14ac:dyDescent="0.2">
      <c r="C32" s="117"/>
      <c r="D32" s="104"/>
      <c r="E32" s="104"/>
      <c r="F32" s="149"/>
      <c r="G32" s="104"/>
      <c r="H32" s="104"/>
      <c r="I32" s="104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</row>
    <row r="33" spans="3:20" outlineLevel="1" x14ac:dyDescent="0.2">
      <c r="C33" s="117" t="s">
        <v>97</v>
      </c>
      <c r="D33" s="104" t="s">
        <v>29</v>
      </c>
      <c r="E33" s="154" t="str">
        <f>$E$8</f>
        <v>$millions</v>
      </c>
      <c r="F33" s="221">
        <f>$F$8</f>
        <v>45809</v>
      </c>
      <c r="J33" s="214">
        <f t="shared" ref="J33:S33" si="3">IF(YEAR(J$4)=PPLastYear,SUM($J26:$S26,$J29:$S29,$J31:$S31),0)</f>
        <v>0</v>
      </c>
      <c r="K33" s="214">
        <f t="shared" si="3"/>
        <v>0</v>
      </c>
      <c r="L33" s="214">
        <f t="shared" si="3"/>
        <v>0</v>
      </c>
      <c r="M33" s="214">
        <f t="shared" si="3"/>
        <v>0</v>
      </c>
      <c r="N33" s="214">
        <f t="shared" ca="1" si="3"/>
        <v>272.83630724907368</v>
      </c>
      <c r="O33" s="214">
        <f t="shared" si="3"/>
        <v>0</v>
      </c>
      <c r="P33" s="214">
        <f t="shared" si="3"/>
        <v>0</v>
      </c>
      <c r="Q33" s="214">
        <f t="shared" si="3"/>
        <v>0</v>
      </c>
      <c r="R33" s="214">
        <f t="shared" si="3"/>
        <v>0</v>
      </c>
      <c r="S33" s="214">
        <f t="shared" si="3"/>
        <v>0</v>
      </c>
      <c r="T33" s="214">
        <f>IF(YEAR(T$4)=PPLastYear,SUM($J26:$S26,$J29:$S29,$J31:$S31),0)</f>
        <v>0</v>
      </c>
    </row>
    <row r="34" spans="3:20" outlineLevel="1" x14ac:dyDescent="0.2">
      <c r="C34" s="117"/>
      <c r="D34" s="104"/>
      <c r="E34" s="104"/>
      <c r="F34" s="149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</row>
    <row r="35" spans="3:20" outlineLevel="1" x14ac:dyDescent="0.2">
      <c r="C35" s="117" t="s">
        <v>157</v>
      </c>
      <c r="D35" s="104" t="s">
        <v>29</v>
      </c>
      <c r="E35" s="154" t="str">
        <f>$E$8</f>
        <v>$millions</v>
      </c>
      <c r="F35" s="221">
        <f>$F$8</f>
        <v>45809</v>
      </c>
      <c r="J35" s="223">
        <f t="shared" ref="J35:S35" si="4">IF(YEAR(J$4)=PPLastYear,-(SUM($J20:$S20)-SUM($J22:$S22)+SUM($J24:$S24)),0)</f>
        <v>0</v>
      </c>
      <c r="K35" s="223">
        <f t="shared" si="4"/>
        <v>0</v>
      </c>
      <c r="L35" s="223">
        <f t="shared" si="4"/>
        <v>0</v>
      </c>
      <c r="M35" s="223">
        <f t="shared" si="4"/>
        <v>0</v>
      </c>
      <c r="N35" s="223">
        <f t="shared" si="4"/>
        <v>-79.192460711153046</v>
      </c>
      <c r="O35" s="223">
        <f t="shared" si="4"/>
        <v>0</v>
      </c>
      <c r="P35" s="223">
        <f t="shared" si="4"/>
        <v>0</v>
      </c>
      <c r="Q35" s="223">
        <f t="shared" si="4"/>
        <v>0</v>
      </c>
      <c r="R35" s="223">
        <f t="shared" si="4"/>
        <v>0</v>
      </c>
      <c r="S35" s="223">
        <f t="shared" si="4"/>
        <v>0</v>
      </c>
      <c r="T35" s="223">
        <f>IF(YEAR(T$4)=PPLastYear,-(SUM($J20:$S20)-SUM($J22:$S22)+SUM($J24:$S24)),0)</f>
        <v>0</v>
      </c>
    </row>
    <row r="36" spans="3:20" outlineLevel="1" x14ac:dyDescent="0.2">
      <c r="C36" s="117"/>
      <c r="D36" s="104"/>
      <c r="E36" s="104"/>
      <c r="F36" s="14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</row>
    <row r="37" spans="3:20" outlineLevel="1" x14ac:dyDescent="0.2">
      <c r="C37" s="224" t="str">
        <f>'Input|Reported opex'!$C$63</f>
        <v>New IFRS treatment - SaaS implementation costs in base year</v>
      </c>
      <c r="D37" s="104" t="s">
        <v>84</v>
      </c>
      <c r="E37" s="154" t="str">
        <f>'Input|Reported opex'!E63</f>
        <v>$millions</v>
      </c>
      <c r="F37" s="221">
        <f>'Input|Reported opex'!F63</f>
        <v>45809</v>
      </c>
      <c r="J37" s="211">
        <f>IF(YEAR(J$4)=PPLastYear,
'Input|Reported opex'!J63,
0)</f>
        <v>0</v>
      </c>
      <c r="K37" s="211">
        <f>IF(YEAR(K$4)=PPLastYear,
'Input|Reported opex'!K63,
0)</f>
        <v>0</v>
      </c>
      <c r="L37" s="211">
        <f>IF(YEAR(L$4)=PPLastYear,
'Input|Reported opex'!L63,
0)</f>
        <v>0</v>
      </c>
      <c r="M37" s="211">
        <f>IF(YEAR(M$4)=PPLastYear,
'Input|Reported opex'!M63,
0)</f>
        <v>0</v>
      </c>
      <c r="N37" s="211">
        <f>IF(YEAR(N$4)=PPLastYear,
'Input|Reported opex'!N63,
0)</f>
        <v>2.4687311063408548</v>
      </c>
      <c r="O37" s="211">
        <f>IF(YEAR(O$4)=PPLastYear,
'Input|Reported opex'!O63,
0)</f>
        <v>0</v>
      </c>
      <c r="P37" s="211">
        <f>IF(YEAR(P$4)=PPLastYear,
'Input|Reported opex'!P63,
0)</f>
        <v>0</v>
      </c>
      <c r="Q37" s="211">
        <f>IF(YEAR(Q$4)=PPLastYear,
'Input|Reported opex'!Q63,
0)</f>
        <v>0</v>
      </c>
      <c r="R37" s="211">
        <f>IF(YEAR(R$4)=PPLastYear,
'Input|Reported opex'!R63,
0)</f>
        <v>0</v>
      </c>
      <c r="S37" s="211">
        <f>IF(YEAR(S$4)=PPLastYear,
'Input|Reported opex'!S63,
0)</f>
        <v>0</v>
      </c>
      <c r="T37" s="211">
        <f>IF(YEAR(T$4)=PPLastYear,
'Input|Reported opex'!T63,
0)</f>
        <v>0</v>
      </c>
    </row>
    <row r="38" spans="3:20" outlineLevel="1" x14ac:dyDescent="0.2">
      <c r="C38" s="224" t="str">
        <f>C37</f>
        <v>New IFRS treatment - SaaS implementation costs in base year</v>
      </c>
      <c r="D38" s="104" t="s">
        <v>29</v>
      </c>
      <c r="E38" s="100" t="str">
        <f>$E$8</f>
        <v>$millions</v>
      </c>
      <c r="F38" s="221">
        <f>$F$8</f>
        <v>45809</v>
      </c>
      <c r="J38" s="223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223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223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223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223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2.4687311063408548</v>
      </c>
      <c r="O38" s="223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223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223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223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223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223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outlineLevel="1" x14ac:dyDescent="0.2">
      <c r="C39" s="117"/>
      <c r="D39" s="104"/>
      <c r="F39" s="149"/>
      <c r="J39" s="109"/>
      <c r="K39" s="109"/>
      <c r="L39" s="109"/>
      <c r="M39" s="109"/>
      <c r="N39" s="109"/>
      <c r="O39" s="109"/>
      <c r="P39" s="109"/>
      <c r="Q39" s="109"/>
      <c r="R39" s="103"/>
      <c r="S39" s="103"/>
      <c r="T39" s="103"/>
    </row>
    <row r="40" spans="3:20" outlineLevel="1" x14ac:dyDescent="0.2">
      <c r="C40" s="224" t="str">
        <f>'Input|Reported opex'!$C$64</f>
        <v>Incremental ICT project opex</v>
      </c>
      <c r="D40" s="104" t="s">
        <v>84</v>
      </c>
      <c r="E40" s="100" t="str">
        <f>'Input|Reported opex'!$E$64</f>
        <v>$millions</v>
      </c>
      <c r="F40" s="221">
        <f>'Input|Reported opex'!$F$64</f>
        <v>45809</v>
      </c>
      <c r="J40" s="211">
        <f>IF(YEAR(J$4)=PPLastYear,
'Input|Reported opex'!J64,
0)</f>
        <v>0</v>
      </c>
      <c r="K40" s="211">
        <f>IF(YEAR(K$4)=PPLastYear,
'Input|Reported opex'!K64,
0)</f>
        <v>0</v>
      </c>
      <c r="L40" s="211">
        <f>IF(YEAR(L$4)=PPLastYear,
'Input|Reported opex'!L64,
0)</f>
        <v>0</v>
      </c>
      <c r="M40" s="211">
        <f>IF(YEAR(M$4)=PPLastYear,
'Input|Reported opex'!M64,
0)</f>
        <v>0</v>
      </c>
      <c r="N40" s="211">
        <f>IF(YEAR(N$4)=PPLastYear,
'Input|Reported opex'!N64,
0)</f>
        <v>2.4036094658822984</v>
      </c>
      <c r="O40" s="211">
        <f>IF(YEAR(O$4)=PPLastYear,
'Input|Reported opex'!O64,
0)</f>
        <v>0</v>
      </c>
      <c r="P40" s="211">
        <f>IF(YEAR(P$4)=PPLastYear,
'Input|Reported opex'!P64,
0)</f>
        <v>0</v>
      </c>
      <c r="Q40" s="211">
        <f>IF(YEAR(Q$4)=PPLastYear,
'Input|Reported opex'!Q64,
0)</f>
        <v>0</v>
      </c>
      <c r="R40" s="211">
        <f>IF(YEAR(R$4)=PPLastYear,
'Input|Reported opex'!R64,
0)</f>
        <v>0</v>
      </c>
      <c r="S40" s="211">
        <f>IF(YEAR(S$4)=PPLastYear,
'Input|Reported opex'!S64,
0)</f>
        <v>0</v>
      </c>
      <c r="T40" s="211">
        <f>IF(YEAR(T$4)=PPLastYear,
'Input|Reported opex'!T64,
0)</f>
        <v>0</v>
      </c>
    </row>
    <row r="41" spans="3:20" outlineLevel="1" x14ac:dyDescent="0.2">
      <c r="C41" s="224" t="str">
        <f>C40</f>
        <v>Incremental ICT project opex</v>
      </c>
      <c r="D41" s="104" t="s">
        <v>29</v>
      </c>
      <c r="E41" s="100" t="str">
        <f>$E$8</f>
        <v>$millions</v>
      </c>
      <c r="F41" s="221">
        <f>$F$8</f>
        <v>45809</v>
      </c>
      <c r="J41" s="223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223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223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223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223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2.4036094658822984</v>
      </c>
      <c r="O41" s="223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223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223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223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223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223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outlineLevel="1" x14ac:dyDescent="0.2">
      <c r="C42" s="117"/>
      <c r="D42" s="104"/>
      <c r="F42" s="149"/>
      <c r="J42" s="109"/>
      <c r="K42" s="109"/>
      <c r="L42" s="109"/>
      <c r="M42" s="109"/>
      <c r="N42" s="109"/>
      <c r="O42" s="109"/>
      <c r="P42" s="109"/>
      <c r="Q42" s="109"/>
      <c r="R42" s="103"/>
      <c r="S42" s="103"/>
      <c r="T42" s="103"/>
    </row>
    <row r="43" spans="3:20" outlineLevel="1" x14ac:dyDescent="0.2">
      <c r="C43" s="224" t="str">
        <f>'Input|Reported opex'!$C$65</f>
        <v>Estimated base year ancillary service opex</v>
      </c>
      <c r="D43" s="104" t="s">
        <v>84</v>
      </c>
      <c r="E43" s="100" t="str">
        <f>'Input|Reported opex'!$E$65</f>
        <v>$millions</v>
      </c>
      <c r="F43" s="221">
        <f>'Input|Reported opex'!$F$65</f>
        <v>45809</v>
      </c>
      <c r="J43" s="211">
        <f>IF(YEAR(J$4)=PPLastYear,
'Input|Reported opex'!J65,
0)</f>
        <v>0</v>
      </c>
      <c r="K43" s="211">
        <f>IF(YEAR(K$4)=PPLastYear,
'Input|Reported opex'!K65,
0)</f>
        <v>0</v>
      </c>
      <c r="L43" s="211">
        <f>IF(YEAR(L$4)=PPLastYear,
'Input|Reported opex'!L65,
0)</f>
        <v>0</v>
      </c>
      <c r="M43" s="211">
        <f>IF(YEAR(M$4)=PPLastYear,
'Input|Reported opex'!M65,
0)</f>
        <v>0</v>
      </c>
      <c r="N43" s="211">
        <f>IF(YEAR(N$4)=PPLastYear,
'Input|Reported opex'!N65,
0)</f>
        <v>-21.863144457009419</v>
      </c>
      <c r="O43" s="211">
        <f>IF(YEAR(O$4)=PPLastYear,
'Input|Reported opex'!O65,
0)</f>
        <v>0</v>
      </c>
      <c r="P43" s="211">
        <f>IF(YEAR(P$4)=PPLastYear,
'Input|Reported opex'!P65,
0)</f>
        <v>0</v>
      </c>
      <c r="Q43" s="211">
        <f>IF(YEAR(Q$4)=PPLastYear,
'Input|Reported opex'!Q65,
0)</f>
        <v>0</v>
      </c>
      <c r="R43" s="211">
        <f>IF(YEAR(R$4)=PPLastYear,
'Input|Reported opex'!R65,
0)</f>
        <v>0</v>
      </c>
      <c r="S43" s="211">
        <f>IF(YEAR(S$4)=PPLastYear,
'Input|Reported opex'!S65,
0)</f>
        <v>0</v>
      </c>
      <c r="T43" s="211">
        <f>IF(YEAR(T$4)=PPLastYear,
'Input|Reported opex'!T65,
0)</f>
        <v>0</v>
      </c>
    </row>
    <row r="44" spans="3:20" outlineLevel="1" x14ac:dyDescent="0.2">
      <c r="C44" s="224" t="str">
        <f>C43</f>
        <v>Estimated base year ancillary service opex</v>
      </c>
      <c r="D44" s="104" t="s">
        <v>29</v>
      </c>
      <c r="E44" s="100" t="str">
        <f>$E$8</f>
        <v>$millions</v>
      </c>
      <c r="F44" s="221">
        <f>$F$8</f>
        <v>45809</v>
      </c>
      <c r="J44" s="223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223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223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223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223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-21.863144457009419</v>
      </c>
      <c r="O44" s="223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223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223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223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223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223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outlineLevel="1" x14ac:dyDescent="0.2">
      <c r="C45" s="117"/>
      <c r="D45" s="104"/>
      <c r="F45" s="149"/>
      <c r="J45" s="109"/>
      <c r="K45" s="109"/>
      <c r="L45" s="109"/>
      <c r="M45" s="109"/>
      <c r="N45" s="109"/>
      <c r="O45" s="109"/>
      <c r="P45" s="109"/>
      <c r="Q45" s="109"/>
      <c r="R45" s="103"/>
      <c r="S45" s="103"/>
      <c r="T45" s="103"/>
    </row>
    <row r="46" spans="3:20" outlineLevel="1" x14ac:dyDescent="0.2">
      <c r="C46" s="224" t="str">
        <f>'Input|Reported opex'!$C$66</f>
        <v>Adjustment 4</v>
      </c>
      <c r="D46" s="104" t="s">
        <v>84</v>
      </c>
      <c r="E46" s="100" t="str">
        <f>'Input|Reported opex'!$E$66</f>
        <v>$millions</v>
      </c>
      <c r="F46" s="221">
        <f>'Input|Reported opex'!$F$66</f>
        <v>45809</v>
      </c>
      <c r="J46" s="211">
        <f>IF(YEAR(J$4)=PPLastYear,
'Input|Reported opex'!J66,
0)</f>
        <v>0</v>
      </c>
      <c r="K46" s="211">
        <f>IF(YEAR(K$4)=PPLastYear,
'Input|Reported opex'!K66,
0)</f>
        <v>0</v>
      </c>
      <c r="L46" s="211">
        <f>IF(YEAR(L$4)=PPLastYear,
'Input|Reported opex'!L66,
0)</f>
        <v>0</v>
      </c>
      <c r="M46" s="211">
        <f>IF(YEAR(M$4)=PPLastYear,
'Input|Reported opex'!M66,
0)</f>
        <v>0</v>
      </c>
      <c r="N46" s="211">
        <f>IF(YEAR(N$4)=PPLastYear,
'Input|Reported opex'!N66,
0)</f>
        <v>0</v>
      </c>
      <c r="O46" s="211">
        <f>IF(YEAR(O$4)=PPLastYear,
'Input|Reported opex'!O66,
0)</f>
        <v>0</v>
      </c>
      <c r="P46" s="211">
        <f>IF(YEAR(P$4)=PPLastYear,
'Input|Reported opex'!P66,
0)</f>
        <v>0</v>
      </c>
      <c r="Q46" s="211">
        <f>IF(YEAR(Q$4)=PPLastYear,
'Input|Reported opex'!Q66,
0)</f>
        <v>0</v>
      </c>
      <c r="R46" s="211">
        <f>IF(YEAR(R$4)=PPLastYear,
'Input|Reported opex'!R66,
0)</f>
        <v>0</v>
      </c>
      <c r="S46" s="211">
        <f>IF(YEAR(S$4)=PPLastYear,
'Input|Reported opex'!S66,
0)</f>
        <v>0</v>
      </c>
      <c r="T46" s="211">
        <f>IF(YEAR(T$4)=PPLastYear,
'Input|Reported opex'!T66,
0)</f>
        <v>0</v>
      </c>
    </row>
    <row r="47" spans="3:20" outlineLevel="1" x14ac:dyDescent="0.2">
      <c r="C47" s="224" t="str">
        <f>C46</f>
        <v>Adjustment 4</v>
      </c>
      <c r="D47" s="104" t="s">
        <v>29</v>
      </c>
      <c r="E47" s="100" t="str">
        <f>$E$8</f>
        <v>$millions</v>
      </c>
      <c r="F47" s="221">
        <f>$F$8</f>
        <v>45809</v>
      </c>
      <c r="J47" s="223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223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223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223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223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223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223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223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223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223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223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outlineLevel="1" x14ac:dyDescent="0.2">
      <c r="C48" s="117"/>
      <c r="D48" s="104"/>
      <c r="F48" s="149"/>
      <c r="J48" s="109"/>
      <c r="K48" s="109"/>
      <c r="L48" s="109"/>
      <c r="M48" s="109"/>
      <c r="N48" s="109"/>
      <c r="O48" s="109"/>
      <c r="P48" s="109"/>
      <c r="Q48" s="109"/>
      <c r="R48" s="103"/>
      <c r="S48" s="103"/>
      <c r="T48" s="103"/>
    </row>
    <row r="49" spans="1:48" outlineLevel="1" x14ac:dyDescent="0.2">
      <c r="C49" s="224" t="str">
        <f>'Input|Reported opex'!$C$67</f>
        <v>Adjustment 5</v>
      </c>
      <c r="D49" s="104" t="s">
        <v>84</v>
      </c>
      <c r="E49" s="100" t="str">
        <f>'Input|Reported opex'!$E$67</f>
        <v>$millions</v>
      </c>
      <c r="F49" s="221">
        <f>'Input|Reported opex'!$F$67</f>
        <v>45809</v>
      </c>
      <c r="J49" s="211">
        <f>IF(YEAR(J$4)=PPLastYear,
'Input|Reported opex'!J67,
0)</f>
        <v>0</v>
      </c>
      <c r="K49" s="211">
        <f>IF(YEAR(K$4)=PPLastYear,
'Input|Reported opex'!K67,
0)</f>
        <v>0</v>
      </c>
      <c r="L49" s="211">
        <f>IF(YEAR(L$4)=PPLastYear,
'Input|Reported opex'!L67,
0)</f>
        <v>0</v>
      </c>
      <c r="M49" s="211">
        <f>IF(YEAR(M$4)=PPLastYear,
'Input|Reported opex'!M67,
0)</f>
        <v>0</v>
      </c>
      <c r="N49" s="211">
        <f>IF(YEAR(N$4)=PPLastYear,
'Input|Reported opex'!N67,
0)</f>
        <v>0</v>
      </c>
      <c r="O49" s="211">
        <f>IF(YEAR(O$4)=PPLastYear,
'Input|Reported opex'!O67,
0)</f>
        <v>0</v>
      </c>
      <c r="P49" s="211">
        <f>IF(YEAR(P$4)=PPLastYear,
'Input|Reported opex'!P67,
0)</f>
        <v>0</v>
      </c>
      <c r="Q49" s="211">
        <f>IF(YEAR(Q$4)=PPLastYear,
'Input|Reported opex'!Q67,
0)</f>
        <v>0</v>
      </c>
      <c r="R49" s="211">
        <f>IF(YEAR(R$4)=PPLastYear,
'Input|Reported opex'!R67,
0)</f>
        <v>0</v>
      </c>
      <c r="S49" s="211">
        <f>IF(YEAR(S$4)=PPLastYear,
'Input|Reported opex'!S67,
0)</f>
        <v>0</v>
      </c>
      <c r="T49" s="211">
        <f>IF(YEAR(T$4)=PPLastYear,
'Input|Reported opex'!T67,
0)</f>
        <v>0</v>
      </c>
    </row>
    <row r="50" spans="1:48" outlineLevel="1" x14ac:dyDescent="0.2">
      <c r="C50" s="224" t="str">
        <f>C49</f>
        <v>Adjustment 5</v>
      </c>
      <c r="D50" s="104" t="s">
        <v>29</v>
      </c>
      <c r="E50" s="100" t="str">
        <f>$E$8</f>
        <v>$millions</v>
      </c>
      <c r="F50" s="221">
        <f>$F$8</f>
        <v>45809</v>
      </c>
      <c r="J50" s="223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223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223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223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223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223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223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223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223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223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223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48" outlineLevel="1" x14ac:dyDescent="0.2">
      <c r="C51" s="117"/>
      <c r="D51" s="104"/>
      <c r="E51" s="104"/>
      <c r="F51" s="14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</row>
    <row r="52" spans="1:48" outlineLevel="1" x14ac:dyDescent="0.2">
      <c r="C52" s="117" t="s">
        <v>81</v>
      </c>
      <c r="D52" s="104" t="s">
        <v>90</v>
      </c>
      <c r="E52" s="154" t="str">
        <f>$E$8</f>
        <v>$millions</v>
      </c>
      <c r="F52" s="221">
        <f>$F$8</f>
        <v>45809</v>
      </c>
      <c r="J52" s="223">
        <f>SUM(J33,J38,J41,J44,J47,J50)*
'Input|Reported opex'!J71</f>
        <v>0</v>
      </c>
      <c r="K52" s="223">
        <f>SUM(K33,K38,K41,K44,K47,K50)*
'Input|Reported opex'!K71</f>
        <v>0</v>
      </c>
      <c r="L52" s="223">
        <f>SUM(L33,L38,L41,L44,L47,L50)*
'Input|Reported opex'!L71</f>
        <v>0</v>
      </c>
      <c r="M52" s="223">
        <f>SUM(M33,M38,M41,M44,M47,M50)*
'Input|Reported opex'!M71</f>
        <v>0</v>
      </c>
      <c r="N52" s="223">
        <f ca="1">SUM(N33,N38,N41,N44,N47,N50)*
'Input|Reported opex'!N71</f>
        <v>0</v>
      </c>
      <c r="O52" s="223">
        <f>SUM(O33,O38,O41,O44,O47,O50)*
'Input|Reported opex'!O71</f>
        <v>0</v>
      </c>
      <c r="P52" s="223">
        <f>SUM(P33,P38,P41,P44,P47,P50)*
'Input|Reported opex'!P71</f>
        <v>0</v>
      </c>
      <c r="Q52" s="223">
        <f>SUM(Q33,Q38,Q41,Q44,Q47,Q50)*
'Input|Reported opex'!Q71</f>
        <v>0</v>
      </c>
      <c r="R52" s="223">
        <f>SUM(R33,R38,R41,R44,R47,R50)*
'Input|Reported opex'!R71</f>
        <v>0</v>
      </c>
      <c r="S52" s="223">
        <f>SUM(S33,S38,S41,S44,S47,S50)*
'Input|Reported opex'!S71</f>
        <v>0</v>
      </c>
      <c r="T52" s="223">
        <f>SUM(T33,T38,T41,T44,T47,T50)*
'Input|Reported opex'!T71</f>
        <v>0</v>
      </c>
    </row>
    <row r="53" spans="1:48" outlineLevel="1" x14ac:dyDescent="0.2">
      <c r="C53" s="117"/>
      <c r="D53" s="104"/>
      <c r="E53" s="104"/>
      <c r="F53" s="14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</row>
    <row r="54" spans="1:48" outlineLevel="1" x14ac:dyDescent="0.2">
      <c r="C54" s="162" t="s">
        <v>158</v>
      </c>
      <c r="D54" s="106" t="s">
        <v>90</v>
      </c>
      <c r="E54" s="225" t="str">
        <f>$E$8</f>
        <v>$millions</v>
      </c>
      <c r="F54" s="226">
        <f>$F$8</f>
        <v>45809</v>
      </c>
      <c r="J54" s="214">
        <f>SUM(J33,J35,J38,J41,J44,J47,J50,J52)</f>
        <v>0</v>
      </c>
      <c r="K54" s="214">
        <f t="shared" ref="K54:S54" si="5">SUM(K33,K35,K38,K41,K44,K47,K50,K52)</f>
        <v>0</v>
      </c>
      <c r="L54" s="214">
        <f t="shared" si="5"/>
        <v>0</v>
      </c>
      <c r="M54" s="214">
        <f t="shared" si="5"/>
        <v>0</v>
      </c>
      <c r="N54" s="214">
        <f ca="1">SUM(N33,N35,N38,N41,N44,N47,N50,N52)</f>
        <v>176.65304265313441</v>
      </c>
      <c r="O54" s="214">
        <f t="shared" si="5"/>
        <v>0</v>
      </c>
      <c r="P54" s="214">
        <f t="shared" si="5"/>
        <v>0</v>
      </c>
      <c r="Q54" s="214">
        <f t="shared" si="5"/>
        <v>0</v>
      </c>
      <c r="R54" s="214">
        <f t="shared" si="5"/>
        <v>0</v>
      </c>
      <c r="S54" s="214">
        <f t="shared" si="5"/>
        <v>0</v>
      </c>
      <c r="T54" s="214">
        <f>SUM(T33,T35,T38,T41,T44,T47,T50,T52)</f>
        <v>0</v>
      </c>
    </row>
    <row r="55" spans="1:48" x14ac:dyDescent="0.2">
      <c r="J55" s="102"/>
      <c r="K55" s="102"/>
      <c r="L55" s="102"/>
      <c r="O55" s="227"/>
    </row>
    <row r="56" spans="1:48" s="98" customFormat="1" ht="12.75" x14ac:dyDescent="0.2">
      <c r="A56" s="89"/>
      <c r="B56" s="90" t="s">
        <v>79</v>
      </c>
      <c r="C56" s="89"/>
      <c r="D56" s="89"/>
      <c r="E56" s="89"/>
      <c r="F56" s="91"/>
      <c r="G56" s="91"/>
      <c r="H56" s="91"/>
      <c r="I56" s="91"/>
      <c r="J56" s="92"/>
      <c r="K56" s="93"/>
      <c r="L56" s="92"/>
      <c r="M56" s="93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  <c r="Y56" s="94"/>
      <c r="Z56" s="94"/>
      <c r="AA56" s="94"/>
      <c r="AB56" s="94"/>
      <c r="AC56" s="95"/>
      <c r="AD56" s="96"/>
      <c r="AE56" s="96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</row>
    <row r="57" spans="1:48" outlineLevel="1" x14ac:dyDescent="0.2"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</row>
    <row r="58" spans="1:48" outlineLevel="1" x14ac:dyDescent="0.2">
      <c r="C58" s="63" t="s">
        <v>40</v>
      </c>
      <c r="D58" s="29" t="s">
        <v>7</v>
      </c>
      <c r="E58" s="29" t="s">
        <v>8</v>
      </c>
      <c r="F58" s="29" t="s">
        <v>22</v>
      </c>
      <c r="J58" s="220" t="str">
        <f>IF(YEAR(J$4)&gt;='Input|General'!$G$13,IF(YEAR(J$4)&lt;='Input|General'!$G$14,J$4,""),"")</f>
        <v/>
      </c>
      <c r="K58" s="220" t="str">
        <f>IF(YEAR(K$4)&gt;='Input|General'!$G$13,IF(YEAR(K$4)&lt;='Input|General'!$G$14,K$4,""),"")</f>
        <v/>
      </c>
      <c r="L58" s="220" t="str">
        <f>IF(YEAR(L$4)&gt;='Input|General'!$G$13,IF(YEAR(L$4)&lt;='Input|General'!$G$14,L$4,""),"")</f>
        <v/>
      </c>
      <c r="M58" s="220" t="str">
        <f>IF(YEAR(M$4)&gt;='Input|General'!$G$13,IF(YEAR(M$4)&lt;='Input|General'!$G$14,M$4,""),"")</f>
        <v/>
      </c>
      <c r="N58" s="220" t="str">
        <f>IF(YEAR(N$4)&gt;='Input|General'!$G$13,IF(YEAR(N$4)&lt;='Input|General'!$G$14,N$4,""),"")</f>
        <v/>
      </c>
      <c r="O58" s="220">
        <f>IF(YEAR(O$4)&gt;='Input|General'!$G$13,IF(YEAR(O$4)&lt;='Input|General'!$G$14,O$4,""),"")</f>
        <v>46174</v>
      </c>
      <c r="P58" s="220">
        <f>IF(YEAR(P$4)&gt;='Input|General'!$G$13,IF(YEAR(P$4)&lt;='Input|General'!$G$14,P$4,""),"")</f>
        <v>46539</v>
      </c>
      <c r="Q58" s="220">
        <f>IF(YEAR(Q$4)&gt;='Input|General'!$G$13,IF(YEAR(Q$4)&lt;='Input|General'!$G$14,Q$4,""),"")</f>
        <v>46905</v>
      </c>
      <c r="R58" s="220">
        <f>IF(YEAR(R$4)&gt;='Input|General'!$G$13,IF(YEAR(R$4)&lt;='Input|General'!$G$14,R$4,""),"")</f>
        <v>47270</v>
      </c>
      <c r="S58" s="220">
        <f>IF(YEAR(S$4)&gt;='Input|General'!$G$13,IF(YEAR(S$4)&lt;='Input|General'!$G$14,S$4,""),"")</f>
        <v>47635</v>
      </c>
      <c r="T58" s="220" t="str">
        <f>IF(YEAR(T$4)&gt;='Input|General'!$G$13,IF(YEAR(T$4)&lt;='Input|General'!$G$14,T$4,""),"")</f>
        <v/>
      </c>
    </row>
    <row r="59" spans="1:48" outlineLevel="1" x14ac:dyDescent="0.2">
      <c r="C59" s="63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</row>
    <row r="60" spans="1:48" outlineLevel="1" x14ac:dyDescent="0.2">
      <c r="B60" s="63"/>
      <c r="C60" s="110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</row>
    <row r="61" spans="1:48" outlineLevel="1" x14ac:dyDescent="0.2">
      <c r="C61" s="105" t="s">
        <v>98</v>
      </c>
      <c r="D61" s="104" t="s">
        <v>29</v>
      </c>
      <c r="E61" s="27" t="s">
        <v>30</v>
      </c>
      <c r="F61" s="27" t="s">
        <v>35</v>
      </c>
      <c r="J61" s="228">
        <f ca="1">IF(J58=J4,AVERAGE(OFFSET('Input|Rate of change'!K97,0,0,COUNTA('Input|Rate of change'!$J$84:$M$84),1)),0)</f>
        <v>0</v>
      </c>
      <c r="K61" s="228">
        <f ca="1">IF(K58=K4,AVERAGE(OFFSET('Input|Rate of change'!L97,0,0,COUNTA('Input|Rate of change'!$J$84:$M$84),1)),0)</f>
        <v>0</v>
      </c>
      <c r="L61" s="228">
        <f ca="1">IF(L58=L4,AVERAGE(OFFSET('Input|Rate of change'!M97,0,0,COUNTA('Input|Rate of change'!$J$84:$M$84),1)),0)</f>
        <v>0</v>
      </c>
      <c r="M61" s="228">
        <f ca="1">IF(M58=M4,AVERAGE(OFFSET('Input|Rate of change'!N97,0,0,COUNTA('Input|Rate of change'!$J$84:$M$84),1)),0)</f>
        <v>0</v>
      </c>
      <c r="N61" s="228">
        <f ca="1">IF(N58=N4,AVERAGE(OFFSET('Input|Rate of change'!O97,0,0,COUNTA('Input|Rate of change'!$J$84:$M$84),1)),0)</f>
        <v>0</v>
      </c>
      <c r="O61" s="228">
        <f ca="1">IF(O58=O4,AVERAGE(OFFSET('Input|Rate of change'!P97,0,0,COUNTA('Input|Rate of change'!$J$84:$M$84),1)),0)</f>
        <v>8.4410624085763421E-3</v>
      </c>
      <c r="P61" s="228">
        <f ca="1">IF(P58=P4,AVERAGE(OFFSET('Input|Rate of change'!Q97,0,0,COUNTA('Input|Rate of change'!$J$84:$M$84),1)),0)</f>
        <v>7.2847114448390884E-3</v>
      </c>
      <c r="Q61" s="228">
        <f ca="1">IF(Q58=Q4,AVERAGE(OFFSET('Input|Rate of change'!R97,0,0,COUNTA('Input|Rate of change'!$J$84:$M$84),1)),0)</f>
        <v>6.4283723234401166E-3</v>
      </c>
      <c r="R61" s="228">
        <f ca="1">IF(R58=R4,AVERAGE(OFFSET('Input|Rate of change'!S97,0,0,COUNTA('Input|Rate of change'!$J$84:$M$84),1)),0)</f>
        <v>5.7312380935967706E-3</v>
      </c>
      <c r="S61" s="228">
        <f ca="1">IF(S58=S4,AVERAGE(OFFSET('Input|Rate of change'!T97,0,0,COUNTA('Input|Rate of change'!$J$84:$M$84),1)),0)</f>
        <v>4.4375942248801011E-3</v>
      </c>
      <c r="T61" s="228">
        <f ca="1">IF(T58=T4,AVERAGE(OFFSET('Input|Rate of change'!U97,0,0,COUNTA('Input|Rate of change'!$J$84:$M$84),1)),0)</f>
        <v>0</v>
      </c>
    </row>
    <row r="62" spans="1:48" outlineLevel="1" x14ac:dyDescent="0.2"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</row>
    <row r="63" spans="1:48" outlineLevel="1" x14ac:dyDescent="0.2">
      <c r="C63" s="105" t="s">
        <v>72</v>
      </c>
      <c r="D63" s="104" t="s">
        <v>29</v>
      </c>
      <c r="E63" s="27" t="s">
        <v>30</v>
      </c>
      <c r="F63" s="27" t="s">
        <v>35</v>
      </c>
      <c r="J63" s="228">
        <f>SUMPRODUCT('Input|Rate of change'!K38:K45,'Input|Rate of change'!K51:K58)</f>
        <v>0</v>
      </c>
      <c r="K63" s="228">
        <f>SUMPRODUCT('Input|Rate of change'!L38:L45,'Input|Rate of change'!L51:L58)</f>
        <v>0</v>
      </c>
      <c r="L63" s="228">
        <f>SUMPRODUCT('Input|Rate of change'!M38:M45,'Input|Rate of change'!M51:M58)</f>
        <v>0</v>
      </c>
      <c r="M63" s="228">
        <f>SUMPRODUCT('Input|Rate of change'!N38:N45,'Input|Rate of change'!N51:N58)</f>
        <v>0</v>
      </c>
      <c r="N63" s="228">
        <f>SUMPRODUCT('Input|Rate of change'!O38:O45,'Input|Rate of change'!O51:O58)</f>
        <v>0</v>
      </c>
      <c r="O63" s="228">
        <f>SUMPRODUCT('Input|Rate of change'!P38:P45,'Input|Rate of change'!P51:P58)</f>
        <v>8.7446285381116446E-3</v>
      </c>
      <c r="P63" s="228">
        <f>SUMPRODUCT('Input|Rate of change'!Q38:Q45,'Input|Rate of change'!Q51:Q58)</f>
        <v>6.0636213102213806E-3</v>
      </c>
      <c r="Q63" s="228">
        <f>SUMPRODUCT('Input|Rate of change'!R38:R45,'Input|Rate of change'!R51:R58)</f>
        <v>5.6547506177965709E-3</v>
      </c>
      <c r="R63" s="228">
        <f>SUMPRODUCT('Input|Rate of change'!S38:S45,'Input|Rate of change'!S51:S58)</f>
        <v>6.6085369971904326E-3</v>
      </c>
      <c r="S63" s="228">
        <f>SUMPRODUCT('Input|Rate of change'!T38:T45,'Input|Rate of change'!T51:T58)</f>
        <v>7.1094573620640025E-3</v>
      </c>
      <c r="T63" s="228">
        <f>SUMPRODUCT('Input|Rate of change'!U38:U45,'Input|Rate of change'!U51:U58)</f>
        <v>0</v>
      </c>
    </row>
    <row r="64" spans="1:48" outlineLevel="1" x14ac:dyDescent="0.2">
      <c r="C64" s="105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</row>
    <row r="65" spans="1:48" outlineLevel="1" x14ac:dyDescent="0.2">
      <c r="C65" s="105" t="s">
        <v>94</v>
      </c>
      <c r="D65" s="104" t="s">
        <v>29</v>
      </c>
      <c r="E65" s="27" t="s">
        <v>30</v>
      </c>
      <c r="F65" s="27" t="s">
        <v>35</v>
      </c>
      <c r="J65" s="228">
        <f>'Input|Rate of change'!K106</f>
        <v>0</v>
      </c>
      <c r="K65" s="228">
        <f>'Input|Rate of change'!L106</f>
        <v>0</v>
      </c>
      <c r="L65" s="228">
        <f>'Input|Rate of change'!M106</f>
        <v>0</v>
      </c>
      <c r="M65" s="228">
        <f>'Input|Rate of change'!N106</f>
        <v>0</v>
      </c>
      <c r="N65" s="228">
        <f>'Input|Rate of change'!O106</f>
        <v>0</v>
      </c>
      <c r="O65" s="228">
        <f>'Input|Rate of change'!P106</f>
        <v>8.6239999999999997E-3</v>
      </c>
      <c r="P65" s="228">
        <f>'Input|Rate of change'!Q106</f>
        <v>8.6239999999999997E-3</v>
      </c>
      <c r="Q65" s="228">
        <f>'Input|Rate of change'!R106</f>
        <v>8.6239999999999997E-3</v>
      </c>
      <c r="R65" s="228">
        <f>'Input|Rate of change'!S106</f>
        <v>8.6239999999999997E-3</v>
      </c>
      <c r="S65" s="228">
        <f>'Input|Rate of change'!T106</f>
        <v>8.6239999999999997E-3</v>
      </c>
      <c r="T65" s="228">
        <f>'Input|Rate of change'!U106</f>
        <v>0</v>
      </c>
    </row>
    <row r="66" spans="1:48" outlineLevel="1" x14ac:dyDescent="0.2">
      <c r="C66" s="105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</row>
    <row r="67" spans="1:48" outlineLevel="1" x14ac:dyDescent="0.2">
      <c r="C67" s="112" t="s">
        <v>128</v>
      </c>
      <c r="D67" s="108" t="s">
        <v>29</v>
      </c>
      <c r="E67" s="108" t="s">
        <v>30</v>
      </c>
      <c r="F67" s="108" t="s">
        <v>35</v>
      </c>
      <c r="J67" s="175">
        <f ca="1">(1+J61)*(1+J63)*(1-J65)-1</f>
        <v>0</v>
      </c>
      <c r="K67" s="175">
        <f t="shared" ref="K67:S67" ca="1" si="6">(1+K61)*(1+K63)*(1-K65)-1</f>
        <v>0</v>
      </c>
      <c r="L67" s="175">
        <f t="shared" ca="1" si="6"/>
        <v>0</v>
      </c>
      <c r="M67" s="175">
        <f t="shared" ca="1" si="6"/>
        <v>0</v>
      </c>
      <c r="N67" s="175">
        <f t="shared" ca="1" si="6"/>
        <v>0</v>
      </c>
      <c r="O67" s="175">
        <f t="shared" ca="1" si="6"/>
        <v>8.486658931644131E-3</v>
      </c>
      <c r="P67" s="175">
        <f t="shared" ca="1" si="6"/>
        <v>4.6530075279238581E-3</v>
      </c>
      <c r="Q67" s="175">
        <f t="shared" ca="1" si="6"/>
        <v>3.3909554416944321E-3</v>
      </c>
      <c r="R67" s="175">
        <f t="shared" ca="1" si="6"/>
        <v>3.6469053345320468E-3</v>
      </c>
      <c r="S67" s="175">
        <f t="shared" ca="1" si="6"/>
        <v>2.8547466233894703E-3</v>
      </c>
      <c r="T67" s="175">
        <f ca="1">(1+T61)*(1+T63)*(1-T65)-1</f>
        <v>0</v>
      </c>
    </row>
    <row r="68" spans="1:48" outlineLevel="1" x14ac:dyDescent="0.2">
      <c r="C68" s="118" t="s">
        <v>129</v>
      </c>
      <c r="D68" s="104" t="s">
        <v>29</v>
      </c>
      <c r="E68" s="27" t="s">
        <v>30</v>
      </c>
      <c r="F68" s="27" t="s">
        <v>35</v>
      </c>
      <c r="J68" s="228" t="str">
        <f t="array" ref="J68">IF(J$58=J$4,PRODUCT(1+$J67:J67)-1,"")</f>
        <v/>
      </c>
      <c r="K68" s="228" t="str">
        <f t="array" ref="K68">IF(K$58=K$4,PRODUCT(1+$J67:K67)-1,"")</f>
        <v/>
      </c>
      <c r="L68" s="228" t="str">
        <f t="array" ref="L68">IF(L$58=L$4,PRODUCT(1+$J67:L67)-1,"")</f>
        <v/>
      </c>
      <c r="M68" s="228" t="str">
        <f t="array" ref="M68">IF(M$58=M$4,PRODUCT(1+$J67:M67)-1,"")</f>
        <v/>
      </c>
      <c r="N68" s="228" t="str">
        <f t="array" ref="N68">IF(N$58=N$4,PRODUCT(1+$J67:N67)-1,"")</f>
        <v/>
      </c>
      <c r="O68" s="228">
        <f t="array" aca="1" ref="O68" ca="1">IF(O$58=O$4,PRODUCT(1+$J67:O67)-1,"")</f>
        <v>8.486658931644131E-3</v>
      </c>
      <c r="P68" s="228">
        <f t="array" aca="1" ref="P68" ca="1">IF(P$58=P$4,PRODUCT(1+$J67:P67)-1,"")</f>
        <v>1.31791549474638E-2</v>
      </c>
      <c r="Q68" s="228">
        <f t="array" aca="1" ref="Q68" ca="1">IF(Q$58=Q$4,PRODUCT(1+$J67:Q67)-1,"")</f>
        <v>1.6614800316344214E-2</v>
      </c>
      <c r="R68" s="228">
        <f t="array" aca="1" ref="R68" ca="1">IF(R$58=R$4,PRODUCT(1+$J67:R67)-1,"")</f>
        <v>2.0322298254782156E-2</v>
      </c>
      <c r="S68" s="228">
        <f t="array" aca="1" ref="S68" ca="1">IF(S$58=S$4,PRODUCT(1+$J67:S67)-1,"")</f>
        <v>2.3235059890494014E-2</v>
      </c>
      <c r="T68" s="228" t="str">
        <f t="array" ref="T68">IF(T$58=T$4,PRODUCT(1+$J67:T67)-1,"")</f>
        <v/>
      </c>
    </row>
    <row r="69" spans="1:48" x14ac:dyDescent="0.2">
      <c r="J69" s="102"/>
      <c r="K69" s="102"/>
      <c r="L69" s="102"/>
      <c r="M69" s="102"/>
      <c r="N69" s="102"/>
      <c r="O69" s="113"/>
      <c r="P69" s="113"/>
      <c r="Q69" s="113"/>
      <c r="R69" s="113"/>
      <c r="S69" s="113"/>
      <c r="T69" s="113"/>
    </row>
    <row r="70" spans="1:48" s="98" customFormat="1" ht="12.75" x14ac:dyDescent="0.2">
      <c r="A70" s="89"/>
      <c r="B70" s="90" t="s">
        <v>82</v>
      </c>
      <c r="C70" s="89"/>
      <c r="D70" s="89"/>
      <c r="E70" s="89"/>
      <c r="F70" s="91"/>
      <c r="G70" s="91"/>
      <c r="H70" s="91"/>
      <c r="I70" s="91"/>
      <c r="J70" s="92"/>
      <c r="K70" s="93"/>
      <c r="L70" s="92"/>
      <c r="M70" s="93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  <c r="Y70" s="94"/>
      <c r="Z70" s="94"/>
      <c r="AA70" s="94"/>
      <c r="AB70" s="94"/>
      <c r="AC70" s="95"/>
      <c r="AD70" s="96"/>
      <c r="AE70" s="96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</row>
    <row r="71" spans="1:48" outlineLevel="1" x14ac:dyDescent="0.2">
      <c r="C71" s="101"/>
      <c r="J71" s="102"/>
      <c r="K71" s="102"/>
      <c r="L71" s="102"/>
    </row>
    <row r="72" spans="1:48" outlineLevel="1" x14ac:dyDescent="0.2">
      <c r="C72" s="63" t="s">
        <v>95</v>
      </c>
      <c r="D72" s="29" t="s">
        <v>7</v>
      </c>
      <c r="E72" s="29" t="s">
        <v>8</v>
      </c>
      <c r="F72" s="29" t="s">
        <v>22</v>
      </c>
      <c r="J72" s="220" t="str">
        <f>IF(YEAR(J$4)&gt;='Input|General'!$G$13,IF(YEAR(J$4)&lt;='Input|General'!$G$14,J$4,""),"")</f>
        <v/>
      </c>
      <c r="K72" s="220" t="str">
        <f>IF(YEAR(K$4)&gt;='Input|General'!$G$13,IF(YEAR(K$4)&lt;='Input|General'!$G$14,K$4,""),"")</f>
        <v/>
      </c>
      <c r="L72" s="220" t="str">
        <f>IF(YEAR(L$4)&gt;='Input|General'!$G$13,IF(YEAR(L$4)&lt;='Input|General'!$G$14,L$4,""),"")</f>
        <v/>
      </c>
      <c r="M72" s="220" t="str">
        <f>IF(YEAR(M$4)&gt;='Input|General'!$G$13,IF(YEAR(M$4)&lt;='Input|General'!$G$14,M$4,""),"")</f>
        <v/>
      </c>
      <c r="N72" s="220" t="str">
        <f>IF(YEAR(N$4)&gt;='Input|General'!$G$13,IF(YEAR(N$4)&lt;='Input|General'!$G$14,N$4,""),"")</f>
        <v/>
      </c>
      <c r="O72" s="220">
        <f>IF(YEAR(O$4)&gt;='Input|General'!$G$13,IF(YEAR(O$4)&lt;='Input|General'!$G$14,O$4,""),"")</f>
        <v>46174</v>
      </c>
      <c r="P72" s="220">
        <f>IF(YEAR(P$4)&gt;='Input|General'!$G$13,IF(YEAR(P$4)&lt;='Input|General'!$G$14,P$4,""),"")</f>
        <v>46539</v>
      </c>
      <c r="Q72" s="220">
        <f>IF(YEAR(Q$4)&gt;='Input|General'!$G$13,IF(YEAR(Q$4)&lt;='Input|General'!$G$14,Q$4,""),"")</f>
        <v>46905</v>
      </c>
      <c r="R72" s="220">
        <f>IF(YEAR(R$4)&gt;='Input|General'!$G$13,IF(YEAR(R$4)&lt;='Input|General'!$G$14,R$4,""),"")</f>
        <v>47270</v>
      </c>
      <c r="S72" s="220">
        <f>IF(YEAR(S$4)&gt;='Input|General'!$G$13,IF(YEAR(S$4)&lt;='Input|General'!$G$14,S$4,""),"")</f>
        <v>47635</v>
      </c>
      <c r="T72" s="220" t="str">
        <f>IF(YEAR(T$4)&gt;='Input|General'!$G$13,IF(YEAR(T$4)&lt;='Input|General'!$G$14,T$4,""),"")</f>
        <v/>
      </c>
    </row>
    <row r="73" spans="1:48" outlineLevel="1" x14ac:dyDescent="0.2">
      <c r="C73" s="63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</row>
    <row r="74" spans="1:48" outlineLevel="1" x14ac:dyDescent="0.2">
      <c r="C74" s="115" t="str">
        <f>'Input|Step changes'!C12</f>
        <v>Support for customers experiencing vulnerability</v>
      </c>
      <c r="D74" s="104" t="s">
        <v>29</v>
      </c>
      <c r="E74" s="100" t="str">
        <f t="shared" ref="E74:E90" si="7">$E$8</f>
        <v>$millions</v>
      </c>
      <c r="F74" s="221">
        <f t="shared" ref="F74:F80" si="8">$F$8</f>
        <v>45809</v>
      </c>
      <c r="J74" s="229">
        <f>'Input|Step changes'!J12*INDEX('Input|Rate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K74" s="229">
        <f>'Input|Step changes'!K12*INDEX('Input|Rate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L74" s="229">
        <f>'Input|Step changes'!L12*INDEX('Input|Rate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M74" s="229">
        <f>'Input|Step changes'!M12*INDEX('Input|Rate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N74" s="229">
        <f>'Input|Step changes'!N12*INDEX('Input|Rate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O74" s="229">
        <f>'Input|Step changes'!O12*INDEX('Input|Rate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0.53251149999999992</v>
      </c>
      <c r="P74" s="229">
        <f>'Input|Step changes'!P12*INDEX('Input|Rate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0.53251149999999992</v>
      </c>
      <c r="Q74" s="229">
        <f>'Input|Step changes'!Q12*INDEX('Input|Rate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0.53251149999999992</v>
      </c>
      <c r="R74" s="229">
        <f>'Input|Step changes'!R12*INDEX('Input|Rate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0.53251149999999992</v>
      </c>
      <c r="S74" s="229">
        <f>'Input|Step changes'!S12*INDEX('Input|Rate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0.53251149999999992</v>
      </c>
      <c r="T74" s="229">
        <f>'Input|Step changes'!T12*INDEX('Input|Rate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</row>
    <row r="75" spans="1:48" outlineLevel="1" x14ac:dyDescent="0.2">
      <c r="C75" s="115" t="str">
        <f>'Input|Step changes'!C13</f>
        <v>ICT services for new recurrent projects</v>
      </c>
      <c r="D75" s="104" t="s">
        <v>29</v>
      </c>
      <c r="E75" s="100" t="str">
        <f t="shared" si="7"/>
        <v>$millions</v>
      </c>
      <c r="F75" s="221">
        <f t="shared" si="8"/>
        <v>45809</v>
      </c>
      <c r="J75" s="229">
        <f>'Input|Step changes'!J13*INDEX('Input|Rate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K75" s="229">
        <f>'Input|Step changes'!K13*INDEX('Input|Rate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L75" s="229">
        <f>'Input|Step changes'!L13*INDEX('Input|Rate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M75" s="229">
        <f>'Input|Step changes'!M13*INDEX('Input|Rate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N75" s="229">
        <f>'Input|Step changes'!N13*INDEX('Input|Rate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O75" s="229">
        <f>'Input|Step changes'!O13*INDEX('Input|Rate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0.75507280076902472</v>
      </c>
      <c r="P75" s="229">
        <f>'Input|Step changes'!P13*INDEX('Input|Rate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2.2559526398217771</v>
      </c>
      <c r="Q75" s="229">
        <f>'Input|Step changes'!Q13*INDEX('Input|Rate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3.7545348366970632</v>
      </c>
      <c r="R75" s="229">
        <f>'Input|Step changes'!R13*INDEX('Input|Rate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3.9285183947618556</v>
      </c>
      <c r="S75" s="229">
        <f>'Input|Step changes'!S13*INDEX('Input|Rate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4.3437999499808351</v>
      </c>
      <c r="T75" s="229">
        <f>'Input|Step changes'!T13*INDEX('Input|Rate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</row>
    <row r="76" spans="1:48" outlineLevel="1" x14ac:dyDescent="0.2">
      <c r="C76" s="115" t="str">
        <f>'Input|Step changes'!C14</f>
        <v>Emissions reduction – Climate change reporting</v>
      </c>
      <c r="D76" s="154" t="s">
        <v>29</v>
      </c>
      <c r="E76" s="100" t="str">
        <f t="shared" si="7"/>
        <v>$millions</v>
      </c>
      <c r="F76" s="221">
        <f t="shared" si="8"/>
        <v>45809</v>
      </c>
      <c r="G76" s="100"/>
      <c r="H76" s="100"/>
      <c r="I76" s="100"/>
      <c r="J76" s="229">
        <f>'Input|Step changes'!J14
*INDEX('Input|Rate of change'!$C$14:$P$22,
                MATCH('Input|Step changes'!$F14,'Input|Rate of change'!$C$14:$C$22,0),
                MATCH('Calc|Opex forecast'!$F76,'Input|Rate of change'!$C$14:$P$14,0))
*IF('Input|Step changes'!$E14="$millions",1000000,IF('Input|Step changes'!$E14="$000",1000,1))
/IF($E76="$millions",1000000,IF($E76="$000",1000,1))</f>
        <v>0</v>
      </c>
      <c r="K76" s="229">
        <f>'Input|Step changes'!K14
*INDEX('Input|Rate of change'!$C$14:$P$22,
                MATCH('Input|Step changes'!$F14,'Input|Rate of change'!$C$14:$C$22,0),
                MATCH('Calc|Opex forecast'!$F76,'Input|Rate of change'!$C$14:$P$14,0))
*IF('Input|Step changes'!$E14="$millions",1000000,IF('Input|Step changes'!$E14="$000",1000,1))
/IF($E76="$millions",1000000,IF($E76="$000",1000,1))</f>
        <v>0</v>
      </c>
      <c r="L76" s="229">
        <f>'Input|Step changes'!L14
*INDEX('Input|Rate of change'!$C$14:$P$22,
                MATCH('Input|Step changes'!$F14,'Input|Rate of change'!$C$14:$C$22,0),
                MATCH('Calc|Opex forecast'!$F76,'Input|Rate of change'!$C$14:$P$14,0))
*IF('Input|Step changes'!$E14="$millions",1000000,IF('Input|Step changes'!$E14="$000",1000,1))
/IF($E76="$millions",1000000,IF($E76="$000",1000,1))</f>
        <v>0</v>
      </c>
      <c r="M76" s="229">
        <f>'Input|Step changes'!M14
*INDEX('Input|Rate of change'!$C$14:$P$22,
                MATCH('Input|Step changes'!$F14,'Input|Rate of change'!$C$14:$C$22,0),
                MATCH('Calc|Opex forecast'!$F76,'Input|Rate of change'!$C$14:$P$14,0))
*IF('Input|Step changes'!$E14="$millions",1000000,IF('Input|Step changes'!$E14="$000",1000,1))
/IF($E76="$millions",1000000,IF($E76="$000",1000,1))</f>
        <v>0</v>
      </c>
      <c r="N76" s="229">
        <f>'Input|Step changes'!N14
*INDEX('Input|Rate of change'!$C$14:$P$22,
                MATCH('Input|Step changes'!$F14,'Input|Rate of change'!$C$14:$C$22,0),
                MATCH('Calc|Opex forecast'!$F76,'Input|Rate of change'!$C$14:$P$14,0))
*IF('Input|Step changes'!$E14="$millions",1000000,IF('Input|Step changes'!$E14="$000",1000,1))
/IF($E76="$millions",1000000,IF($E76="$000",1000,1))</f>
        <v>0</v>
      </c>
      <c r="O76" s="229">
        <f>'Input|Step changes'!O14*INDEX('Input|Rate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0.78049804122972455</v>
      </c>
      <c r="P76" s="229">
        <f>'Input|Step changes'!P14*INDEX('Input|Rate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0.70714690154055548</v>
      </c>
      <c r="Q76" s="229">
        <f>'Input|Step changes'!Q14*INDEX('Input|Rate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0.70714690154055548</v>
      </c>
      <c r="R76" s="229">
        <f>'Input|Step changes'!R14*INDEX('Input|Rate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0.70714690154055548</v>
      </c>
      <c r="S76" s="229">
        <f>'Input|Step changes'!S14*INDEX('Input|Rate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0.70714690154055548</v>
      </c>
      <c r="T76" s="229">
        <f>'Input|Step changes'!T14
*INDEX('Input|Rate of change'!$C$14:$P$22,
                MATCH('Input|Step changes'!$F14,'Input|Rate of change'!$C$14:$C$22,0),
                MATCH('Calc|Opex forecast'!$F76,'Input|Rate of change'!$C$14:$P$14,0))
*IF('Input|Step changes'!$E14="$millions",1000000,IF('Input|Step changes'!$E14="$000",1000,1))
/IF($E76="$millions",1000000,IF($E76="$000",1000,1))</f>
        <v>0</v>
      </c>
    </row>
    <row r="77" spans="1:48" outlineLevel="1" x14ac:dyDescent="0.2">
      <c r="C77" s="115" t="str">
        <f>'Input|Step changes'!C15</f>
        <v>Emissions measurement – Picarro leak detection services</v>
      </c>
      <c r="D77" s="154" t="s">
        <v>29</v>
      </c>
      <c r="E77" s="100" t="str">
        <f t="shared" si="7"/>
        <v>$millions</v>
      </c>
      <c r="F77" s="221">
        <f t="shared" si="8"/>
        <v>45809</v>
      </c>
      <c r="G77" s="100"/>
      <c r="H77" s="100"/>
      <c r="I77" s="100"/>
      <c r="J77" s="229">
        <f>'Input|Step changes'!J16
*INDEX('Input|Rate of change'!$C$14:$P$22,
                MATCH('Input|Step changes'!$F16,'Input|Rate of change'!$C$14:$C$22,0),
                MATCH('Calc|Opex forecast'!$F77,'Input|Rate of change'!$C$14:$P$14,0))
*IF('Input|Step changes'!$E16="$millions",1000000,IF('Input|Step changes'!$E16="$000",1000,1))
/IF($E77="$millions",1000000,IF($E77="$000",1000,1))</f>
        <v>0</v>
      </c>
      <c r="K77" s="229">
        <f>'Input|Step changes'!K16
*INDEX('Input|Rate of change'!$C$14:$P$22,
                MATCH('Input|Step changes'!$F16,'Input|Rate of change'!$C$14:$C$22,0),
                MATCH('Calc|Opex forecast'!$F77,'Input|Rate of change'!$C$14:$P$14,0))
*IF('Input|Step changes'!$E16="$millions",1000000,IF('Input|Step changes'!$E16="$000",1000,1))
/IF($E77="$millions",1000000,IF($E77="$000",1000,1))</f>
        <v>0</v>
      </c>
      <c r="L77" s="229">
        <f>'Input|Step changes'!L16
*INDEX('Input|Rate of change'!$C$14:$P$22,
                MATCH('Input|Step changes'!$F16,'Input|Rate of change'!$C$14:$C$22,0),
                MATCH('Calc|Opex forecast'!$F77,'Input|Rate of change'!$C$14:$P$14,0))
*IF('Input|Step changes'!$E16="$millions",1000000,IF('Input|Step changes'!$E16="$000",1000,1))
/IF($E77="$millions",1000000,IF($E77="$000",1000,1))</f>
        <v>0</v>
      </c>
      <c r="M77" s="229">
        <f>'Input|Step changes'!M16
*INDEX('Input|Rate of change'!$C$14:$P$22,
                MATCH('Input|Step changes'!$F16,'Input|Rate of change'!$C$14:$C$22,0),
                MATCH('Calc|Opex forecast'!$F77,'Input|Rate of change'!$C$14:$P$14,0))
*IF('Input|Step changes'!$E16="$millions",1000000,IF('Input|Step changes'!$E16="$000",1000,1))
/IF($E77="$millions",1000000,IF($E77="$000",1000,1))</f>
        <v>0</v>
      </c>
      <c r="N77" s="229">
        <f>'Input|Step changes'!N16
*INDEX('Input|Rate of change'!$C$14:$P$22,
                MATCH('Input|Step changes'!$F16,'Input|Rate of change'!$C$14:$C$22,0),
                MATCH('Calc|Opex forecast'!$F77,'Input|Rate of change'!$C$14:$P$14,0))
*IF('Input|Step changes'!$E16="$millions",1000000,IF('Input|Step changes'!$E16="$000",1000,1))
/IF($E77="$millions",1000000,IF($E77="$000",1000,1))</f>
        <v>0</v>
      </c>
      <c r="O77" s="229">
        <f>'Input|Step changes'!O15*INDEX('Input|Rate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4.1714219385175042</v>
      </c>
      <c r="P77" s="229">
        <f>'Input|Step changes'!P15*INDEX('Input|Rate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4.1426054193539024</v>
      </c>
      <c r="Q77" s="229">
        <f>'Input|Step changes'!Q15*INDEX('Input|Rate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4.1630439274568642</v>
      </c>
      <c r="R77" s="229">
        <f>'Input|Step changes'!R15*INDEX('Input|Rate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4.1630439274568642</v>
      </c>
      <c r="S77" s="229">
        <f>'Input|Step changes'!S15*INDEX('Input|Rate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4.1630439274568642</v>
      </c>
      <c r="T77" s="229">
        <f>'Input|Step changes'!T16
*INDEX('Input|Rate of change'!$C$14:$P$22,
                MATCH('Input|Step changes'!$F16,'Input|Rate of change'!$C$14:$C$22,0),
                MATCH('Calc|Opex forecast'!$F77,'Input|Rate of change'!$C$14:$P$14,0))
*IF('Input|Step changes'!$E16="$millions",1000000,IF('Input|Step changes'!$E16="$000",1000,1))
/IF($E77="$millions",1000000,IF($E77="$000",1000,1))</f>
        <v>0</v>
      </c>
    </row>
    <row r="78" spans="1:48" outlineLevel="1" x14ac:dyDescent="0.2">
      <c r="C78" s="115" t="str">
        <f>'Input|Step changes'!C16</f>
        <v>Pipeline Integrity Management Program</v>
      </c>
      <c r="D78" s="154" t="s">
        <v>29</v>
      </c>
      <c r="E78" s="100" t="str">
        <f t="shared" si="7"/>
        <v>$millions</v>
      </c>
      <c r="F78" s="221">
        <f t="shared" si="8"/>
        <v>45809</v>
      </c>
      <c r="G78" s="100"/>
      <c r="H78" s="100"/>
      <c r="I78" s="100"/>
      <c r="J78" s="229"/>
      <c r="K78" s="229"/>
      <c r="L78" s="229"/>
      <c r="M78" s="229"/>
      <c r="N78" s="229"/>
      <c r="O78" s="229">
        <f>'Input|Step changes'!O16*INDEX('Input|Rate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9.3043628062510475</v>
      </c>
      <c r="P78" s="229">
        <f>'Input|Step changes'!P16*INDEX('Input|Rate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3.1447594010837103</v>
      </c>
      <c r="Q78" s="229">
        <f>'Input|Step changes'!Q16*INDEX('Input|Rate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4.0755185204739055</v>
      </c>
      <c r="R78" s="229">
        <f>'Input|Step changes'!R16*INDEX('Input|Rate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4.0334893338255124</v>
      </c>
      <c r="S78" s="229">
        <f>'Input|Step changes'!S16*INDEX('Input|Rate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7.5759522043658878</v>
      </c>
      <c r="T78" s="229"/>
    </row>
    <row r="79" spans="1:48" outlineLevel="1" x14ac:dyDescent="0.2">
      <c r="C79" s="115"/>
      <c r="D79" s="104"/>
      <c r="F79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</row>
    <row r="80" spans="1:48" outlineLevel="1" x14ac:dyDescent="0.2">
      <c r="C80" s="107" t="s">
        <v>47</v>
      </c>
      <c r="D80" s="116" t="s">
        <v>29</v>
      </c>
      <c r="E80" s="230" t="str">
        <f>$E$8</f>
        <v>$millions</v>
      </c>
      <c r="F80" s="231">
        <f t="shared" si="8"/>
        <v>45809</v>
      </c>
      <c r="G80" s="29"/>
      <c r="H80" s="29"/>
      <c r="I80" s="29"/>
      <c r="J80" s="213">
        <f t="shared" ref="J80:T80" si="9">SUM(J73:J79)</f>
        <v>0</v>
      </c>
      <c r="K80" s="213">
        <f t="shared" si="9"/>
        <v>0</v>
      </c>
      <c r="L80" s="213">
        <f t="shared" si="9"/>
        <v>0</v>
      </c>
      <c r="M80" s="213">
        <f t="shared" si="9"/>
        <v>0</v>
      </c>
      <c r="N80" s="213">
        <f t="shared" si="9"/>
        <v>0</v>
      </c>
      <c r="O80" s="213">
        <f t="shared" si="9"/>
        <v>15.543867086767301</v>
      </c>
      <c r="P80" s="213">
        <f t="shared" si="9"/>
        <v>10.782975861799946</v>
      </c>
      <c r="Q80" s="213">
        <f t="shared" si="9"/>
        <v>13.232755686168389</v>
      </c>
      <c r="R80" s="213">
        <f t="shared" si="9"/>
        <v>13.364710057584789</v>
      </c>
      <c r="S80" s="213">
        <f t="shared" si="9"/>
        <v>17.322454483344142</v>
      </c>
      <c r="T80" s="213">
        <f t="shared" si="9"/>
        <v>0</v>
      </c>
    </row>
    <row r="81" spans="1:48" x14ac:dyDescent="0.2">
      <c r="C81" s="117"/>
      <c r="D81" s="104"/>
      <c r="E81" s="104"/>
      <c r="F81"/>
      <c r="J81" s="102"/>
      <c r="K81" s="102"/>
      <c r="L81" s="102"/>
      <c r="M81" s="102"/>
      <c r="N81" s="21"/>
      <c r="O81" s="21"/>
      <c r="P81" s="21"/>
      <c r="Q81" s="21"/>
      <c r="R81" s="21"/>
      <c r="S81" s="21"/>
      <c r="T81" s="21"/>
    </row>
    <row r="82" spans="1:48" s="98" customFormat="1" ht="12.75" x14ac:dyDescent="0.2">
      <c r="A82" s="89"/>
      <c r="B82" s="90" t="s">
        <v>108</v>
      </c>
      <c r="C82" s="89"/>
      <c r="D82" s="89"/>
      <c r="E82" s="89"/>
      <c r="F82" s="91"/>
      <c r="G82" s="91"/>
      <c r="H82" s="91"/>
      <c r="I82" s="91"/>
      <c r="J82" s="92"/>
      <c r="K82" s="93"/>
      <c r="L82" s="92"/>
      <c r="M82" s="93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  <c r="Y82" s="94"/>
      <c r="Z82" s="94"/>
      <c r="AA82" s="94"/>
      <c r="AB82" s="94"/>
      <c r="AC82" s="95"/>
      <c r="AD82" s="96"/>
      <c r="AE82" s="96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</row>
    <row r="83" spans="1:48" outlineLevel="1" x14ac:dyDescent="0.2">
      <c r="C83" s="101"/>
      <c r="J83" s="102"/>
      <c r="K83" s="102"/>
      <c r="L83" s="102"/>
    </row>
    <row r="84" spans="1:48" outlineLevel="1" x14ac:dyDescent="0.2">
      <c r="C84" s="63" t="s">
        <v>102</v>
      </c>
      <c r="D84" s="29" t="s">
        <v>7</v>
      </c>
      <c r="E84" s="29" t="s">
        <v>8</v>
      </c>
      <c r="F84" s="29" t="s">
        <v>22</v>
      </c>
      <c r="J84" s="220" t="str">
        <f>IF(YEAR(J$4)&gt;='Input|General'!$G$13,IF(YEAR(J$4)&lt;='Input|General'!$G$14,J$4,""),"")</f>
        <v/>
      </c>
      <c r="K84" s="220" t="str">
        <f>IF(YEAR(K$4)&gt;='Input|General'!$G$13,IF(YEAR(K$4)&lt;='Input|General'!$G$14,K$4,""),"")</f>
        <v/>
      </c>
      <c r="L84" s="220" t="str">
        <f>IF(YEAR(L$4)&gt;='Input|General'!$G$13,IF(YEAR(L$4)&lt;='Input|General'!$G$14,L$4,""),"")</f>
        <v/>
      </c>
      <c r="M84" s="220" t="str">
        <f>IF(YEAR(M$4)&gt;='Input|General'!$G$13,IF(YEAR(M$4)&lt;='Input|General'!$G$14,M$4,""),"")</f>
        <v/>
      </c>
      <c r="N84" s="220" t="str">
        <f>IF(YEAR(N$4)&gt;='Input|General'!$G$13,IF(YEAR(N$4)&lt;='Input|General'!$G$14,N$4,""),"")</f>
        <v/>
      </c>
      <c r="O84" s="220">
        <f>IF(YEAR(O$4)&gt;='Input|General'!$G$13,IF(YEAR(O$4)&lt;='Input|General'!$G$14,O$4,""),"")</f>
        <v>46174</v>
      </c>
      <c r="P84" s="220">
        <f>IF(YEAR(P$4)&gt;='Input|General'!$G$13,IF(YEAR(P$4)&lt;='Input|General'!$G$14,P$4,""),"")</f>
        <v>46539</v>
      </c>
      <c r="Q84" s="220">
        <f>IF(YEAR(Q$4)&gt;='Input|General'!$G$13,IF(YEAR(Q$4)&lt;='Input|General'!$G$14,Q$4,""),"")</f>
        <v>46905</v>
      </c>
      <c r="R84" s="220">
        <f>IF(YEAR(R$4)&gt;='Input|General'!$G$13,IF(YEAR(R$4)&lt;='Input|General'!$G$14,R$4,""),"")</f>
        <v>47270</v>
      </c>
      <c r="S84" s="220">
        <f>IF(YEAR(S$4)&gt;='Input|General'!$G$13,IF(YEAR(S$4)&lt;='Input|General'!$G$14,S$4,""),"")</f>
        <v>47635</v>
      </c>
      <c r="T84" s="220" t="str">
        <f>IF(YEAR(T$4)&gt;='Input|General'!$G$13,IF(YEAR(T$4)&lt;='Input|General'!$G$14,T$4,""),"")</f>
        <v/>
      </c>
    </row>
    <row r="85" spans="1:48" outlineLevel="1" x14ac:dyDescent="0.2">
      <c r="C85" s="63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</row>
    <row r="86" spans="1:48" outlineLevel="1" x14ac:dyDescent="0.2">
      <c r="C86" s="115" t="str">
        <f>'Input|Step changes'!C24</f>
        <v>UAG costs</v>
      </c>
      <c r="D86" s="104" t="s">
        <v>29</v>
      </c>
      <c r="E86" s="100" t="str">
        <f t="shared" si="7"/>
        <v>$millions</v>
      </c>
      <c r="F86" s="221">
        <f>$F$8</f>
        <v>45809</v>
      </c>
      <c r="J86" s="229">
        <f>'Input|Step changes'!J24*INDEX('Input|Rate of change'!$C$14:$P$22,MATCH('Input|Step changes'!$F24,'Input|Rate of change'!$C$14:$C$22,0),MATCH('Calc|Opex forecast'!$F86,'Input|Rate of change'!$C$14:$P$14,0))*IF('Input|Step changes'!$E24="$millions",1000000,IF('Input|Step changes'!$E24="$000",1000,1))/IF($E86="$millions",1000000,IF($E86="$000",1000,1))</f>
        <v>0</v>
      </c>
      <c r="K86" s="229">
        <f>'Input|Step changes'!K24*INDEX('Input|Rate of change'!$C$14:$P$22,MATCH('Input|Step changes'!$F24,'Input|Rate of change'!$C$14:$C$22,0),MATCH('Calc|Opex forecast'!$F86,'Input|Rate of change'!$C$14:$P$14,0))*IF('Input|Step changes'!$E24="$millions",1000000,IF('Input|Step changes'!$E24="$000",1000,1))/IF($E86="$millions",1000000,IF($E86="$000",1000,1))</f>
        <v>0</v>
      </c>
      <c r="L86" s="229">
        <f>'Input|Step changes'!L24*INDEX('Input|Rate of change'!$C$14:$P$22,MATCH('Input|Step changes'!$F24,'Input|Rate of change'!$C$14:$C$22,0),MATCH('Calc|Opex forecast'!$F86,'Input|Rate of change'!$C$14:$P$14,0))*IF('Input|Step changes'!$E24="$millions",1000000,IF('Input|Step changes'!$E24="$000",1000,1))/IF($E86="$millions",1000000,IF($E86="$000",1000,1))</f>
        <v>0</v>
      </c>
      <c r="M86" s="229">
        <f>'Input|Step changes'!M24*INDEX('Input|Rate of change'!$C$14:$P$22,MATCH('Input|Step changes'!$F24,'Input|Rate of change'!$C$14:$C$22,0),MATCH('Calc|Opex forecast'!$F86,'Input|Rate of change'!$C$14:$P$14,0))*IF('Input|Step changes'!$E24="$millions",1000000,IF('Input|Step changes'!$E24="$000",1000,1))/IF($E86="$millions",1000000,IF($E86="$000",1000,1))</f>
        <v>0</v>
      </c>
      <c r="N86" s="229">
        <f>'Input|Step changes'!N24*INDEX('Input|Rate of change'!$C$14:$P$22,MATCH('Input|Step changes'!$F24,'Input|Rate of change'!$C$14:$C$22,0),MATCH('Calc|Opex forecast'!$F86,'Input|Rate of change'!$C$14:$P$14,0))*IF('Input|Step changes'!$E24="$millions",1000000,IF('Input|Step changes'!$E24="$000",1000,1))/IF($E86="$millions",1000000,IF($E86="$000",1000,1))</f>
        <v>0</v>
      </c>
      <c r="O86" s="229">
        <f>'Input|Step changes'!O24*INDEX('Input|Rate of change'!$C$14:$P$22,MATCH('Input|Step changes'!$F24,'Input|Rate of change'!$C$14:$C$22,0),MATCH('Calc|Opex forecast'!$F86,'Input|Rate of change'!$C$14:$P$14,0))*IF('Input|Step changes'!$E24="$millions",1000000,IF('Input|Step changes'!$E24="$000",1000,1))/IF($E86="$millions",1000000,IF($E86="$000",1000,1))</f>
        <v>36.108636153228488</v>
      </c>
      <c r="P86" s="229">
        <f>'Input|Step changes'!P24*INDEX('Input|Rate of change'!$C$14:$P$22,MATCH('Input|Step changes'!$F24,'Input|Rate of change'!$C$14:$C$22,0),MATCH('Calc|Opex forecast'!$F86,'Input|Rate of change'!$C$14:$P$14,0))*IF('Input|Step changes'!$E24="$millions",1000000,IF('Input|Step changes'!$E24="$000",1000,1))/IF($E86="$millions",1000000,IF($E86="$000",1000,1))</f>
        <v>32.762974544000471</v>
      </c>
      <c r="Q86" s="229">
        <f>'Input|Step changes'!Q24*INDEX('Input|Rate of change'!$C$14:$P$22,MATCH('Input|Step changes'!$F24,'Input|Rate of change'!$C$14:$C$22,0),MATCH('Calc|Opex forecast'!$F86,'Input|Rate of change'!$C$14:$P$14,0))*IF('Input|Step changes'!$E24="$millions",1000000,IF('Input|Step changes'!$E24="$000",1000,1))/IF($E86="$millions",1000000,IF($E86="$000",1000,1))</f>
        <v>27.760733062397151</v>
      </c>
      <c r="R86" s="229">
        <f>'Input|Step changes'!R24*INDEX('Input|Rate of change'!$C$14:$P$22,MATCH('Input|Step changes'!$F24,'Input|Rate of change'!$C$14:$C$22,0),MATCH('Calc|Opex forecast'!$F86,'Input|Rate of change'!$C$14:$P$14,0))*IF('Input|Step changes'!$E24="$millions",1000000,IF('Input|Step changes'!$E24="$000",1000,1))/IF($E86="$millions",1000000,IF($E86="$000",1000,1))</f>
        <v>25.086821729997851</v>
      </c>
      <c r="S86" s="229">
        <f>'Input|Step changes'!S24*INDEX('Input|Rate of change'!$C$14:$P$22,MATCH('Input|Step changes'!$F24,'Input|Rate of change'!$C$14:$C$22,0),MATCH('Calc|Opex forecast'!$F86,'Input|Rate of change'!$C$14:$P$14,0))*IF('Input|Step changes'!$E24="$millions",1000000,IF('Input|Step changes'!$E24="$000",1000,1))/IF($E86="$millions",1000000,IF($E86="$000",1000,1))</f>
        <v>24.050704839820106</v>
      </c>
      <c r="T86" s="229">
        <f>'Input|Step changes'!T24*INDEX('Input|Rate of change'!$C$14:$P$22,MATCH('Input|Step changes'!$F24,'Input|Rate of change'!$C$14:$C$22,0),MATCH('Calc|Opex forecast'!$F86,'Input|Rate of change'!$C$14:$P$14,0))*IF('Input|Step changes'!$E24="$millions",1000000,IF('Input|Step changes'!$E24="$000",1000,1))/IF($E86="$millions",1000000,IF($E86="$000",1000,1))</f>
        <v>0</v>
      </c>
    </row>
    <row r="87" spans="1:48" outlineLevel="1" x14ac:dyDescent="0.2">
      <c r="C87" s="115" t="str">
        <f>'Input|Step changes'!C25</f>
        <v>License fees</v>
      </c>
      <c r="D87" s="104" t="s">
        <v>29</v>
      </c>
      <c r="E87" s="100" t="str">
        <f t="shared" si="7"/>
        <v>$millions</v>
      </c>
      <c r="F87" s="221">
        <f>$F$8</f>
        <v>45809</v>
      </c>
      <c r="J87" s="229">
        <f>'Input|Step changes'!J25*INDEX('Input|Rate of change'!$C$14:$P$22,MATCH('Input|Step changes'!$F25,'Input|Rate of change'!$C$14:$C$22,0),MATCH('Calc|Opex forecast'!$F87,'Input|Rate of change'!$C$14:$P$14,0))*IF('Input|Step changes'!$E25="$millions",1000000,IF('Input|Step changes'!$E25="$000",1000,1))/IF($E87="$millions",1000000,IF($E87="$000",1000,1))</f>
        <v>0</v>
      </c>
      <c r="K87" s="229">
        <f>'Input|Step changes'!K25*INDEX('Input|Rate of change'!$C$14:$P$22,MATCH('Input|Step changes'!$F25,'Input|Rate of change'!$C$14:$C$22,0),MATCH('Calc|Opex forecast'!$F87,'Input|Rate of change'!$C$14:$P$14,0))*IF('Input|Step changes'!$E25="$millions",1000000,IF('Input|Step changes'!$E25="$000",1000,1))/IF($E87="$millions",1000000,IF($E87="$000",1000,1))</f>
        <v>0</v>
      </c>
      <c r="L87" s="229">
        <f>'Input|Step changes'!L25*INDEX('Input|Rate of change'!$C$14:$P$22,MATCH('Input|Step changes'!$F25,'Input|Rate of change'!$C$14:$C$22,0),MATCH('Calc|Opex forecast'!$F87,'Input|Rate of change'!$C$14:$P$14,0))*IF('Input|Step changes'!$E25="$millions",1000000,IF('Input|Step changes'!$E25="$000",1000,1))/IF($E87="$millions",1000000,IF($E87="$000",1000,1))</f>
        <v>0</v>
      </c>
      <c r="M87" s="229">
        <f>'Input|Step changes'!M25*INDEX('Input|Rate of change'!$C$14:$P$22,MATCH('Input|Step changes'!$F25,'Input|Rate of change'!$C$14:$C$22,0),MATCH('Calc|Opex forecast'!$F87,'Input|Rate of change'!$C$14:$P$14,0))*IF('Input|Step changes'!$E25="$millions",1000000,IF('Input|Step changes'!$E25="$000",1000,1))/IF($E87="$millions",1000000,IF($E87="$000",1000,1))</f>
        <v>0</v>
      </c>
      <c r="N87" s="229">
        <f>'Input|Step changes'!N25*INDEX('Input|Rate of change'!$C$14:$P$22,MATCH('Input|Step changes'!$F25,'Input|Rate of change'!$C$14:$C$22,0),MATCH('Calc|Opex forecast'!$F87,'Input|Rate of change'!$C$14:$P$14,0))*IF('Input|Step changes'!$E25="$millions",1000000,IF('Input|Step changes'!$E25="$000",1000,1))/IF($E87="$millions",1000000,IF($E87="$000",1000,1))</f>
        <v>0</v>
      </c>
      <c r="O87" s="229">
        <f>'Input|Step changes'!O25*INDEX('Input|Rate of change'!$C$14:$P$22,MATCH('Input|Step changes'!$F25,'Input|Rate of change'!$C$14:$C$22,0),MATCH('Calc|Opex forecast'!$F87,'Input|Rate of change'!$C$14:$P$14,0))*IF('Input|Step changes'!$E25="$millions",1000000,IF('Input|Step changes'!$E25="$000",1000,1))/IF($E87="$millions",1000000,IF($E87="$000",1000,1))</f>
        <v>4.2568383600000006</v>
      </c>
      <c r="P87" s="229">
        <f>'Input|Step changes'!P25*INDEX('Input|Rate of change'!$C$14:$P$22,MATCH('Input|Step changes'!$F25,'Input|Rate of change'!$C$14:$C$22,0),MATCH('Calc|Opex forecast'!$F87,'Input|Rate of change'!$C$14:$P$14,0))*IF('Input|Step changes'!$E25="$millions",1000000,IF('Input|Step changes'!$E25="$000",1000,1))/IF($E87="$millions",1000000,IF($E87="$000",1000,1))</f>
        <v>4.2568383600000006</v>
      </c>
      <c r="Q87" s="229">
        <f>'Input|Step changes'!Q25*INDEX('Input|Rate of change'!$C$14:$P$22,MATCH('Input|Step changes'!$F25,'Input|Rate of change'!$C$14:$C$22,0),MATCH('Calc|Opex forecast'!$F87,'Input|Rate of change'!$C$14:$P$14,0))*IF('Input|Step changes'!$E25="$millions",1000000,IF('Input|Step changes'!$E25="$000",1000,1))/IF($E87="$millions",1000000,IF($E87="$000",1000,1))</f>
        <v>4.2568383600000006</v>
      </c>
      <c r="R87" s="229">
        <f>'Input|Step changes'!R25*INDEX('Input|Rate of change'!$C$14:$P$22,MATCH('Input|Step changes'!$F25,'Input|Rate of change'!$C$14:$C$22,0),MATCH('Calc|Opex forecast'!$F87,'Input|Rate of change'!$C$14:$P$14,0))*IF('Input|Step changes'!$E25="$millions",1000000,IF('Input|Step changes'!$E25="$000",1000,1))/IF($E87="$millions",1000000,IF($E87="$000",1000,1))</f>
        <v>4.2568383600000006</v>
      </c>
      <c r="S87" s="229">
        <f>'Input|Step changes'!S25*INDEX('Input|Rate of change'!$C$14:$P$22,MATCH('Input|Step changes'!$F25,'Input|Rate of change'!$C$14:$C$22,0),MATCH('Calc|Opex forecast'!$F87,'Input|Rate of change'!$C$14:$P$14,0))*IF('Input|Step changes'!$E25="$millions",1000000,IF('Input|Step changes'!$E25="$000",1000,1))/IF($E87="$millions",1000000,IF($E87="$000",1000,1))</f>
        <v>4.2568383600000006</v>
      </c>
      <c r="T87" s="229">
        <f>'Input|Step changes'!T25*INDEX('Input|Rate of change'!$C$14:$P$22,MATCH('Input|Step changes'!$F25,'Input|Rate of change'!$C$14:$C$22,0),MATCH('Calc|Opex forecast'!$F87,'Input|Rate of change'!$C$14:$P$14,0))*IF('Input|Step changes'!$E25="$millions",1000000,IF('Input|Step changes'!$E25="$000",1000,1))/IF($E87="$millions",1000000,IF($E87="$000",1000,1))</f>
        <v>0</v>
      </c>
    </row>
    <row r="88" spans="1:48" outlineLevel="1" x14ac:dyDescent="0.2">
      <c r="C88" s="115" t="str">
        <f>'Input|Step changes'!C26</f>
        <v>Safeguard mechanism costs</v>
      </c>
      <c r="D88" s="104" t="s">
        <v>29</v>
      </c>
      <c r="E88" s="100" t="str">
        <f t="shared" si="7"/>
        <v>$millions</v>
      </c>
      <c r="F88" s="221">
        <f>$F$8</f>
        <v>45809</v>
      </c>
      <c r="J88" s="229">
        <f>'Input|Step changes'!J26*INDEX('Input|Rate of change'!$C$14:$P$22,MATCH('Input|Step changes'!$F26,'Input|Rate of change'!$C$14:$C$22,0),MATCH('Calc|Opex forecast'!$F88,'Input|Rate of change'!$C$14:$P$14,0))*IF('Input|Step changes'!$E26="$millions",1000000,IF('Input|Step changes'!$E26="$000",1000,1))/IF($E88="$millions",1000000,IF($E88="$000",1000,1))</f>
        <v>0</v>
      </c>
      <c r="K88" s="229">
        <f>'Input|Step changes'!K26*INDEX('Input|Rate of change'!$C$14:$P$22,MATCH('Input|Step changes'!$F26,'Input|Rate of change'!$C$14:$C$22,0),MATCH('Calc|Opex forecast'!$F88,'Input|Rate of change'!$C$14:$P$14,0))*IF('Input|Step changes'!$E26="$millions",1000000,IF('Input|Step changes'!$E26="$000",1000,1))/IF($E88="$millions",1000000,IF($E88="$000",1000,1))</f>
        <v>0</v>
      </c>
      <c r="L88" s="229">
        <f>'Input|Step changes'!L26*INDEX('Input|Rate of change'!$C$14:$P$22,MATCH('Input|Step changes'!$F26,'Input|Rate of change'!$C$14:$C$22,0),MATCH('Calc|Opex forecast'!$F88,'Input|Rate of change'!$C$14:$P$14,0))*IF('Input|Step changes'!$E26="$millions",1000000,IF('Input|Step changes'!$E26="$000",1000,1))/IF($E88="$millions",1000000,IF($E88="$000",1000,1))</f>
        <v>0</v>
      </c>
      <c r="M88" s="229">
        <f>'Input|Step changes'!M26*INDEX('Input|Rate of change'!$C$14:$P$22,MATCH('Input|Step changes'!$F26,'Input|Rate of change'!$C$14:$C$22,0),MATCH('Calc|Opex forecast'!$F88,'Input|Rate of change'!$C$14:$P$14,0))*IF('Input|Step changes'!$E26="$millions",1000000,IF('Input|Step changes'!$E26="$000",1000,1))/IF($E88="$millions",1000000,IF($E88="$000",1000,1))</f>
        <v>0</v>
      </c>
      <c r="N88" s="229">
        <f>'Input|Step changes'!N26*INDEX('Input|Rate of change'!$C$14:$P$22,MATCH('Input|Step changes'!$F26,'Input|Rate of change'!$C$14:$C$22,0),MATCH('Calc|Opex forecast'!$F88,'Input|Rate of change'!$C$14:$P$14,0))*IF('Input|Step changes'!$E26="$millions",1000000,IF('Input|Step changes'!$E26="$000",1000,1))/IF($E88="$millions",1000000,IF($E88="$000",1000,1))</f>
        <v>0</v>
      </c>
      <c r="O88" s="229">
        <f>'Input|Step changes'!O26*INDEX('Input|Rate of change'!$C$14:$P$22,MATCH('Input|Step changes'!$F26,'Input|Rate of change'!$C$14:$C$22,0),MATCH('Calc|Opex forecast'!$F88,'Input|Rate of change'!$C$14:$P$14,0))*IF('Input|Step changes'!$E26="$millions",1000000,IF('Input|Step changes'!$E26="$000",1000,1))/IF($E88="$millions",1000000,IF($E88="$000",1000,1))</f>
        <v>2.163786122167596</v>
      </c>
      <c r="P88" s="229">
        <f>'Input|Step changes'!P26*INDEX('Input|Rate of change'!$C$14:$P$22,MATCH('Input|Step changes'!$F26,'Input|Rate of change'!$C$14:$C$22,0),MATCH('Calc|Opex forecast'!$F88,'Input|Rate of change'!$C$14:$P$14,0))*IF('Input|Step changes'!$E26="$millions",1000000,IF('Input|Step changes'!$E26="$000",1000,1))/IF($E88="$millions",1000000,IF($E88="$000",1000,1))</f>
        <v>2.3155181421285609</v>
      </c>
      <c r="Q88" s="229">
        <f>'Input|Step changes'!Q26*INDEX('Input|Rate of change'!$C$14:$P$22,MATCH('Input|Step changes'!$F26,'Input|Rate of change'!$C$14:$C$22,0),MATCH('Calc|Opex forecast'!$F88,'Input|Rate of change'!$C$14:$P$14,0))*IF('Input|Step changes'!$E26="$millions",1000000,IF('Input|Step changes'!$E26="$000",1000,1))/IF($E88="$millions",1000000,IF($E88="$000",1000,1))</f>
        <v>2.0893836558870591</v>
      </c>
      <c r="R88" s="229">
        <f>'Input|Step changes'!R26*INDEX('Input|Rate of change'!$C$14:$P$22,MATCH('Input|Step changes'!$F26,'Input|Rate of change'!$C$14:$C$22,0),MATCH('Calc|Opex forecast'!$F88,'Input|Rate of change'!$C$14:$P$14,0))*IF('Input|Step changes'!$E26="$millions",1000000,IF('Input|Step changes'!$E26="$000",1000,1))/IF($E88="$millions",1000000,IF($E88="$000",1000,1))</f>
        <v>1.9568944783439128</v>
      </c>
      <c r="S88" s="229">
        <f>'Input|Step changes'!S26*INDEX('Input|Rate of change'!$C$14:$P$22,MATCH('Input|Step changes'!$F26,'Input|Rate of change'!$C$14:$C$22,0),MATCH('Calc|Opex forecast'!$F88,'Input|Rate of change'!$C$14:$P$14,0))*IF('Input|Step changes'!$E26="$millions",1000000,IF('Input|Step changes'!$E26="$000",1000,1))/IF($E88="$millions",1000000,IF($E88="$000",1000,1))</f>
        <v>1.888143772353478</v>
      </c>
      <c r="T88" s="229">
        <f>'Input|Step changes'!T26*INDEX('Input|Rate of change'!$C$14:$P$22,MATCH('Input|Step changes'!$F26,'Input|Rate of change'!$C$14:$C$22,0),MATCH('Calc|Opex forecast'!$F88,'Input|Rate of change'!$C$14:$P$14,0))*IF('Input|Step changes'!$E26="$millions",1000000,IF('Input|Step changes'!$E26="$000",1000,1))/IF($E88="$millions",1000000,IF($E88="$000",1000,1))</f>
        <v>0</v>
      </c>
    </row>
    <row r="89" spans="1:48" outlineLevel="1" x14ac:dyDescent="0.2">
      <c r="C89" s="115">
        <f>'Input|Step changes'!C27</f>
        <v>0</v>
      </c>
      <c r="D89" s="104" t="s">
        <v>29</v>
      </c>
      <c r="E89" s="100" t="str">
        <f t="shared" si="7"/>
        <v>$millions</v>
      </c>
      <c r="F89" s="221">
        <f>$F$8</f>
        <v>45809</v>
      </c>
      <c r="J89" s="229">
        <f>'Input|Step changes'!J27*INDEX('Input|Rate of change'!$C$14:$P$22,MATCH('Input|Step changes'!$F27,'Input|Rate of change'!$C$14:$C$22,0),MATCH('Calc|Opex forecast'!$F89,'Input|Rate of change'!$C$14:$P$14,0))*IF('Input|Step changes'!$E27="$millions",1000000,IF('Input|Step changes'!$E27="$000",1000,1))/IF($E89="$millions",1000000,IF($E89="$000",1000,1))</f>
        <v>0</v>
      </c>
      <c r="K89" s="229">
        <f>'Input|Step changes'!K27*INDEX('Input|Rate of change'!$C$14:$P$22,MATCH('Input|Step changes'!$F27,'Input|Rate of change'!$C$14:$C$22,0),MATCH('Calc|Opex forecast'!$F89,'Input|Rate of change'!$C$14:$P$14,0))*IF('Input|Step changes'!$E27="$millions",1000000,IF('Input|Step changes'!$E27="$000",1000,1))/IF($E89="$millions",1000000,IF($E89="$000",1000,1))</f>
        <v>0</v>
      </c>
      <c r="L89" s="229">
        <f>'Input|Step changes'!L27*INDEX('Input|Rate of change'!$C$14:$P$22,MATCH('Input|Step changes'!$F27,'Input|Rate of change'!$C$14:$C$22,0),MATCH('Calc|Opex forecast'!$F89,'Input|Rate of change'!$C$14:$P$14,0))*IF('Input|Step changes'!$E27="$millions",1000000,IF('Input|Step changes'!$E27="$000",1000,1))/IF($E89="$millions",1000000,IF($E89="$000",1000,1))</f>
        <v>0</v>
      </c>
      <c r="M89" s="229">
        <f>'Input|Step changes'!M27*INDEX('Input|Rate of change'!$C$14:$P$22,MATCH('Input|Step changes'!$F27,'Input|Rate of change'!$C$14:$C$22,0),MATCH('Calc|Opex forecast'!$F89,'Input|Rate of change'!$C$14:$P$14,0))*IF('Input|Step changes'!$E27="$millions",1000000,IF('Input|Step changes'!$E27="$000",1000,1))/IF($E89="$millions",1000000,IF($E89="$000",1000,1))</f>
        <v>0</v>
      </c>
      <c r="N89" s="229">
        <f>'Input|Step changes'!N27*INDEX('Input|Rate of change'!$C$14:$P$22,MATCH('Input|Step changes'!$F27,'Input|Rate of change'!$C$14:$C$22,0),MATCH('Calc|Opex forecast'!$F89,'Input|Rate of change'!$C$14:$P$14,0))*IF('Input|Step changes'!$E27="$millions",1000000,IF('Input|Step changes'!$E27="$000",1000,1))/IF($E89="$millions",1000000,IF($E89="$000",1000,1))</f>
        <v>0</v>
      </c>
      <c r="O89" s="229">
        <f>'Input|Step changes'!O27*INDEX('Input|Rate of change'!$C$14:$P$22,MATCH('Input|Step changes'!$F27,'Input|Rate of change'!$C$14:$C$22,0),MATCH('Calc|Opex forecast'!$F89,'Input|Rate of change'!$C$14:$P$14,0))*IF('Input|Step changes'!$E27="$millions",1000000,IF('Input|Step changes'!$E27="$000",1000,1))/IF($E89="$millions",1000000,IF($E89="$000",1000,1))</f>
        <v>0</v>
      </c>
      <c r="P89" s="229">
        <f>'Input|Step changes'!P27*INDEX('Input|Rate of change'!$C$14:$P$22,MATCH('Input|Step changes'!$F27,'Input|Rate of change'!$C$14:$C$22,0),MATCH('Calc|Opex forecast'!$F89,'Input|Rate of change'!$C$14:$P$14,0))*IF('Input|Step changes'!$E27="$millions",1000000,IF('Input|Step changes'!$E27="$000",1000,1))/IF($E89="$millions",1000000,IF($E89="$000",1000,1))</f>
        <v>0</v>
      </c>
      <c r="Q89" s="229">
        <f>'Input|Step changes'!Q27*INDEX('Input|Rate of change'!$C$14:$P$22,MATCH('Input|Step changes'!$F27,'Input|Rate of change'!$C$14:$C$22,0),MATCH('Calc|Opex forecast'!$F89,'Input|Rate of change'!$C$14:$P$14,0))*IF('Input|Step changes'!$E27="$millions",1000000,IF('Input|Step changes'!$E27="$000",1000,1))/IF($E89="$millions",1000000,IF($E89="$000",1000,1))</f>
        <v>0</v>
      </c>
      <c r="R89" s="229">
        <f>'Input|Step changes'!R27*INDEX('Input|Rate of change'!$C$14:$P$22,MATCH('Input|Step changes'!$F27,'Input|Rate of change'!$C$14:$C$22,0),MATCH('Calc|Opex forecast'!$F89,'Input|Rate of change'!$C$14:$P$14,0))*IF('Input|Step changes'!$E27="$millions",1000000,IF('Input|Step changes'!$E27="$000",1000,1))/IF($E89="$millions",1000000,IF($E89="$000",1000,1))</f>
        <v>0</v>
      </c>
      <c r="S89" s="229">
        <f>'Input|Step changes'!S27*INDEX('Input|Rate of change'!$C$14:$P$22,MATCH('Input|Step changes'!$F27,'Input|Rate of change'!$C$14:$C$22,0),MATCH('Calc|Opex forecast'!$F89,'Input|Rate of change'!$C$14:$P$14,0))*IF('Input|Step changes'!$E27="$millions",1000000,IF('Input|Step changes'!$E27="$000",1000,1))/IF($E89="$millions",1000000,IF($E89="$000",1000,1))</f>
        <v>0</v>
      </c>
      <c r="T89" s="229">
        <f>'Input|Step changes'!T27*INDEX('Input|Rate of change'!$C$14:$P$22,MATCH('Input|Step changes'!$F27,'Input|Rate of change'!$C$14:$C$22,0),MATCH('Calc|Opex forecast'!$F89,'Input|Rate of change'!$C$14:$P$14,0))*IF('Input|Step changes'!$E27="$millions",1000000,IF('Input|Step changes'!$E27="$000",1000,1))/IF($E89="$millions",1000000,IF($E89="$000",1000,1))</f>
        <v>0</v>
      </c>
    </row>
    <row r="90" spans="1:48" outlineLevel="1" x14ac:dyDescent="0.2">
      <c r="C90" s="115">
        <f>'Input|Step changes'!C28</f>
        <v>0</v>
      </c>
      <c r="D90" s="104" t="s">
        <v>29</v>
      </c>
      <c r="E90" s="100" t="str">
        <f t="shared" si="7"/>
        <v>$millions</v>
      </c>
      <c r="F90" s="221">
        <f>$F$8</f>
        <v>45809</v>
      </c>
      <c r="J90" s="229">
        <f>'Input|Step changes'!J28*INDEX('Input|Rate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K90" s="229">
        <f>'Input|Step changes'!K28*INDEX('Input|Rate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L90" s="229">
        <f>'Input|Step changes'!L28*INDEX('Input|Rate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M90" s="229">
        <f>'Input|Step changes'!M28*INDEX('Input|Rate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N90" s="229">
        <f>'Input|Step changes'!N28*INDEX('Input|Rate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O90" s="229">
        <f>'Input|Step changes'!O28*INDEX('Input|Rate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P90" s="229">
        <f>'Input|Step changes'!P28*INDEX('Input|Rate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Q90" s="229">
        <f>'Input|Step changes'!Q28*INDEX('Input|Rate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R90" s="229">
        <f>'Input|Step changes'!R28*INDEX('Input|Rate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S90" s="229">
        <f>'Input|Step changes'!S28*INDEX('Input|Rate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T90" s="229">
        <f>'Input|Step changes'!T28*INDEX('Input|Rate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</row>
    <row r="91" spans="1:48" outlineLevel="1" x14ac:dyDescent="0.2">
      <c r="C91" s="115"/>
      <c r="D91" s="104"/>
      <c r="F91" s="106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</row>
    <row r="92" spans="1:48" outlineLevel="1" x14ac:dyDescent="0.2">
      <c r="C92" s="107" t="s">
        <v>109</v>
      </c>
      <c r="D92" s="116" t="s">
        <v>29</v>
      </c>
      <c r="E92" s="230" t="str">
        <f>$E$8</f>
        <v>$millions</v>
      </c>
      <c r="F92" s="231">
        <f>$F$8</f>
        <v>45809</v>
      </c>
      <c r="G92" s="29"/>
      <c r="H92" s="29"/>
      <c r="I92" s="29"/>
      <c r="J92" s="232">
        <f t="shared" ref="J92:T92" si="10">SUM(J85:J90)</f>
        <v>0</v>
      </c>
      <c r="K92" s="232">
        <f t="shared" si="10"/>
        <v>0</v>
      </c>
      <c r="L92" s="232">
        <f t="shared" si="10"/>
        <v>0</v>
      </c>
      <c r="M92" s="232">
        <f t="shared" si="10"/>
        <v>0</v>
      </c>
      <c r="N92" s="232">
        <f t="shared" si="10"/>
        <v>0</v>
      </c>
      <c r="O92" s="232">
        <f t="shared" si="10"/>
        <v>42.529260635396085</v>
      </c>
      <c r="P92" s="232">
        <f t="shared" si="10"/>
        <v>39.335331046129035</v>
      </c>
      <c r="Q92" s="232">
        <f t="shared" si="10"/>
        <v>34.106955078284216</v>
      </c>
      <c r="R92" s="232">
        <f t="shared" si="10"/>
        <v>31.300554568341763</v>
      </c>
      <c r="S92" s="232">
        <f t="shared" si="10"/>
        <v>30.195686972173583</v>
      </c>
      <c r="T92" s="232">
        <f t="shared" si="10"/>
        <v>0</v>
      </c>
    </row>
    <row r="93" spans="1:48" x14ac:dyDescent="0.2">
      <c r="C93" s="117"/>
      <c r="D93" s="104"/>
      <c r="E93" s="104"/>
      <c r="F93"/>
      <c r="J93" s="102"/>
      <c r="K93" s="102"/>
      <c r="L93" s="102"/>
      <c r="M93" s="102"/>
      <c r="N93" s="21"/>
      <c r="O93" s="21"/>
      <c r="P93" s="21"/>
      <c r="Q93" s="21"/>
      <c r="R93" s="21"/>
      <c r="S93" s="21"/>
      <c r="T93" s="21"/>
    </row>
    <row r="94" spans="1:48" s="98" customFormat="1" ht="12.75" x14ac:dyDescent="0.2">
      <c r="A94" s="89"/>
      <c r="B94" s="90" t="s">
        <v>83</v>
      </c>
      <c r="C94" s="89"/>
      <c r="D94" s="89"/>
      <c r="E94" s="89"/>
      <c r="F94" s="91"/>
      <c r="G94" s="91"/>
      <c r="H94" s="91"/>
      <c r="I94" s="91"/>
      <c r="J94" s="92"/>
      <c r="K94" s="93"/>
      <c r="L94" s="92"/>
      <c r="M94" s="93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  <c r="Y94" s="94"/>
      <c r="Z94" s="94"/>
      <c r="AA94" s="94"/>
      <c r="AB94" s="94"/>
      <c r="AC94" s="95"/>
      <c r="AD94" s="96"/>
      <c r="AE94" s="96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</row>
    <row r="95" spans="1:48" outlineLevel="1" x14ac:dyDescent="0.2">
      <c r="C95" s="101"/>
      <c r="J95" s="102"/>
      <c r="K95" s="102"/>
      <c r="L95" s="102"/>
    </row>
    <row r="96" spans="1:48" outlineLevel="1" x14ac:dyDescent="0.2">
      <c r="C96" s="63"/>
      <c r="J96" s="220" t="str">
        <f>IF(YEAR(J$4)&gt;='Input|General'!$G$13,IF(YEAR(J$4)&lt;='Input|General'!$G$14,J$4,""),"")</f>
        <v/>
      </c>
      <c r="K96" s="220" t="str">
        <f>IF(YEAR(K$4)&gt;='Input|General'!$G$13,IF(YEAR(K$4)&lt;='Input|General'!$G$14,K$4,""),"")</f>
        <v/>
      </c>
      <c r="L96" s="220" t="str">
        <f>IF(YEAR(L$4)&gt;='Input|General'!$G$13,IF(YEAR(L$4)&lt;='Input|General'!$G$14,L$4,""),"")</f>
        <v/>
      </c>
      <c r="M96" s="220" t="str">
        <f>IF(YEAR(M$4)&gt;='Input|General'!$G$13,IF(YEAR(M$4)&lt;='Input|General'!$G$14,M$4,""),"")</f>
        <v/>
      </c>
      <c r="N96" s="220" t="str">
        <f>IF(YEAR(N$4)&gt;='Input|General'!$G$13,IF(YEAR(N$4)&lt;='Input|General'!$G$14,N$4,""),"")</f>
        <v/>
      </c>
      <c r="O96" s="220">
        <f>IF(YEAR(O$4)&gt;='Input|General'!$G$13,IF(YEAR(O$4)&lt;='Input|General'!$G$14,O$4,""),"")</f>
        <v>46174</v>
      </c>
      <c r="P96" s="220">
        <f>IF(YEAR(P$4)&gt;='Input|General'!$G$13,IF(YEAR(P$4)&lt;='Input|General'!$G$14,P$4,""),"")</f>
        <v>46539</v>
      </c>
      <c r="Q96" s="220">
        <f>IF(YEAR(Q$4)&gt;='Input|General'!$G$13,IF(YEAR(Q$4)&lt;='Input|General'!$G$14,Q$4,""),"")</f>
        <v>46905</v>
      </c>
      <c r="R96" s="220">
        <f>IF(YEAR(R$4)&gt;='Input|General'!$G$13,IF(YEAR(R$4)&lt;='Input|General'!$G$14,R$4,""),"")</f>
        <v>47270</v>
      </c>
      <c r="S96" s="220">
        <f>IF(YEAR(S$4)&gt;='Input|General'!$G$13,IF(YEAR(S$4)&lt;='Input|General'!$G$14,S$4,""),"")</f>
        <v>47635</v>
      </c>
      <c r="T96" s="220" t="str">
        <f>IF(YEAR(T$4)&gt;='Input|General'!$G$13,IF(YEAR(T$4)&lt;='Input|General'!$G$14,T$4,""),"")</f>
        <v/>
      </c>
    </row>
    <row r="97" spans="1:48" outlineLevel="1" x14ac:dyDescent="0.2">
      <c r="C97" s="118"/>
      <c r="D97" s="104"/>
      <c r="E97" s="104"/>
      <c r="F97" s="104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</row>
    <row r="98" spans="1:48" outlineLevel="1" x14ac:dyDescent="0.2">
      <c r="C98" s="117" t="s">
        <v>125</v>
      </c>
      <c r="D98" s="120" t="s">
        <v>29</v>
      </c>
      <c r="E98" s="233" t="str">
        <f>$E$8</f>
        <v>$millions</v>
      </c>
      <c r="F98" s="231">
        <f>$F$8</f>
        <v>45809</v>
      </c>
      <c r="J98" s="212" t="str">
        <f t="shared" ref="J98:T98" si="11">IF(YEAR(J$4)&gt;=FPFirstYear,IF(YEAR(J$4)&lt;=FPLastYear,IF(ISBLANK(J96),"",(1+J68)*SUM($J54:$S54)+J80),""),"")</f>
        <v/>
      </c>
      <c r="K98" s="212" t="str">
        <f t="shared" si="11"/>
        <v/>
      </c>
      <c r="L98" s="212" t="str">
        <f t="shared" si="11"/>
        <v/>
      </c>
      <c r="M98" s="212" t="str">
        <f t="shared" si="11"/>
        <v/>
      </c>
      <c r="N98" s="212" t="str">
        <f t="shared" si="11"/>
        <v/>
      </c>
      <c r="O98" s="212">
        <f t="shared" ca="1" si="11"/>
        <v>193.69610386213606</v>
      </c>
      <c r="P98" s="212">
        <f t="shared" ca="1" si="11"/>
        <v>189.76415633600092</v>
      </c>
      <c r="Q98" s="212">
        <f t="shared" ca="1" si="11"/>
        <v>192.82085336825926</v>
      </c>
      <c r="R98" s="212">
        <f t="shared" ca="1" si="11"/>
        <v>193.60774853113097</v>
      </c>
      <c r="S98" s="212">
        <f t="shared" ca="1" si="11"/>
        <v>198.08004116236211</v>
      </c>
      <c r="T98" s="212" t="str">
        <f t="shared" si="11"/>
        <v/>
      </c>
    </row>
    <row r="99" spans="1:48" outlineLevel="1" x14ac:dyDescent="0.2">
      <c r="C99" s="117" t="s">
        <v>100</v>
      </c>
      <c r="D99" s="120" t="s">
        <v>29</v>
      </c>
      <c r="E99" s="233" t="str">
        <f>$E$8</f>
        <v>$millions</v>
      </c>
      <c r="F99" s="231">
        <f>$F$8</f>
        <v>45809</v>
      </c>
      <c r="J99" s="212" t="str">
        <f t="shared" ref="J99:T99" si="12">IF(YEAR(J$4)&gt;=FPFirstYear,IF(YEAR(J$4)&lt;=FPLastYear,IF(ISBLANK(J96),"",(1+J68)*SUM($J54:$S54)+J80+J92),""),"")</f>
        <v/>
      </c>
      <c r="K99" s="212" t="str">
        <f t="shared" si="12"/>
        <v/>
      </c>
      <c r="L99" s="212" t="str">
        <f t="shared" si="12"/>
        <v/>
      </c>
      <c r="M99" s="212" t="str">
        <f t="shared" si="12"/>
        <v/>
      </c>
      <c r="N99" s="212" t="str">
        <f t="shared" si="12"/>
        <v/>
      </c>
      <c r="O99" s="212">
        <f t="shared" ca="1" si="12"/>
        <v>236.22536449753215</v>
      </c>
      <c r="P99" s="212">
        <f t="shared" ca="1" si="12"/>
        <v>229.09948738212995</v>
      </c>
      <c r="Q99" s="212">
        <f t="shared" ca="1" si="12"/>
        <v>226.92780844654348</v>
      </c>
      <c r="R99" s="212">
        <f t="shared" ca="1" si="12"/>
        <v>224.90830309947273</v>
      </c>
      <c r="S99" s="212">
        <f t="shared" ca="1" si="12"/>
        <v>228.27572813453568</v>
      </c>
      <c r="T99" s="212" t="str">
        <f t="shared" si="12"/>
        <v/>
      </c>
    </row>
    <row r="100" spans="1:48" outlineLevel="1" x14ac:dyDescent="0.2">
      <c r="C100" s="117" t="s">
        <v>101</v>
      </c>
      <c r="D100" s="120" t="s">
        <v>29</v>
      </c>
      <c r="E100" s="233" t="str">
        <f>$E$8</f>
        <v>$millions</v>
      </c>
      <c r="F100" s="231">
        <f>$F$8</f>
        <v>45809</v>
      </c>
      <c r="J100" s="212" t="str">
        <f>IF(YEAR(J$4)&gt;=FPFirstYear,IF(YEAR(J$4)&lt;=FPLastYear,J99+'Input|Step changes'!J36,""),"")</f>
        <v/>
      </c>
      <c r="K100" s="212" t="str">
        <f>IF(YEAR(K$4)&gt;=FPFirstYear,IF(YEAR(K$4)&lt;=FPLastYear,K99+'Input|Step changes'!K36,""),"")</f>
        <v/>
      </c>
      <c r="L100" s="212" t="str">
        <f>IF(YEAR(L$4)&gt;=FPFirstYear,IF(YEAR(L$4)&lt;=FPLastYear,L99+'Input|Step changes'!L36,""),"")</f>
        <v/>
      </c>
      <c r="M100" s="212" t="str">
        <f>IF(YEAR(M$4)&gt;=FPFirstYear,IF(YEAR(M$4)&lt;=FPLastYear,M99+'Input|Step changes'!M36,""),"")</f>
        <v/>
      </c>
      <c r="N100" s="212" t="str">
        <f>IF(YEAR(N$4)&gt;=FPFirstYear,IF(YEAR(N$4)&lt;=FPLastYear,N99+'Input|Step changes'!N36,""),"")</f>
        <v/>
      </c>
      <c r="O100" s="212">
        <f ca="1">IF(YEAR(O$4)&gt;=FPFirstYear,IF(YEAR(O$4)&lt;=FPLastYear,O99+'Input|Step changes'!O36,""),"")</f>
        <v>238.21082786287946</v>
      </c>
      <c r="P100" s="212">
        <f ca="1">IF(YEAR(P$4)&gt;=FPFirstYear,IF(YEAR(P$4)&lt;=FPLastYear,P99+'Input|Step changes'!P36,""),"")</f>
        <v>231.06739830963372</v>
      </c>
      <c r="Q100" s="212">
        <f ca="1">IF(YEAR(Q$4)&gt;=FPFirstYear,IF(YEAR(Q$4)&lt;=FPLastYear,Q99+'Input|Step changes'!Q36,""),"")</f>
        <v>228.88515506153078</v>
      </c>
      <c r="R100" s="212">
        <f ca="1">IF(YEAR(R$4)&gt;=FPFirstYear,IF(YEAR(R$4)&lt;=FPLastYear,R99+'Input|Step changes'!R36,""),"")</f>
        <v>226.83690947612959</v>
      </c>
      <c r="S100" s="212">
        <f ca="1">IF(YEAR(S$4)&gt;=FPFirstYear,IF(YEAR(S$4)&lt;=FPLastYear,S99+'Input|Step changes'!S36,""),"")</f>
        <v>230.14972138448059</v>
      </c>
      <c r="T100" s="212" t="str">
        <f>IF(YEAR(T$4)&gt;=FPFirstYear,IF(YEAR(T$4)&lt;=FPLastYear,T99+'Input|Step changes'!T36,""),"")</f>
        <v/>
      </c>
    </row>
    <row r="101" spans="1:48" x14ac:dyDescent="0.2">
      <c r="C101" s="117"/>
      <c r="D101" s="104"/>
      <c r="E101" s="104"/>
      <c r="F101"/>
      <c r="J101" s="102"/>
      <c r="K101" s="102"/>
      <c r="L101" s="102"/>
      <c r="M101" s="102"/>
      <c r="N101" s="21"/>
      <c r="O101" s="21"/>
      <c r="P101" s="21"/>
      <c r="Q101" s="21"/>
      <c r="R101" s="21"/>
      <c r="S101" s="21"/>
      <c r="T101" s="21"/>
    </row>
    <row r="102" spans="1:48" s="98" customFormat="1" ht="12.75" x14ac:dyDescent="0.2">
      <c r="A102" s="89"/>
      <c r="B102" s="90" t="s">
        <v>21</v>
      </c>
      <c r="C102" s="89"/>
      <c r="D102" s="89"/>
      <c r="E102" s="89"/>
      <c r="F102" s="91"/>
      <c r="G102" s="91"/>
      <c r="H102" s="91"/>
      <c r="I102" s="91"/>
      <c r="J102" s="92"/>
      <c r="K102" s="93"/>
      <c r="L102" s="92"/>
      <c r="M102" s="93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  <c r="Y102" s="94"/>
      <c r="Z102" s="94"/>
      <c r="AA102" s="94"/>
      <c r="AB102" s="94"/>
      <c r="AC102" s="95"/>
      <c r="AD102" s="96"/>
      <c r="AE102" s="96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</row>
    <row r="103" spans="1:48" x14ac:dyDescent="0.2"/>
    <row r="104" spans="1:48" x14ac:dyDescent="0.2"/>
    <row r="105" spans="1:48" x14ac:dyDescent="0.2"/>
    <row r="106" spans="1:48" x14ac:dyDescent="0.2"/>
    <row r="107" spans="1:48" x14ac:dyDescent="0.2"/>
    <row r="108" spans="1:48" x14ac:dyDescent="0.2"/>
    <row r="109" spans="1:48" x14ac:dyDescent="0.2"/>
    <row r="110" spans="1:48" x14ac:dyDescent="0.2"/>
    <row r="111" spans="1:48" hidden="1" x14ac:dyDescent="0.2">
      <c r="D111" s="26"/>
      <c r="E111" s="26"/>
      <c r="F111" s="26"/>
      <c r="G111" s="26"/>
      <c r="H111" s="26"/>
      <c r="I111" s="26"/>
    </row>
    <row r="112" spans="1:48" hidden="1" x14ac:dyDescent="0.2">
      <c r="D112" s="26"/>
      <c r="E112" s="26"/>
      <c r="F112" s="26"/>
      <c r="G112" s="26"/>
      <c r="H112" s="26"/>
      <c r="I112" s="26"/>
    </row>
    <row r="113" s="26" customFormat="1" hidden="1" x14ac:dyDescent="0.2"/>
    <row r="114" s="26" customFormat="1" hidden="1" x14ac:dyDescent="0.2"/>
    <row r="115" s="26" customFormat="1" hidden="1" x14ac:dyDescent="0.2"/>
    <row r="116" s="26" customFormat="1" hidden="1" x14ac:dyDescent="0.2"/>
    <row r="117" s="26" customFormat="1" hidden="1" x14ac:dyDescent="0.2"/>
    <row r="118" s="26" customFormat="1" hidden="1" x14ac:dyDescent="0.2"/>
    <row r="119" s="26" customFormat="1" hidden="1" x14ac:dyDescent="0.2"/>
    <row r="120" s="26" customFormat="1" hidden="1" x14ac:dyDescent="0.2"/>
    <row r="121" s="26" customFormat="1" hidden="1" x14ac:dyDescent="0.2"/>
    <row r="122" s="26" customFormat="1" hidden="1" x14ac:dyDescent="0.2"/>
    <row r="123" s="26" customFormat="1" hidden="1" x14ac:dyDescent="0.2"/>
    <row r="124" s="26" customFormat="1" hidden="1" x14ac:dyDescent="0.2"/>
    <row r="125" s="26" customFormat="1" hidden="1" x14ac:dyDescent="0.2"/>
    <row r="126" s="26" customFormat="1" hidden="1" x14ac:dyDescent="0.2"/>
    <row r="127" s="26" customFormat="1" hidden="1" x14ac:dyDescent="0.2"/>
    <row r="128" s="26" customFormat="1" hidden="1" x14ac:dyDescent="0.2"/>
    <row r="129" s="26" customFormat="1" hidden="1" x14ac:dyDescent="0.2"/>
    <row r="130" s="26" customFormat="1" hidden="1" x14ac:dyDescent="0.2"/>
    <row r="131" s="26" customFormat="1" hidden="1" x14ac:dyDescent="0.2"/>
    <row r="132" s="26" customFormat="1" hidden="1" x14ac:dyDescent="0.2"/>
    <row r="133" s="26" customFormat="1" hidden="1" x14ac:dyDescent="0.2"/>
    <row r="134" s="26" customFormat="1" hidden="1" x14ac:dyDescent="0.2"/>
    <row r="135" s="26" customFormat="1" hidden="1" x14ac:dyDescent="0.2"/>
    <row r="136" s="26" customFormat="1" hidden="1" x14ac:dyDescent="0.2"/>
    <row r="137" s="26" customFormat="1" hidden="1" x14ac:dyDescent="0.2"/>
    <row r="138" s="26" customFormat="1" hidden="1" x14ac:dyDescent="0.2"/>
    <row r="139" s="26" customFormat="1" hidden="1" x14ac:dyDescent="0.2"/>
    <row r="140" s="26" customFormat="1" hidden="1" x14ac:dyDescent="0.2"/>
    <row r="141" s="26" customFormat="1" hidden="1" x14ac:dyDescent="0.2"/>
    <row r="142" s="26" customFormat="1" hidden="1" x14ac:dyDescent="0.2"/>
    <row r="143" s="26" customFormat="1" hidden="1" x14ac:dyDescent="0.2"/>
    <row r="144" s="26" customFormat="1" hidden="1" x14ac:dyDescent="0.2"/>
    <row r="145" s="26" customFormat="1" hidden="1" x14ac:dyDescent="0.2"/>
    <row r="146" s="26" customFormat="1" hidden="1" x14ac:dyDescent="0.2"/>
    <row r="147" s="26" customFormat="1" hidden="1" x14ac:dyDescent="0.2"/>
    <row r="148" s="26" customFormat="1" hidden="1" x14ac:dyDescent="0.2"/>
    <row r="149" s="26" customFormat="1" hidden="1" x14ac:dyDescent="0.2"/>
    <row r="150" s="26" customFormat="1" hidden="1" x14ac:dyDescent="0.2"/>
    <row r="151" s="26" customFormat="1" hidden="1" x14ac:dyDescent="0.2"/>
    <row r="152" s="26" customFormat="1" hidden="1" x14ac:dyDescent="0.2"/>
    <row r="153" s="26" customFormat="1" hidden="1" x14ac:dyDescent="0.2"/>
    <row r="154" s="26" customFormat="1" hidden="1" x14ac:dyDescent="0.2"/>
    <row r="155" s="26" customFormat="1" hidden="1" x14ac:dyDescent="0.2"/>
    <row r="156" s="26" customFormat="1" hidden="1" x14ac:dyDescent="0.2"/>
    <row r="157" s="26" customFormat="1" hidden="1" x14ac:dyDescent="0.2"/>
    <row r="158" s="26" customFormat="1" hidden="1" x14ac:dyDescent="0.2"/>
    <row r="159" s="26" customFormat="1" hidden="1" x14ac:dyDescent="0.2"/>
    <row r="160" s="26" customFormat="1" hidden="1" x14ac:dyDescent="0.2"/>
    <row r="161" s="26" customFormat="1" hidden="1" x14ac:dyDescent="0.2"/>
    <row r="162" s="26" customFormat="1" hidden="1" x14ac:dyDescent="0.2"/>
    <row r="163" s="26" customFormat="1" hidden="1" x14ac:dyDescent="0.2"/>
    <row r="164" s="26" customFormat="1" hidden="1" x14ac:dyDescent="0.2"/>
    <row r="165" s="26" customFormat="1" hidden="1" x14ac:dyDescent="0.2"/>
    <row r="166" s="26" customFormat="1" hidden="1" x14ac:dyDescent="0.2"/>
    <row r="167" s="26" customFormat="1" hidden="1" x14ac:dyDescent="0.2"/>
    <row r="168" s="26" customFormat="1" hidden="1" x14ac:dyDescent="0.2"/>
    <row r="169" s="26" customFormat="1" hidden="1" x14ac:dyDescent="0.2"/>
    <row r="170" s="26" customFormat="1" hidden="1" x14ac:dyDescent="0.2"/>
    <row r="171" s="26" customFormat="1" hidden="1" x14ac:dyDescent="0.2"/>
    <row r="172" s="26" customFormat="1" hidden="1" x14ac:dyDescent="0.2"/>
    <row r="173" s="26" customFormat="1" hidden="1" x14ac:dyDescent="0.2"/>
    <row r="174" s="26" customFormat="1" hidden="1" x14ac:dyDescent="0.2"/>
    <row r="175" s="26" customFormat="1" hidden="1" x14ac:dyDescent="0.2"/>
    <row r="176" s="26" customFormat="1" hidden="1" x14ac:dyDescent="0.2"/>
    <row r="177" spans="4:9" hidden="1" x14ac:dyDescent="0.2">
      <c r="D177" s="26"/>
      <c r="E177" s="26"/>
      <c r="F177" s="26"/>
      <c r="G177" s="26"/>
      <c r="H177" s="26"/>
      <c r="I177" s="26"/>
    </row>
    <row r="178" spans="4:9" hidden="1" x14ac:dyDescent="0.2">
      <c r="D178" s="26"/>
      <c r="E178" s="26"/>
      <c r="F178" s="26"/>
      <c r="G178" s="26"/>
      <c r="H178" s="26"/>
      <c r="I178" s="26"/>
    </row>
    <row r="179" spans="4:9" hidden="1" x14ac:dyDescent="0.2">
      <c r="D179" s="26"/>
      <c r="E179" s="26"/>
      <c r="F179" s="26"/>
      <c r="G179" s="26"/>
      <c r="H179" s="26"/>
      <c r="I179" s="26"/>
    </row>
    <row r="180" spans="4:9" hidden="1" x14ac:dyDescent="0.2">
      <c r="D180" s="26"/>
      <c r="E180" s="26"/>
      <c r="F180" s="26"/>
      <c r="G180" s="26"/>
      <c r="H180" s="26"/>
      <c r="I180" s="26"/>
    </row>
    <row r="181" spans="4:9" hidden="1" x14ac:dyDescent="0.2">
      <c r="D181" s="26"/>
      <c r="E181" s="26"/>
      <c r="F181" s="26"/>
      <c r="G181" s="26"/>
      <c r="H181" s="26"/>
      <c r="I181" s="26"/>
    </row>
    <row r="182" spans="4:9" hidden="1" x14ac:dyDescent="0.2">
      <c r="D182" s="26"/>
      <c r="E182" s="26"/>
      <c r="F182" s="26"/>
      <c r="G182" s="26"/>
      <c r="H182" s="26"/>
      <c r="I182" s="26"/>
    </row>
    <row r="183" spans="4:9" hidden="1" x14ac:dyDescent="0.2">
      <c r="D183" s="26"/>
      <c r="E183" s="26"/>
      <c r="F183" s="26"/>
      <c r="G183" s="26"/>
      <c r="H183" s="26"/>
      <c r="I183" s="26"/>
    </row>
    <row r="184" spans="4:9" hidden="1" x14ac:dyDescent="0.2">
      <c r="D184" s="26"/>
      <c r="E184" s="26"/>
      <c r="F184" s="26"/>
      <c r="G184" s="26"/>
      <c r="H184" s="26"/>
      <c r="I184" s="26"/>
    </row>
    <row r="185" spans="4:9" hidden="1" x14ac:dyDescent="0.2">
      <c r="D185" s="26"/>
      <c r="E185" s="26"/>
      <c r="F185" s="26"/>
      <c r="G185" s="26"/>
      <c r="H185" s="26"/>
      <c r="I185" s="26"/>
    </row>
    <row r="186" spans="4:9" hidden="1" x14ac:dyDescent="0.2">
      <c r="D186" s="26"/>
      <c r="E186" s="26"/>
      <c r="F186" s="26"/>
      <c r="G186" s="26"/>
      <c r="H186" s="26"/>
      <c r="I186" s="26"/>
    </row>
    <row r="187" spans="4:9" hidden="1" x14ac:dyDescent="0.2">
      <c r="D187" s="26"/>
      <c r="E187" s="26"/>
      <c r="F187" s="26"/>
      <c r="G187" s="26"/>
      <c r="H187" s="26"/>
      <c r="I187" s="26"/>
    </row>
    <row r="188" spans="4:9" x14ac:dyDescent="0.2"/>
    <row r="189" spans="4:9" x14ac:dyDescent="0.2"/>
    <row r="190" spans="4:9" x14ac:dyDescent="0.2"/>
    <row r="191" spans="4:9" x14ac:dyDescent="0.2"/>
    <row r="192" spans="4:9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</sheetData>
  <mergeCells count="1">
    <mergeCell ref="N3:S3"/>
  </mergeCells>
  <conditionalFormatting sqref="S1:T1">
    <cfRule type="cellIs" dxfId="104" priority="137" operator="equal">
      <formula>"Check"</formula>
    </cfRule>
    <cfRule type="cellIs" dxfId="103" priority="138" operator="equal">
      <formula>"Ok"</formula>
    </cfRule>
  </conditionalFormatting>
  <conditionalFormatting sqref="W1">
    <cfRule type="cellIs" dxfId="102" priority="139" operator="equal">
      <formula>"Check"</formula>
    </cfRule>
    <cfRule type="cellIs" dxfId="101" priority="140" operator="equal">
      <formula>"Ok"</formula>
    </cfRule>
  </conditionalFormatting>
  <conditionalFormatting sqref="R39:T39 R42:T42 R45:T45 R48:T48 J12:T18 J74:T78">
    <cfRule type="cellIs" dxfId="100" priority="136" operator="equal">
      <formula>0</formula>
    </cfRule>
  </conditionalFormatting>
  <conditionalFormatting sqref="J13:T13">
    <cfRule type="cellIs" dxfId="99" priority="135" operator="equal">
      <formula>0</formula>
    </cfRule>
  </conditionalFormatting>
  <conditionalFormatting sqref="J14:T14">
    <cfRule type="cellIs" dxfId="98" priority="134" operator="equal">
      <formula>0</formula>
    </cfRule>
  </conditionalFormatting>
  <conditionalFormatting sqref="J15:T15">
    <cfRule type="cellIs" dxfId="97" priority="133" operator="equal">
      <formula>0</formula>
    </cfRule>
  </conditionalFormatting>
  <conditionalFormatting sqref="J16:T16">
    <cfRule type="cellIs" dxfId="96" priority="132" operator="equal">
      <formula>0</formula>
    </cfRule>
  </conditionalFormatting>
  <conditionalFormatting sqref="J17:T18">
    <cfRule type="cellIs" dxfId="95" priority="131" operator="equal">
      <formula>0</formula>
    </cfRule>
  </conditionalFormatting>
  <conditionalFormatting sqref="J61:T65">
    <cfRule type="cellIs" dxfId="94" priority="130" operator="equal">
      <formula>0</formula>
    </cfRule>
  </conditionalFormatting>
  <conditionalFormatting sqref="J86:T91">
    <cfRule type="cellIs" dxfId="93" priority="128" operator="equal">
      <formula>0</formula>
    </cfRule>
  </conditionalFormatting>
  <conditionalFormatting sqref="J36:T36 J33:T34 J51:T54">
    <cfRule type="cellIs" dxfId="92" priority="125" operator="equal">
      <formula>0</formula>
    </cfRule>
  </conditionalFormatting>
  <conditionalFormatting sqref="J99:T100">
    <cfRule type="cellIs" dxfId="91" priority="124" operator="equal">
      <formula>0</formula>
    </cfRule>
  </conditionalFormatting>
  <conditionalFormatting sqref="J99:T100">
    <cfRule type="cellIs" dxfId="90" priority="123" operator="equal">
      <formula>0</formula>
    </cfRule>
  </conditionalFormatting>
  <conditionalFormatting sqref="J39:Q39 J42:Q42 J45:Q45">
    <cfRule type="cellIs" dxfId="89" priority="104" operator="equal">
      <formula>0</formula>
    </cfRule>
  </conditionalFormatting>
  <conditionalFormatting sqref="J39:Q39 J42:Q42 J45:Q45">
    <cfRule type="cellIs" dxfId="88" priority="103" operator="equal">
      <formula>0</formula>
    </cfRule>
  </conditionalFormatting>
  <conditionalFormatting sqref="J48:Q48">
    <cfRule type="cellIs" dxfId="87" priority="89" operator="equal">
      <formula>0</formula>
    </cfRule>
  </conditionalFormatting>
  <conditionalFormatting sqref="J48:Q48">
    <cfRule type="cellIs" dxfId="86" priority="88" operator="equal">
      <formula>0</formula>
    </cfRule>
  </conditionalFormatting>
  <conditionalFormatting sqref="J38:T38">
    <cfRule type="cellIs" dxfId="85" priority="80" operator="equal">
      <formula>0</formula>
    </cfRule>
  </conditionalFormatting>
  <conditionalFormatting sqref="J38:T38">
    <cfRule type="cellIs" dxfId="84" priority="79" operator="equal">
      <formula>0</formula>
    </cfRule>
  </conditionalFormatting>
  <conditionalFormatting sqref="J98:T98">
    <cfRule type="cellIs" dxfId="83" priority="60" operator="equal">
      <formula>0</formula>
    </cfRule>
  </conditionalFormatting>
  <conditionalFormatting sqref="J98:T98">
    <cfRule type="cellIs" dxfId="82" priority="59" operator="equal">
      <formula>0</formula>
    </cfRule>
  </conditionalFormatting>
  <conditionalFormatting sqref="J10:T10">
    <cfRule type="expression" dxfId="81" priority="58">
      <formula>J$10=J$4</formula>
    </cfRule>
  </conditionalFormatting>
  <conditionalFormatting sqref="J25:T25">
    <cfRule type="expression" dxfId="80" priority="57">
      <formula>J$10=J$4</formula>
    </cfRule>
  </conditionalFormatting>
  <conditionalFormatting sqref="J54:T54">
    <cfRule type="expression" dxfId="79" priority="56">
      <formula>J$10=J$4</formula>
    </cfRule>
  </conditionalFormatting>
  <conditionalFormatting sqref="J30:T30 J26:T28">
    <cfRule type="cellIs" dxfId="78" priority="53" operator="equal">
      <formula>0</formula>
    </cfRule>
  </conditionalFormatting>
  <conditionalFormatting sqref="J31:T32">
    <cfRule type="cellIs" dxfId="77" priority="52" operator="equal">
      <formula>0</formula>
    </cfRule>
  </conditionalFormatting>
  <conditionalFormatting sqref="J68:T68">
    <cfRule type="cellIs" dxfId="76" priority="49" operator="equal">
      <formula>0</formula>
    </cfRule>
  </conditionalFormatting>
  <conditionalFormatting sqref="J35:T35">
    <cfRule type="cellIs" dxfId="75" priority="48" operator="equal">
      <formula>0</formula>
    </cfRule>
  </conditionalFormatting>
  <conditionalFormatting sqref="J35:T35">
    <cfRule type="cellIs" dxfId="74" priority="47" operator="equal">
      <formula>0</formula>
    </cfRule>
  </conditionalFormatting>
  <conditionalFormatting sqref="J29:T29">
    <cfRule type="cellIs" dxfId="73" priority="46" operator="equal">
      <formula>0</formula>
    </cfRule>
  </conditionalFormatting>
  <conditionalFormatting sqref="J29:T29">
    <cfRule type="cellIs" dxfId="72" priority="45" operator="equal">
      <formula>0</formula>
    </cfRule>
  </conditionalFormatting>
  <conditionalFormatting sqref="J20:S20 J22:S22 J24:T24">
    <cfRule type="cellIs" dxfId="71" priority="44" operator="equal">
      <formula>0</formula>
    </cfRule>
  </conditionalFormatting>
  <conditionalFormatting sqref="J20:S20">
    <cfRule type="cellIs" dxfId="70" priority="43" operator="equal">
      <formula>0</formula>
    </cfRule>
  </conditionalFormatting>
  <conditionalFormatting sqref="J22:S22">
    <cfRule type="cellIs" dxfId="69" priority="41" operator="equal">
      <formula>0</formula>
    </cfRule>
  </conditionalFormatting>
  <conditionalFormatting sqref="J24:T24">
    <cfRule type="cellIs" dxfId="68" priority="39" operator="equal">
      <formula>0</formula>
    </cfRule>
  </conditionalFormatting>
  <conditionalFormatting sqref="J67:T67">
    <cfRule type="expression" dxfId="67" priority="142">
      <formula>J$58=J$4</formula>
    </cfRule>
    <cfRule type="cellIs" dxfId="66" priority="143" operator="equal">
      <formula>0</formula>
    </cfRule>
  </conditionalFormatting>
  <conditionalFormatting sqref="J80:T80">
    <cfRule type="expression" dxfId="65" priority="146">
      <formula>J$72=J$4</formula>
    </cfRule>
    <cfRule type="cellIs" dxfId="64" priority="147" operator="equal">
      <formula>0</formula>
    </cfRule>
  </conditionalFormatting>
  <conditionalFormatting sqref="J58:T58 J72:T72 J84:T84">
    <cfRule type="expression" dxfId="63" priority="148">
      <formula>J$58=J$4</formula>
    </cfRule>
  </conditionalFormatting>
  <conditionalFormatting sqref="J41:T41">
    <cfRule type="cellIs" dxfId="62" priority="38" operator="equal">
      <formula>0</formula>
    </cfRule>
  </conditionalFormatting>
  <conditionalFormatting sqref="J41:T41">
    <cfRule type="cellIs" dxfId="61" priority="37" operator="equal">
      <formula>0</formula>
    </cfRule>
  </conditionalFormatting>
  <conditionalFormatting sqref="J44:T44">
    <cfRule type="cellIs" dxfId="60" priority="36" operator="equal">
      <formula>0</formula>
    </cfRule>
  </conditionalFormatting>
  <conditionalFormatting sqref="J44:T44">
    <cfRule type="cellIs" dxfId="59" priority="35" operator="equal">
      <formula>0</formula>
    </cfRule>
  </conditionalFormatting>
  <conditionalFormatting sqref="J47:T47">
    <cfRule type="cellIs" dxfId="58" priority="34" operator="equal">
      <formula>0</formula>
    </cfRule>
  </conditionalFormatting>
  <conditionalFormatting sqref="J47:T47">
    <cfRule type="cellIs" dxfId="57" priority="33" operator="equal">
      <formula>0</formula>
    </cfRule>
  </conditionalFormatting>
  <conditionalFormatting sqref="J50:T50">
    <cfRule type="cellIs" dxfId="56" priority="32" operator="equal">
      <formula>0</formula>
    </cfRule>
  </conditionalFormatting>
  <conditionalFormatting sqref="J50:T50">
    <cfRule type="cellIs" dxfId="55" priority="31" operator="equal">
      <formula>0</formula>
    </cfRule>
  </conditionalFormatting>
  <conditionalFormatting sqref="J16:T16">
    <cfRule type="cellIs" dxfId="54" priority="30" operator="equal">
      <formula>0</formula>
    </cfRule>
  </conditionalFormatting>
  <conditionalFormatting sqref="J19:T19">
    <cfRule type="cellIs" dxfId="53" priority="29" operator="equal">
      <formula>0</formula>
    </cfRule>
  </conditionalFormatting>
  <conditionalFormatting sqref="J21:S21">
    <cfRule type="cellIs" dxfId="52" priority="28" operator="equal">
      <formula>0</formula>
    </cfRule>
  </conditionalFormatting>
  <conditionalFormatting sqref="J23:S23">
    <cfRule type="cellIs" dxfId="51" priority="27" operator="equal">
      <formula>0</formula>
    </cfRule>
  </conditionalFormatting>
  <conditionalFormatting sqref="J23:S23">
    <cfRule type="cellIs" dxfId="50" priority="26" operator="equal">
      <formula>0</formula>
    </cfRule>
  </conditionalFormatting>
  <conditionalFormatting sqref="J23:S23">
    <cfRule type="cellIs" dxfId="49" priority="25" operator="equal">
      <formula>0</formula>
    </cfRule>
  </conditionalFormatting>
  <conditionalFormatting sqref="J37:T37">
    <cfRule type="cellIs" dxfId="48" priority="24" operator="equal">
      <formula>0</formula>
    </cfRule>
  </conditionalFormatting>
  <conditionalFormatting sqref="J37:T37">
    <cfRule type="cellIs" dxfId="47" priority="23" operator="equal">
      <formula>0</formula>
    </cfRule>
  </conditionalFormatting>
  <conditionalFormatting sqref="J37:T37">
    <cfRule type="cellIs" dxfId="46" priority="22" operator="equal">
      <formula>0</formula>
    </cfRule>
  </conditionalFormatting>
  <conditionalFormatting sqref="J40:T40">
    <cfRule type="cellIs" dxfId="45" priority="21" operator="equal">
      <formula>0</formula>
    </cfRule>
  </conditionalFormatting>
  <conditionalFormatting sqref="J40:T40">
    <cfRule type="cellIs" dxfId="44" priority="20" operator="equal">
      <formula>0</formula>
    </cfRule>
  </conditionalFormatting>
  <conditionalFormatting sqref="J40:T40">
    <cfRule type="cellIs" dxfId="43" priority="19" operator="equal">
      <formula>0</formula>
    </cfRule>
  </conditionalFormatting>
  <conditionalFormatting sqref="J43:T43">
    <cfRule type="cellIs" dxfId="42" priority="18" operator="equal">
      <formula>0</formula>
    </cfRule>
  </conditionalFormatting>
  <conditionalFormatting sqref="J43:T43">
    <cfRule type="cellIs" dxfId="41" priority="17" operator="equal">
      <formula>0</formula>
    </cfRule>
  </conditionalFormatting>
  <conditionalFormatting sqref="J43:T43">
    <cfRule type="cellIs" dxfId="40" priority="16" operator="equal">
      <formula>0</formula>
    </cfRule>
  </conditionalFormatting>
  <conditionalFormatting sqref="J46:T46">
    <cfRule type="cellIs" dxfId="39" priority="15" operator="equal">
      <formula>0</formula>
    </cfRule>
  </conditionalFormatting>
  <conditionalFormatting sqref="J46:T46">
    <cfRule type="cellIs" dxfId="38" priority="14" operator="equal">
      <formula>0</formula>
    </cfRule>
  </conditionalFormatting>
  <conditionalFormatting sqref="J46:T46">
    <cfRule type="cellIs" dxfId="37" priority="13" operator="equal">
      <formula>0</formula>
    </cfRule>
  </conditionalFormatting>
  <conditionalFormatting sqref="J49:T49">
    <cfRule type="cellIs" dxfId="36" priority="12" operator="equal">
      <formula>0</formula>
    </cfRule>
  </conditionalFormatting>
  <conditionalFormatting sqref="J49:T49">
    <cfRule type="cellIs" dxfId="35" priority="11" operator="equal">
      <formula>0</formula>
    </cfRule>
  </conditionalFormatting>
  <conditionalFormatting sqref="J49:T49">
    <cfRule type="cellIs" dxfId="34" priority="10" operator="equal">
      <formula>0</formula>
    </cfRule>
  </conditionalFormatting>
  <conditionalFormatting sqref="T20 T22">
    <cfRule type="cellIs" dxfId="33" priority="9" operator="equal">
      <formula>0</formula>
    </cfRule>
  </conditionalFormatting>
  <conditionalFormatting sqref="T20">
    <cfRule type="cellIs" dxfId="32" priority="8" operator="equal">
      <formula>0</formula>
    </cfRule>
  </conditionalFormatting>
  <conditionalFormatting sqref="T22">
    <cfRule type="cellIs" dxfId="31" priority="7" operator="equal">
      <formula>0</formula>
    </cfRule>
  </conditionalFormatting>
  <conditionalFormatting sqref="T21">
    <cfRule type="cellIs" dxfId="30" priority="5" operator="equal">
      <formula>0</formula>
    </cfRule>
  </conditionalFormatting>
  <conditionalFormatting sqref="T23">
    <cfRule type="cellIs" dxfId="29" priority="4" operator="equal">
      <formula>0</formula>
    </cfRule>
  </conditionalFormatting>
  <conditionalFormatting sqref="T23">
    <cfRule type="cellIs" dxfId="28" priority="3" operator="equal">
      <formula>0</formula>
    </cfRule>
  </conditionalFormatting>
  <conditionalFormatting sqref="T23">
    <cfRule type="cellIs" dxfId="27" priority="2" operator="equal">
      <formula>0</formula>
    </cfRule>
  </conditionalFormatting>
  <conditionalFormatting sqref="J92:T92">
    <cfRule type="expression" dxfId="26" priority="203">
      <formula>J$84=J$4</formula>
    </cfRule>
    <cfRule type="cellIs" dxfId="25" priority="204" operator="equal">
      <formula>0</formula>
    </cfRule>
  </conditionalFormatting>
  <conditionalFormatting sqref="J96:T96">
    <cfRule type="expression" dxfId="24" priority="205">
      <formula>J$96=J$4</formula>
    </cfRule>
  </conditionalFormatting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'Lookup|Tables'!$H$66:$H$70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  <outlinePr summaryBelow="0" summaryRight="0"/>
  </sheetPr>
  <dimension ref="A1:AV30"/>
  <sheetViews>
    <sheetView showGridLines="0" zoomScaleNormal="100" workbookViewId="0"/>
  </sheetViews>
  <sheetFormatPr defaultColWidth="0" defaultRowHeight="11.25" zeroHeight="1" x14ac:dyDescent="0.2"/>
  <cols>
    <col min="1" max="2" width="1.5" style="26" customWidth="1"/>
    <col min="3" max="3" width="59.6640625" style="26" bestFit="1" customWidth="1"/>
    <col min="4" max="4" width="27.6640625" style="27" customWidth="1"/>
    <col min="5" max="5" width="15.83203125" style="27" customWidth="1"/>
    <col min="6" max="6" width="10.6640625" style="27" customWidth="1"/>
    <col min="7" max="9" width="3.33203125" style="27" customWidth="1"/>
    <col min="10" max="24" width="10.83203125" style="26" customWidth="1"/>
    <col min="25" max="48" width="0" style="26" hidden="1" customWidth="1"/>
    <col min="49" max="16384" width="10.5" style="26" hidden="1"/>
  </cols>
  <sheetData>
    <row r="1" spans="1:27" s="64" customFormat="1" ht="15.75" x14ac:dyDescent="0.25">
      <c r="B1" s="215" t="str">
        <f>Index!$B$1</f>
        <v>AER opex model v1.8</v>
      </c>
      <c r="C1" s="65"/>
      <c r="D1" s="65"/>
      <c r="E1" s="65"/>
      <c r="F1" s="66"/>
      <c r="G1" s="66"/>
      <c r="H1" s="66"/>
      <c r="I1" s="66"/>
      <c r="J1" s="34" t="s">
        <v>2</v>
      </c>
      <c r="L1" s="67" t="s">
        <v>3</v>
      </c>
      <c r="M1" s="68" t="s">
        <v>4</v>
      </c>
      <c r="N1" s="69" t="s">
        <v>5</v>
      </c>
      <c r="O1" s="70" t="s">
        <v>6</v>
      </c>
      <c r="R1" s="67" t="s">
        <v>74</v>
      </c>
      <c r="S1" s="71" t="s">
        <v>35</v>
      </c>
      <c r="T1" s="71"/>
      <c r="V1" s="170" t="s">
        <v>24</v>
      </c>
      <c r="W1" s="217" t="str">
        <f ca="1">'Check|List'!$S$1</f>
        <v>Ok</v>
      </c>
    </row>
    <row r="2" spans="1:27" s="72" customFormat="1" ht="13.5" thickBot="1" x14ac:dyDescent="0.25">
      <c r="B2" s="216" t="str">
        <f>+Index!C14</f>
        <v>Output|Models</v>
      </c>
      <c r="C2" s="73"/>
      <c r="D2" s="73"/>
      <c r="E2" s="73"/>
      <c r="F2" s="74"/>
      <c r="G2" s="74"/>
      <c r="H2" s="74"/>
      <c r="I2" s="74"/>
    </row>
    <row r="3" spans="1:27" s="75" customFormat="1" x14ac:dyDescent="0.2">
      <c r="C3" s="76"/>
      <c r="D3" s="165"/>
      <c r="E3" s="165"/>
      <c r="F3" s="165"/>
      <c r="G3" s="165"/>
      <c r="H3" s="165"/>
      <c r="I3" s="165"/>
      <c r="J3" s="158" t="s">
        <v>110</v>
      </c>
      <c r="K3" s="158"/>
      <c r="L3" s="158"/>
      <c r="M3" s="165"/>
      <c r="N3" s="295"/>
      <c r="O3" s="295"/>
      <c r="P3" s="295"/>
      <c r="Q3" s="295"/>
      <c r="R3" s="295"/>
      <c r="S3" s="295"/>
      <c r="T3" s="202"/>
      <c r="U3" s="77"/>
      <c r="V3" s="77"/>
      <c r="W3" s="77"/>
      <c r="X3" s="77"/>
      <c r="Y3" s="77"/>
      <c r="Z3" s="77"/>
      <c r="AA3" s="77"/>
    </row>
    <row r="4" spans="1:27" s="98" customFormat="1" x14ac:dyDescent="0.2">
      <c r="A4" s="78"/>
      <c r="B4" s="78"/>
      <c r="C4" s="78"/>
      <c r="D4" s="79" t="s">
        <v>7</v>
      </c>
      <c r="E4" s="79" t="s">
        <v>8</v>
      </c>
      <c r="F4" s="80" t="s">
        <v>22</v>
      </c>
      <c r="G4" s="81"/>
      <c r="H4" s="81"/>
      <c r="I4" s="81"/>
      <c r="J4" s="218">
        <f>DATE(PPFirstYear,MONTH('Input|General'!$G$9),1)</f>
        <v>44348</v>
      </c>
      <c r="K4" s="218">
        <f>DATE(PPFirstYear+1,MONTH('Input|General'!$G$9),1)</f>
        <v>44713</v>
      </c>
      <c r="L4" s="218">
        <f>DATE(PPFirstYear+2,MONTH('Input|General'!$G$9),1)</f>
        <v>45078</v>
      </c>
      <c r="M4" s="218">
        <f>DATE(PPFirstYear+3,MONTH('Input|General'!$G$9),1)</f>
        <v>45444</v>
      </c>
      <c r="N4" s="218">
        <f>DATE(PPFirstYear+4,MONTH('Input|General'!$G$9),1)</f>
        <v>45809</v>
      </c>
      <c r="O4" s="218">
        <f>DATE(PPFirstYear+5,MONTH('Input|General'!$G$9),1)</f>
        <v>46174</v>
      </c>
      <c r="P4" s="218">
        <f>DATE(PPFirstYear+6,MONTH('Input|General'!$G$9),1)</f>
        <v>46539</v>
      </c>
      <c r="Q4" s="218">
        <f>DATE(PPFirstYear+7,MONTH('Input|General'!$G$9),1)</f>
        <v>46905</v>
      </c>
      <c r="R4" s="218">
        <f>DATE(PPFirstYear+8,MONTH('Input|General'!$G$9),1)</f>
        <v>47270</v>
      </c>
      <c r="S4" s="218">
        <f>DATE(PPFirstYear+9,MONTH('Input|General'!$G$9),1)</f>
        <v>47635</v>
      </c>
      <c r="T4" s="218">
        <f>DATE(PPFirstYear+10,MONTH('Input|General'!$G$9),1)</f>
        <v>48000</v>
      </c>
      <c r="U4" s="82"/>
      <c r="V4" s="82"/>
      <c r="W4" s="83"/>
      <c r="X4" s="83"/>
    </row>
    <row r="5" spans="1:27" s="24" customFormat="1" ht="3.2" customHeight="1" x14ac:dyDescent="0.2">
      <c r="D5" s="25"/>
      <c r="E5" s="25"/>
      <c r="F5" s="25"/>
      <c r="G5" s="25"/>
      <c r="H5" s="25"/>
      <c r="I5" s="25"/>
    </row>
    <row r="6" spans="1:27" s="24" customFormat="1" ht="9" customHeight="1" x14ac:dyDescent="0.2">
      <c r="D6" s="25"/>
      <c r="E6" s="25"/>
      <c r="F6" s="25"/>
      <c r="G6" s="25"/>
      <c r="H6" s="25"/>
      <c r="I6" s="25"/>
    </row>
    <row r="7" spans="1:27" s="24" customFormat="1" ht="3.2" customHeight="1" x14ac:dyDescent="0.2">
      <c r="D7" s="25"/>
      <c r="E7" s="25"/>
      <c r="F7" s="25"/>
      <c r="G7" s="25"/>
      <c r="H7" s="25"/>
      <c r="I7" s="25"/>
    </row>
    <row r="8" spans="1:27" s="98" customFormat="1" ht="12.75" x14ac:dyDescent="0.2">
      <c r="A8" s="89"/>
      <c r="B8" s="90" t="s">
        <v>51</v>
      </c>
      <c r="C8" s="89"/>
      <c r="D8" s="89"/>
      <c r="E8" s="219" t="s">
        <v>15</v>
      </c>
      <c r="F8" s="188">
        <f>DATE(PPLastYear,MONTH('Input|General'!$G$9),1)</f>
        <v>45809</v>
      </c>
      <c r="G8" s="91"/>
      <c r="H8" s="91"/>
      <c r="I8" s="91"/>
      <c r="J8" s="141" t="s">
        <v>52</v>
      </c>
      <c r="K8" s="93"/>
      <c r="L8" s="92"/>
      <c r="M8" s="93"/>
      <c r="N8" s="92"/>
      <c r="O8" s="92"/>
      <c r="P8" s="92"/>
      <c r="Q8" s="92"/>
      <c r="R8" s="92"/>
      <c r="S8" s="92"/>
      <c r="T8" s="92"/>
      <c r="U8" s="92"/>
      <c r="V8" s="92"/>
      <c r="W8" s="93"/>
      <c r="X8" s="93"/>
    </row>
    <row r="9" spans="1:27" ht="4.7" customHeight="1" x14ac:dyDescent="0.2"/>
    <row r="10" spans="1:27" x14ac:dyDescent="0.2">
      <c r="M10" s="102"/>
      <c r="N10" s="102"/>
      <c r="O10" s="102"/>
      <c r="P10" s="102"/>
      <c r="Q10" s="102"/>
      <c r="R10" s="102"/>
      <c r="S10" s="102"/>
      <c r="T10" s="102"/>
    </row>
    <row r="11" spans="1:27" x14ac:dyDescent="0.2">
      <c r="C11" s="63" t="s">
        <v>44</v>
      </c>
      <c r="D11" s="29" t="s">
        <v>7</v>
      </c>
      <c r="E11" s="29" t="s">
        <v>8</v>
      </c>
      <c r="F11" s="29" t="s">
        <v>22</v>
      </c>
      <c r="H11" s="29"/>
      <c r="I11" s="29"/>
      <c r="J11" s="220" t="str">
        <f>IF(YEAR(J$4)&gt;='Input|General'!$G$13,IF(YEAR(J$4)&lt;='Input|General'!$G$14,J$4,""),"")</f>
        <v/>
      </c>
      <c r="K11" s="220" t="str">
        <f>IF(YEAR(K$4)&gt;='Input|General'!$G$13,IF(YEAR(K$4)&lt;='Input|General'!$G$14,K$4,""),"")</f>
        <v/>
      </c>
      <c r="L11" s="220" t="str">
        <f>IF(YEAR(L$4)&gt;='Input|General'!$G$13,IF(YEAR(L$4)&lt;='Input|General'!$G$14,L$4,""),"")</f>
        <v/>
      </c>
      <c r="M11" s="220" t="str">
        <f>IF(YEAR(M$4)&gt;='Input|General'!$G$13,IF(YEAR(M$4)&lt;='Input|General'!$G$14,M$4,""),"")</f>
        <v/>
      </c>
      <c r="N11" s="220" t="str">
        <f>IF(YEAR(N$4)&gt;='Input|General'!$G$13,IF(YEAR(N$4)&lt;='Input|General'!$G$14,N$4,""),"")</f>
        <v/>
      </c>
      <c r="O11" s="220">
        <f>IF(YEAR(O$4)&gt;='Input|General'!$G$13,IF(YEAR(O$4)&lt;='Input|General'!$G$14,O$4,""),"")</f>
        <v>46174</v>
      </c>
      <c r="P11" s="220">
        <f>IF(YEAR(P$4)&gt;='Input|General'!$G$13,IF(YEAR(P$4)&lt;='Input|General'!$G$14,P$4,""),"")</f>
        <v>46539</v>
      </c>
      <c r="Q11" s="220">
        <f>IF(YEAR(Q$4)&gt;='Input|General'!$G$13,IF(YEAR(Q$4)&lt;='Input|General'!$G$14,Q$4,""),"")</f>
        <v>46905</v>
      </c>
      <c r="R11" s="220">
        <f>IF(YEAR(R$4)&gt;='Input|General'!$G$13,IF(YEAR(R$4)&lt;='Input|General'!$G$14,R$4,""),"")</f>
        <v>47270</v>
      </c>
      <c r="S11" s="220">
        <f>IF(YEAR(S$4)&gt;='Input|General'!$G$13,IF(YEAR(S$4)&lt;='Input|General'!$G$14,S$4,""),"")</f>
        <v>47635</v>
      </c>
      <c r="T11" s="220" t="str">
        <f>IF(YEAR(T$4)&gt;='Input|General'!$G$13,IF(YEAR(T$4)&lt;='Input|General'!$G$14,T$4,""),"")</f>
        <v/>
      </c>
      <c r="V11" s="129" t="s">
        <v>50</v>
      </c>
      <c r="W11" s="130"/>
      <c r="X11" s="130"/>
    </row>
    <row r="12" spans="1:27" x14ac:dyDescent="0.2">
      <c r="C12" s="63"/>
      <c r="D12" s="29"/>
      <c r="E12" s="29"/>
      <c r="F12" s="29"/>
      <c r="H12" s="29"/>
      <c r="I12" s="29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V12" s="118"/>
      <c r="W12" s="134"/>
      <c r="X12" s="134"/>
    </row>
    <row r="13" spans="1:27" x14ac:dyDescent="0.2">
      <c r="C13" s="241" t="str">
        <f>'Calc|Opex forecast'!C98</f>
        <v>Total forecast opex, excluding category specific forecasts</v>
      </c>
      <c r="D13" s="31" t="s">
        <v>96</v>
      </c>
      <c r="E13" s="100" t="str">
        <f t="shared" ref="E13:E19" si="0">$E$8</f>
        <v>$millions</v>
      </c>
      <c r="F13" s="221">
        <f t="shared" ref="F13:F19" si="1">$F$8</f>
        <v>45809</v>
      </c>
      <c r="H13" s="29"/>
      <c r="I13" s="29"/>
      <c r="J13" s="163">
        <f>IF(J11="",0,'Calc|Opex forecast'!J98*INDEX('Input|Rate of change'!$C$14:$P$22,MATCH('Calc|Opex forecast'!$F$98,'Input|Rate of change'!$C$14:$C$22,0),MATCH('Output|Models'!$F13,'Input|Rate of change'!$C$14:$P$14,0))*IF('Calc|Opex forecast'!$E$98="$millions",1000000,IF('Calc|Opex forecast'!$E$98="$000",1000,1))/IF($E13="$millions",1000000,IF($E13="$000",1000,1)))</f>
        <v>0</v>
      </c>
      <c r="K13" s="163">
        <f>IF(K11="",0,'Calc|Opex forecast'!K98*INDEX('Input|Rate of change'!$C$14:$P$22,MATCH('Calc|Opex forecast'!$F$98,'Input|Rate of change'!$C$14:$C$22,0),MATCH('Output|Models'!$F13,'Input|Rate of change'!$C$14:$P$14,0))*IF('Calc|Opex forecast'!$E$98="$millions",1000000,IF('Calc|Opex forecast'!$E$98="$000",1000,1))/IF($E13="$millions",1000000,IF($E13="$000",1000,1)))</f>
        <v>0</v>
      </c>
      <c r="L13" s="163">
        <f>IF(L11="",0,'Calc|Opex forecast'!L98*INDEX('Input|Rate of change'!$C$14:$P$22,MATCH('Calc|Opex forecast'!$F$98,'Input|Rate of change'!$C$14:$C$22,0),MATCH('Output|Models'!$F13,'Input|Rate of change'!$C$14:$P$14,0))*IF('Calc|Opex forecast'!$E$98="$millions",1000000,IF('Calc|Opex forecast'!$E$98="$000",1000,1))/IF($E13="$millions",1000000,IF($E13="$000",1000,1)))</f>
        <v>0</v>
      </c>
      <c r="M13" s="163">
        <f>IF(M11="",0,'Calc|Opex forecast'!M98*INDEX('Input|Rate of change'!$C$14:$P$22,MATCH('Calc|Opex forecast'!$F$98,'Input|Rate of change'!$C$14:$C$22,0),MATCH('Output|Models'!$F13,'Input|Rate of change'!$C$14:$P$14,0))*IF('Calc|Opex forecast'!$E$98="$millions",1000000,IF('Calc|Opex forecast'!$E$98="$000",1000,1))/IF($E13="$millions",1000000,IF($E13="$000",1000,1)))</f>
        <v>0</v>
      </c>
      <c r="N13" s="163">
        <f>IF(N11="",0,'Calc|Opex forecast'!N98*INDEX('Input|Rate of change'!$C$14:$P$22,MATCH('Calc|Opex forecast'!$F$98,'Input|Rate of change'!$C$14:$C$22,0),MATCH('Output|Models'!$F13,'Input|Rate of change'!$C$14:$P$14,0))*IF('Calc|Opex forecast'!$E$98="$millions",1000000,IF('Calc|Opex forecast'!$E$98="$000",1000,1))/IF($E13="$millions",1000000,IF($E13="$000",1000,1)))</f>
        <v>0</v>
      </c>
      <c r="O13" s="163">
        <f ca="1">IF(O11="",0,'Calc|Opex forecast'!O98*INDEX('Input|Rate of change'!$C$14:$P$22,MATCH('Calc|Opex forecast'!$F$98,'Input|Rate of change'!$C$14:$C$22,0),MATCH('Output|Models'!$F13,'Input|Rate of change'!$C$14:$P$14,0))*IF('Calc|Opex forecast'!$E$98="$millions",1000000,IF('Calc|Opex forecast'!$E$98="$000",1000,1))/IF($E13="$millions",1000000,IF($E13="$000",1000,1)))</f>
        <v>193.69610386213606</v>
      </c>
      <c r="P13" s="163">
        <f ca="1">IF(P11="",0,'Calc|Opex forecast'!P98*INDEX('Input|Rate of change'!$C$14:$P$22,MATCH('Calc|Opex forecast'!$F$98,'Input|Rate of change'!$C$14:$C$22,0),MATCH('Output|Models'!$F13,'Input|Rate of change'!$C$14:$P$14,0))*IF('Calc|Opex forecast'!$E$98="$millions",1000000,IF('Calc|Opex forecast'!$E$98="$000",1000,1))/IF($E13="$millions",1000000,IF($E13="$000",1000,1)))</f>
        <v>189.76415633600092</v>
      </c>
      <c r="Q13" s="163">
        <f ca="1">IF(Q11="",0,'Calc|Opex forecast'!Q98*INDEX('Input|Rate of change'!$C$14:$P$22,MATCH('Calc|Opex forecast'!$F$98,'Input|Rate of change'!$C$14:$C$22,0),MATCH('Output|Models'!$F13,'Input|Rate of change'!$C$14:$P$14,0))*IF('Calc|Opex forecast'!$E$98="$millions",1000000,IF('Calc|Opex forecast'!$E$98="$000",1000,1))/IF($E13="$millions",1000000,IF($E13="$000",1000,1)))</f>
        <v>192.82085336825926</v>
      </c>
      <c r="R13" s="163">
        <f ca="1">IF(R11="",0,'Calc|Opex forecast'!R98*INDEX('Input|Rate of change'!$C$14:$P$22,MATCH('Calc|Opex forecast'!$F$98,'Input|Rate of change'!$C$14:$C$22,0),MATCH('Output|Models'!$F13,'Input|Rate of change'!$C$14:$P$14,0))*IF('Calc|Opex forecast'!$E$98="$millions",1000000,IF('Calc|Opex forecast'!$E$98="$000",1000,1))/IF($E13="$millions",1000000,IF($E13="$000",1000,1)))</f>
        <v>193.60774853113097</v>
      </c>
      <c r="S13" s="163">
        <f ca="1">IF(S11="",0,'Calc|Opex forecast'!S98*INDEX('Input|Rate of change'!$C$14:$P$22,MATCH('Calc|Opex forecast'!$F$98,'Input|Rate of change'!$C$14:$C$22,0),MATCH('Output|Models'!$F13,'Input|Rate of change'!$C$14:$P$14,0))*IF('Calc|Opex forecast'!$E$98="$millions",1000000,IF('Calc|Opex forecast'!$E$98="$000",1000,1))/IF($E13="$millions",1000000,IF($E13="$000",1000,1)))</f>
        <v>198.08004116236211</v>
      </c>
      <c r="T13" s="163">
        <f>IF(T11="",0,'Calc|Opex forecast'!T98*INDEX('Input|Rate of change'!$C$14:$P$22,MATCH('Calc|Opex forecast'!$F$98,'Input|Rate of change'!$C$14:$C$22,0),MATCH('Output|Models'!$F13,'Input|Rate of change'!$C$14:$P$14,0))*IF('Calc|Opex forecast'!$E$98="$millions",1000000,IF('Calc|Opex forecast'!$E$98="$000",1000,1))/IF($E13="$millions",1000000,IF($E13="$000",1000,1)))</f>
        <v>0</v>
      </c>
      <c r="U13" s="105"/>
      <c r="V13" s="143"/>
    </row>
    <row r="14" spans="1:27" x14ac:dyDescent="0.2">
      <c r="C14" s="241" t="str">
        <f>'Input|Step changes'!C24</f>
        <v>UAG costs</v>
      </c>
      <c r="D14" s="31" t="s">
        <v>96</v>
      </c>
      <c r="E14" s="100" t="str">
        <f t="shared" si="0"/>
        <v>$millions</v>
      </c>
      <c r="F14" s="221">
        <f t="shared" si="1"/>
        <v>45809</v>
      </c>
      <c r="H14" s="29"/>
      <c r="I14" s="29"/>
      <c r="J14" s="163">
        <f>IF(J$11="",0,'Calc|Opex forecast'!J86*INDEX('Input|Rate of change'!$C$14:$P$22,MATCH('Calc|Opex forecast'!$F86,'Input|Rate of change'!$C$14:$C$22,0),MATCH('Output|Models'!$F14,'Input|Rate of change'!$C$14:$P$14,0))*IF('Calc|Opex forecast'!$E86="$millions",1000000,IF('Calc|Opex forecast'!$E86="$000",1000,1))/IF($E14="$millions",1000000,IF($E14="$000",1000,1)))</f>
        <v>0</v>
      </c>
      <c r="K14" s="163">
        <f>IF(K$11="",0,'Calc|Opex forecast'!K86*INDEX('Input|Rate of change'!$C$14:$P$22,MATCH('Calc|Opex forecast'!$F86,'Input|Rate of change'!$C$14:$C$22,0),MATCH('Output|Models'!$F14,'Input|Rate of change'!$C$14:$P$14,0))*IF('Calc|Opex forecast'!$E86="$millions",1000000,IF('Calc|Opex forecast'!$E86="$000",1000,1))/IF($E14="$millions",1000000,IF($E14="$000",1000,1)))</f>
        <v>0</v>
      </c>
      <c r="L14" s="163">
        <f>IF(L$11="",0,'Calc|Opex forecast'!L86*INDEX('Input|Rate of change'!$C$14:$P$22,MATCH('Calc|Opex forecast'!$F86,'Input|Rate of change'!$C$14:$C$22,0),MATCH('Output|Models'!$F14,'Input|Rate of change'!$C$14:$P$14,0))*IF('Calc|Opex forecast'!$E86="$millions",1000000,IF('Calc|Opex forecast'!$E86="$000",1000,1))/IF($E14="$millions",1000000,IF($E14="$000",1000,1)))</f>
        <v>0</v>
      </c>
      <c r="M14" s="163">
        <f>IF(M$11="",0,'Calc|Opex forecast'!M86*INDEX('Input|Rate of change'!$C$14:$P$22,MATCH('Calc|Opex forecast'!$F86,'Input|Rate of change'!$C$14:$C$22,0),MATCH('Output|Models'!$F14,'Input|Rate of change'!$C$14:$P$14,0))*IF('Calc|Opex forecast'!$E86="$millions",1000000,IF('Calc|Opex forecast'!$E86="$000",1000,1))/IF($E14="$millions",1000000,IF($E14="$000",1000,1)))</f>
        <v>0</v>
      </c>
      <c r="N14" s="163">
        <f>IF(N$11="",0,'Calc|Opex forecast'!N86*INDEX('Input|Rate of change'!$C$14:$P$22,MATCH('Calc|Opex forecast'!$F86,'Input|Rate of change'!$C$14:$C$22,0),MATCH('Output|Models'!$F14,'Input|Rate of change'!$C$14:$P$14,0))*IF('Calc|Opex forecast'!$E86="$millions",1000000,IF('Calc|Opex forecast'!$E86="$000",1000,1))/IF($E14="$millions",1000000,IF($E14="$000",1000,1)))</f>
        <v>0</v>
      </c>
      <c r="O14" s="163">
        <f>IF(O$11="",0,'Calc|Opex forecast'!O86*INDEX('Input|Rate of change'!$C$14:$P$22,MATCH('Calc|Opex forecast'!$F86,'Input|Rate of change'!$C$14:$C$22,0),MATCH('Output|Models'!$F14,'Input|Rate of change'!$C$14:$P$14,0))*IF('Calc|Opex forecast'!$E86="$millions",1000000,IF('Calc|Opex forecast'!$E86="$000",1000,1))/IF($E14="$millions",1000000,IF($E14="$000",1000,1)))</f>
        <v>36.108636153228488</v>
      </c>
      <c r="P14" s="163">
        <f>IF(P$11="",0,'Calc|Opex forecast'!P86*INDEX('Input|Rate of change'!$C$14:$P$22,MATCH('Calc|Opex forecast'!$F86,'Input|Rate of change'!$C$14:$C$22,0),MATCH('Output|Models'!$F14,'Input|Rate of change'!$C$14:$P$14,0))*IF('Calc|Opex forecast'!$E86="$millions",1000000,IF('Calc|Opex forecast'!$E86="$000",1000,1))/IF($E14="$millions",1000000,IF($E14="$000",1000,1)))</f>
        <v>32.762974544000471</v>
      </c>
      <c r="Q14" s="163">
        <f>IF(Q$11="",0,'Calc|Opex forecast'!Q86*INDEX('Input|Rate of change'!$C$14:$P$22,MATCH('Calc|Opex forecast'!$F86,'Input|Rate of change'!$C$14:$C$22,0),MATCH('Output|Models'!$F14,'Input|Rate of change'!$C$14:$P$14,0))*IF('Calc|Opex forecast'!$E86="$millions",1000000,IF('Calc|Opex forecast'!$E86="$000",1000,1))/IF($E14="$millions",1000000,IF($E14="$000",1000,1)))</f>
        <v>27.760733062397151</v>
      </c>
      <c r="R14" s="163">
        <f>IF(R$11="",0,'Calc|Opex forecast'!R86*INDEX('Input|Rate of change'!$C$14:$P$22,MATCH('Calc|Opex forecast'!$F86,'Input|Rate of change'!$C$14:$C$22,0),MATCH('Output|Models'!$F14,'Input|Rate of change'!$C$14:$P$14,0))*IF('Calc|Opex forecast'!$E86="$millions",1000000,IF('Calc|Opex forecast'!$E86="$000",1000,1))/IF($E14="$millions",1000000,IF($E14="$000",1000,1)))</f>
        <v>25.086821729997851</v>
      </c>
      <c r="S14" s="163">
        <f>IF(S$11="",0,'Calc|Opex forecast'!S86*INDEX('Input|Rate of change'!$C$14:$P$22,MATCH('Calc|Opex forecast'!$F86,'Input|Rate of change'!$C$14:$C$22,0),MATCH('Output|Models'!$F14,'Input|Rate of change'!$C$14:$P$14,0))*IF('Calc|Opex forecast'!$E86="$millions",1000000,IF('Calc|Opex forecast'!$E86="$000",1000,1))/IF($E14="$millions",1000000,IF($E14="$000",1000,1)))</f>
        <v>24.050704839820106</v>
      </c>
      <c r="T14" s="163">
        <f>IF(T$11="",0,'Calc|Opex forecast'!T86*INDEX('Input|Rate of change'!$C$14:$P$22,MATCH('Calc|Opex forecast'!$F86,'Input|Rate of change'!$C$14:$C$22,0),MATCH('Output|Models'!$F14,'Input|Rate of change'!$C$14:$P$14,0))*IF('Calc|Opex forecast'!$E86="$millions",1000000,IF('Calc|Opex forecast'!$E86="$000",1000,1))/IF($E14="$millions",1000000,IF($E14="$000",1000,1)))</f>
        <v>0</v>
      </c>
      <c r="U14" s="105"/>
      <c r="V14" s="143"/>
    </row>
    <row r="15" spans="1:27" x14ac:dyDescent="0.2">
      <c r="C15" s="241" t="str">
        <f>'Input|Step changes'!C25</f>
        <v>License fees</v>
      </c>
      <c r="D15" s="31" t="s">
        <v>96</v>
      </c>
      <c r="E15" s="100" t="str">
        <f t="shared" si="0"/>
        <v>$millions</v>
      </c>
      <c r="F15" s="221">
        <f t="shared" si="1"/>
        <v>45809</v>
      </c>
      <c r="H15" s="29"/>
      <c r="I15" s="29"/>
      <c r="J15" s="163">
        <f>IF(J$11="",0,'Calc|Opex forecast'!J87*INDEX('Input|Rate of change'!$C$14:$P$22,MATCH('Calc|Opex forecast'!$F87,'Input|Rate of change'!$C$14:$C$22,0),MATCH('Output|Models'!$F15,'Input|Rate of change'!$C$14:$P$14,0))*IF('Calc|Opex forecast'!$E87="$millions",1000000,IF('Calc|Opex forecast'!$E87="$000",1000,1))/IF($E15="$millions",1000000,IF($E15="$000",1000,1)))</f>
        <v>0</v>
      </c>
      <c r="K15" s="163">
        <f>IF(K$11="",0,'Calc|Opex forecast'!K87*INDEX('Input|Rate of change'!$C$14:$P$22,MATCH('Calc|Opex forecast'!$F87,'Input|Rate of change'!$C$14:$C$22,0),MATCH('Output|Models'!$F15,'Input|Rate of change'!$C$14:$P$14,0))*IF('Calc|Opex forecast'!$E87="$millions",1000000,IF('Calc|Opex forecast'!$E87="$000",1000,1))/IF($E15="$millions",1000000,IF($E15="$000",1000,1)))</f>
        <v>0</v>
      </c>
      <c r="L15" s="163">
        <f>IF(L$11="",0,'Calc|Opex forecast'!L87*INDEX('Input|Rate of change'!$C$14:$P$22,MATCH('Calc|Opex forecast'!$F87,'Input|Rate of change'!$C$14:$C$22,0),MATCH('Output|Models'!$F15,'Input|Rate of change'!$C$14:$P$14,0))*IF('Calc|Opex forecast'!$E87="$millions",1000000,IF('Calc|Opex forecast'!$E87="$000",1000,1))/IF($E15="$millions",1000000,IF($E15="$000",1000,1)))</f>
        <v>0</v>
      </c>
      <c r="M15" s="163">
        <f>IF(M$11="",0,'Calc|Opex forecast'!M87*INDEX('Input|Rate of change'!$C$14:$P$22,MATCH('Calc|Opex forecast'!$F87,'Input|Rate of change'!$C$14:$C$22,0),MATCH('Output|Models'!$F15,'Input|Rate of change'!$C$14:$P$14,0))*IF('Calc|Opex forecast'!$E87="$millions",1000000,IF('Calc|Opex forecast'!$E87="$000",1000,1))/IF($E15="$millions",1000000,IF($E15="$000",1000,1)))</f>
        <v>0</v>
      </c>
      <c r="N15" s="163">
        <f>IF(N$11="",0,'Calc|Opex forecast'!N87*INDEX('Input|Rate of change'!$C$14:$P$22,MATCH('Calc|Opex forecast'!$F87,'Input|Rate of change'!$C$14:$C$22,0),MATCH('Output|Models'!$F15,'Input|Rate of change'!$C$14:$P$14,0))*IF('Calc|Opex forecast'!$E87="$millions",1000000,IF('Calc|Opex forecast'!$E87="$000",1000,1))/IF($E15="$millions",1000000,IF($E15="$000",1000,1)))</f>
        <v>0</v>
      </c>
      <c r="O15" s="163">
        <f>IF(O$11="",0,'Calc|Opex forecast'!O87*INDEX('Input|Rate of change'!$C$14:$P$22,MATCH('Calc|Opex forecast'!$F87,'Input|Rate of change'!$C$14:$C$22,0),MATCH('Output|Models'!$F15,'Input|Rate of change'!$C$14:$P$14,0))*IF('Calc|Opex forecast'!$E87="$millions",1000000,IF('Calc|Opex forecast'!$E87="$000",1000,1))/IF($E15="$millions",1000000,IF($E15="$000",1000,1)))</f>
        <v>4.2568383600000006</v>
      </c>
      <c r="P15" s="163">
        <f>IF(P$11="",0,'Calc|Opex forecast'!P87*INDEX('Input|Rate of change'!$C$14:$P$22,MATCH('Calc|Opex forecast'!$F87,'Input|Rate of change'!$C$14:$C$22,0),MATCH('Output|Models'!$F15,'Input|Rate of change'!$C$14:$P$14,0))*IF('Calc|Opex forecast'!$E87="$millions",1000000,IF('Calc|Opex forecast'!$E87="$000",1000,1))/IF($E15="$millions",1000000,IF($E15="$000",1000,1)))</f>
        <v>4.2568383600000006</v>
      </c>
      <c r="Q15" s="163">
        <f>IF(Q$11="",0,'Calc|Opex forecast'!Q87*INDEX('Input|Rate of change'!$C$14:$P$22,MATCH('Calc|Opex forecast'!$F87,'Input|Rate of change'!$C$14:$C$22,0),MATCH('Output|Models'!$F15,'Input|Rate of change'!$C$14:$P$14,0))*IF('Calc|Opex forecast'!$E87="$millions",1000000,IF('Calc|Opex forecast'!$E87="$000",1000,1))/IF($E15="$millions",1000000,IF($E15="$000",1000,1)))</f>
        <v>4.2568383600000006</v>
      </c>
      <c r="R15" s="163">
        <f>IF(R$11="",0,'Calc|Opex forecast'!R87*INDEX('Input|Rate of change'!$C$14:$P$22,MATCH('Calc|Opex forecast'!$F87,'Input|Rate of change'!$C$14:$C$22,0),MATCH('Output|Models'!$F15,'Input|Rate of change'!$C$14:$P$14,0))*IF('Calc|Opex forecast'!$E87="$millions",1000000,IF('Calc|Opex forecast'!$E87="$000",1000,1))/IF($E15="$millions",1000000,IF($E15="$000",1000,1)))</f>
        <v>4.2568383600000006</v>
      </c>
      <c r="S15" s="163">
        <f>IF(S$11="",0,'Calc|Opex forecast'!S87*INDEX('Input|Rate of change'!$C$14:$P$22,MATCH('Calc|Opex forecast'!$F87,'Input|Rate of change'!$C$14:$C$22,0),MATCH('Output|Models'!$F15,'Input|Rate of change'!$C$14:$P$14,0))*IF('Calc|Opex forecast'!$E87="$millions",1000000,IF('Calc|Opex forecast'!$E87="$000",1000,1))/IF($E15="$millions",1000000,IF($E15="$000",1000,1)))</f>
        <v>4.2568383600000006</v>
      </c>
      <c r="T15" s="163">
        <f>IF(T$11="",0,'Calc|Opex forecast'!T87*INDEX('Input|Rate of change'!$C$14:$P$22,MATCH('Calc|Opex forecast'!$F87,'Input|Rate of change'!$C$14:$C$22,0),MATCH('Output|Models'!$F15,'Input|Rate of change'!$C$14:$P$14,0))*IF('Calc|Opex forecast'!$E87="$millions",1000000,IF('Calc|Opex forecast'!$E87="$000",1000,1))/IF($E15="$millions",1000000,IF($E15="$000",1000,1)))</f>
        <v>0</v>
      </c>
      <c r="U15" s="105"/>
      <c r="V15" s="143"/>
    </row>
    <row r="16" spans="1:27" x14ac:dyDescent="0.2">
      <c r="C16" s="241" t="str">
        <f>'Input|Step changes'!C26</f>
        <v>Safeguard mechanism costs</v>
      </c>
      <c r="D16" s="31" t="s">
        <v>96</v>
      </c>
      <c r="E16" s="100" t="str">
        <f t="shared" si="0"/>
        <v>$millions</v>
      </c>
      <c r="F16" s="221">
        <f t="shared" si="1"/>
        <v>45809</v>
      </c>
      <c r="H16" s="29"/>
      <c r="I16" s="29"/>
      <c r="J16" s="163">
        <f>IF(J$11="",0,'Calc|Opex forecast'!J88*INDEX('Input|Rate of change'!$C$14:$P$22,MATCH('Calc|Opex forecast'!$F88,'Input|Rate of change'!$C$14:$C$22,0),MATCH('Output|Models'!$F16,'Input|Rate of change'!$C$14:$P$14,0))*IF('Calc|Opex forecast'!$E88="$millions",1000000,IF('Calc|Opex forecast'!$E88="$000",1000,1))/IF($E16="$millions",1000000,IF($E16="$000",1000,1)))</f>
        <v>0</v>
      </c>
      <c r="K16" s="163">
        <f>IF(K$11="",0,'Calc|Opex forecast'!K88*INDEX('Input|Rate of change'!$C$14:$P$22,MATCH('Calc|Opex forecast'!$F88,'Input|Rate of change'!$C$14:$C$22,0),MATCH('Output|Models'!$F16,'Input|Rate of change'!$C$14:$P$14,0))*IF('Calc|Opex forecast'!$E88="$millions",1000000,IF('Calc|Opex forecast'!$E88="$000",1000,1))/IF($E16="$millions",1000000,IF($E16="$000",1000,1)))</f>
        <v>0</v>
      </c>
      <c r="L16" s="163">
        <f>IF(L$11="",0,'Calc|Opex forecast'!L88*INDEX('Input|Rate of change'!$C$14:$P$22,MATCH('Calc|Opex forecast'!$F88,'Input|Rate of change'!$C$14:$C$22,0),MATCH('Output|Models'!$F16,'Input|Rate of change'!$C$14:$P$14,0))*IF('Calc|Opex forecast'!$E88="$millions",1000000,IF('Calc|Opex forecast'!$E88="$000",1000,1))/IF($E16="$millions",1000000,IF($E16="$000",1000,1)))</f>
        <v>0</v>
      </c>
      <c r="M16" s="163">
        <f>IF(M$11="",0,'Calc|Opex forecast'!M88*INDEX('Input|Rate of change'!$C$14:$P$22,MATCH('Calc|Opex forecast'!$F88,'Input|Rate of change'!$C$14:$C$22,0),MATCH('Output|Models'!$F16,'Input|Rate of change'!$C$14:$P$14,0))*IF('Calc|Opex forecast'!$E88="$millions",1000000,IF('Calc|Opex forecast'!$E88="$000",1000,1))/IF($E16="$millions",1000000,IF($E16="$000",1000,1)))</f>
        <v>0</v>
      </c>
      <c r="N16" s="163">
        <f>IF(N$11="",0,'Calc|Opex forecast'!N88*INDEX('Input|Rate of change'!$C$14:$P$22,MATCH('Calc|Opex forecast'!$F88,'Input|Rate of change'!$C$14:$C$22,0),MATCH('Output|Models'!$F16,'Input|Rate of change'!$C$14:$P$14,0))*IF('Calc|Opex forecast'!$E88="$millions",1000000,IF('Calc|Opex forecast'!$E88="$000",1000,1))/IF($E16="$millions",1000000,IF($E16="$000",1000,1)))</f>
        <v>0</v>
      </c>
      <c r="O16" s="163">
        <f>IF(O$11="",0,'Calc|Opex forecast'!O88*INDEX('Input|Rate of change'!$C$14:$P$22,MATCH('Calc|Opex forecast'!$F88,'Input|Rate of change'!$C$14:$C$22,0),MATCH('Output|Models'!$F16,'Input|Rate of change'!$C$14:$P$14,0))*IF('Calc|Opex forecast'!$E88="$millions",1000000,IF('Calc|Opex forecast'!$E88="$000",1000,1))/IF($E16="$millions",1000000,IF($E16="$000",1000,1)))</f>
        <v>2.163786122167596</v>
      </c>
      <c r="P16" s="163">
        <f>IF(P$11="",0,'Calc|Opex forecast'!P88*INDEX('Input|Rate of change'!$C$14:$P$22,MATCH('Calc|Opex forecast'!$F88,'Input|Rate of change'!$C$14:$C$22,0),MATCH('Output|Models'!$F16,'Input|Rate of change'!$C$14:$P$14,0))*IF('Calc|Opex forecast'!$E88="$millions",1000000,IF('Calc|Opex forecast'!$E88="$000",1000,1))/IF($E16="$millions",1000000,IF($E16="$000",1000,1)))</f>
        <v>2.3155181421285609</v>
      </c>
      <c r="Q16" s="163">
        <f>IF(Q$11="",0,'Calc|Opex forecast'!Q88*INDEX('Input|Rate of change'!$C$14:$P$22,MATCH('Calc|Opex forecast'!$F88,'Input|Rate of change'!$C$14:$C$22,0),MATCH('Output|Models'!$F16,'Input|Rate of change'!$C$14:$P$14,0))*IF('Calc|Opex forecast'!$E88="$millions",1000000,IF('Calc|Opex forecast'!$E88="$000",1000,1))/IF($E16="$millions",1000000,IF($E16="$000",1000,1)))</f>
        <v>2.0893836558870591</v>
      </c>
      <c r="R16" s="163">
        <f>IF(R$11="",0,'Calc|Opex forecast'!R88*INDEX('Input|Rate of change'!$C$14:$P$22,MATCH('Calc|Opex forecast'!$F88,'Input|Rate of change'!$C$14:$C$22,0),MATCH('Output|Models'!$F16,'Input|Rate of change'!$C$14:$P$14,0))*IF('Calc|Opex forecast'!$E88="$millions",1000000,IF('Calc|Opex forecast'!$E88="$000",1000,1))/IF($E16="$millions",1000000,IF($E16="$000",1000,1)))</f>
        <v>1.9568944783439128</v>
      </c>
      <c r="S16" s="163">
        <f>IF(S$11="",0,'Calc|Opex forecast'!S88*INDEX('Input|Rate of change'!$C$14:$P$22,MATCH('Calc|Opex forecast'!$F88,'Input|Rate of change'!$C$14:$C$22,0),MATCH('Output|Models'!$F16,'Input|Rate of change'!$C$14:$P$14,0))*IF('Calc|Opex forecast'!$E88="$millions",1000000,IF('Calc|Opex forecast'!$E88="$000",1000,1))/IF($E16="$millions",1000000,IF($E16="$000",1000,1)))</f>
        <v>1.888143772353478</v>
      </c>
      <c r="T16" s="163">
        <f>IF(T$11="",0,'Calc|Opex forecast'!T88*INDEX('Input|Rate of change'!$C$14:$P$22,MATCH('Calc|Opex forecast'!$F88,'Input|Rate of change'!$C$14:$C$22,0),MATCH('Output|Models'!$F16,'Input|Rate of change'!$C$14:$P$14,0))*IF('Calc|Opex forecast'!$E88="$millions",1000000,IF('Calc|Opex forecast'!$E88="$000",1000,1))/IF($E16="$millions",1000000,IF($E16="$000",1000,1)))</f>
        <v>0</v>
      </c>
      <c r="U16" s="105"/>
      <c r="V16" s="143"/>
    </row>
    <row r="17" spans="1:24" x14ac:dyDescent="0.2">
      <c r="C17" s="241"/>
      <c r="D17" s="31" t="s">
        <v>96</v>
      </c>
      <c r="E17" s="100" t="str">
        <f t="shared" si="0"/>
        <v>$millions</v>
      </c>
      <c r="F17" s="221">
        <f t="shared" si="1"/>
        <v>45809</v>
      </c>
      <c r="H17" s="29"/>
      <c r="I17" s="29"/>
      <c r="J17" s="163">
        <f>IF(J$11="",0,'Calc|Opex forecast'!J89*INDEX('Input|Rate of change'!$C$14:$P$22,MATCH('Calc|Opex forecast'!$F89,'Input|Rate of change'!$C$14:$C$22,0),MATCH('Output|Models'!$F17,'Input|Rate of change'!$C$14:$P$14,0))*IF('Calc|Opex forecast'!$E89="$millions",1000000,IF('Calc|Opex forecast'!$E89="$000",1000,1))/IF($E17="$millions",1000000,IF($E17="$000",1000,1)))</f>
        <v>0</v>
      </c>
      <c r="K17" s="163">
        <f>IF(K$11="",0,'Calc|Opex forecast'!K89*INDEX('Input|Rate of change'!$C$14:$P$22,MATCH('Calc|Opex forecast'!$F89,'Input|Rate of change'!$C$14:$C$22,0),MATCH('Output|Models'!$F17,'Input|Rate of change'!$C$14:$P$14,0))*IF('Calc|Opex forecast'!$E89="$millions",1000000,IF('Calc|Opex forecast'!$E89="$000",1000,1))/IF($E17="$millions",1000000,IF($E17="$000",1000,1)))</f>
        <v>0</v>
      </c>
      <c r="L17" s="163">
        <f>IF(L$11="",0,'Calc|Opex forecast'!L89*INDEX('Input|Rate of change'!$C$14:$P$22,MATCH('Calc|Opex forecast'!$F89,'Input|Rate of change'!$C$14:$C$22,0),MATCH('Output|Models'!$F17,'Input|Rate of change'!$C$14:$P$14,0))*IF('Calc|Opex forecast'!$E89="$millions",1000000,IF('Calc|Opex forecast'!$E89="$000",1000,1))/IF($E17="$millions",1000000,IF($E17="$000",1000,1)))</f>
        <v>0</v>
      </c>
      <c r="M17" s="163">
        <f>IF(M$11="",0,'Calc|Opex forecast'!M89*INDEX('Input|Rate of change'!$C$14:$P$22,MATCH('Calc|Opex forecast'!$F89,'Input|Rate of change'!$C$14:$C$22,0),MATCH('Output|Models'!$F17,'Input|Rate of change'!$C$14:$P$14,0))*IF('Calc|Opex forecast'!$E89="$millions",1000000,IF('Calc|Opex forecast'!$E89="$000",1000,1))/IF($E17="$millions",1000000,IF($E17="$000",1000,1)))</f>
        <v>0</v>
      </c>
      <c r="N17" s="163">
        <f>IF(N$11="",0,'Calc|Opex forecast'!N89*INDEX('Input|Rate of change'!$C$14:$P$22,MATCH('Calc|Opex forecast'!$F89,'Input|Rate of change'!$C$14:$C$22,0),MATCH('Output|Models'!$F17,'Input|Rate of change'!$C$14:$P$14,0))*IF('Calc|Opex forecast'!$E89="$millions",1000000,IF('Calc|Opex forecast'!$E89="$000",1000,1))/IF($E17="$millions",1000000,IF($E17="$000",1000,1)))</f>
        <v>0</v>
      </c>
      <c r="O17" s="163">
        <f>IF(O$11="",0,'Calc|Opex forecast'!O89*INDEX('Input|Rate of change'!$C$14:$P$22,MATCH('Calc|Opex forecast'!$F89,'Input|Rate of change'!$C$14:$C$22,0),MATCH('Output|Models'!$F17,'Input|Rate of change'!$C$14:$P$14,0))*IF('Calc|Opex forecast'!$E89="$millions",1000000,IF('Calc|Opex forecast'!$E89="$000",1000,1))/IF($E17="$millions",1000000,IF($E17="$000",1000,1)))</f>
        <v>0</v>
      </c>
      <c r="P17" s="163">
        <f>IF(P$11="",0,'Calc|Opex forecast'!P89*INDEX('Input|Rate of change'!$C$14:$P$22,MATCH('Calc|Opex forecast'!$F89,'Input|Rate of change'!$C$14:$C$22,0),MATCH('Output|Models'!$F17,'Input|Rate of change'!$C$14:$P$14,0))*IF('Calc|Opex forecast'!$E89="$millions",1000000,IF('Calc|Opex forecast'!$E89="$000",1000,1))/IF($E17="$millions",1000000,IF($E17="$000",1000,1)))</f>
        <v>0</v>
      </c>
      <c r="Q17" s="163">
        <f>IF(Q$11="",0,'Calc|Opex forecast'!Q89*INDEX('Input|Rate of change'!$C$14:$P$22,MATCH('Calc|Opex forecast'!$F89,'Input|Rate of change'!$C$14:$C$22,0),MATCH('Output|Models'!$F17,'Input|Rate of change'!$C$14:$P$14,0))*IF('Calc|Opex forecast'!$E89="$millions",1000000,IF('Calc|Opex forecast'!$E89="$000",1000,1))/IF($E17="$millions",1000000,IF($E17="$000",1000,1)))</f>
        <v>0</v>
      </c>
      <c r="R17" s="163">
        <f>IF(R$11="",0,'Calc|Opex forecast'!R89*INDEX('Input|Rate of change'!$C$14:$P$22,MATCH('Calc|Opex forecast'!$F89,'Input|Rate of change'!$C$14:$C$22,0),MATCH('Output|Models'!$F17,'Input|Rate of change'!$C$14:$P$14,0))*IF('Calc|Opex forecast'!$E89="$millions",1000000,IF('Calc|Opex forecast'!$E89="$000",1000,1))/IF($E17="$millions",1000000,IF($E17="$000",1000,1)))</f>
        <v>0</v>
      </c>
      <c r="S17" s="163">
        <f>IF(S$11="",0,'Calc|Opex forecast'!S89*INDEX('Input|Rate of change'!$C$14:$P$22,MATCH('Calc|Opex forecast'!$F89,'Input|Rate of change'!$C$14:$C$22,0),MATCH('Output|Models'!$F17,'Input|Rate of change'!$C$14:$P$14,0))*IF('Calc|Opex forecast'!$E89="$millions",1000000,IF('Calc|Opex forecast'!$E89="$000",1000,1))/IF($E17="$millions",1000000,IF($E17="$000",1000,1)))</f>
        <v>0</v>
      </c>
      <c r="T17" s="163">
        <f>IF(T$11="",0,'Calc|Opex forecast'!T89*INDEX('Input|Rate of change'!$C$14:$P$22,MATCH('Calc|Opex forecast'!$F89,'Input|Rate of change'!$C$14:$C$22,0),MATCH('Output|Models'!$F17,'Input|Rate of change'!$C$14:$P$14,0))*IF('Calc|Opex forecast'!$E89="$millions",1000000,IF('Calc|Opex forecast'!$E89="$000",1000,1))/IF($E17="$millions",1000000,IF($E17="$000",1000,1)))</f>
        <v>0</v>
      </c>
      <c r="U17" s="105"/>
      <c r="V17" s="189"/>
    </row>
    <row r="18" spans="1:24" x14ac:dyDescent="0.2">
      <c r="C18" s="241"/>
      <c r="D18" s="31" t="s">
        <v>96</v>
      </c>
      <c r="E18" s="100" t="str">
        <f t="shared" si="0"/>
        <v>$millions</v>
      </c>
      <c r="F18" s="221">
        <f t="shared" si="1"/>
        <v>45809</v>
      </c>
      <c r="H18" s="29"/>
      <c r="I18" s="29"/>
      <c r="J18" s="163">
        <f>IF(J$11="",0,'Calc|Opex forecast'!J90*INDEX('Input|Rate of change'!$C$14:$P$22,MATCH('Calc|Opex forecast'!$F90,'Input|Rate of change'!$C$14:$C$22,0),MATCH('Output|Models'!$F18,'Input|Rate of change'!$C$14:$P$14,0))*IF('Calc|Opex forecast'!$E90="$millions",1000000,IF('Calc|Opex forecast'!$E90="$000",1000,1))/IF($E18="$millions",1000000,IF($E18="$000",1000,1)))</f>
        <v>0</v>
      </c>
      <c r="K18" s="163">
        <f>IF(K$11="",0,'Calc|Opex forecast'!K90*INDEX('Input|Rate of change'!$C$14:$P$22,MATCH('Calc|Opex forecast'!$F90,'Input|Rate of change'!$C$14:$C$22,0),MATCH('Output|Models'!$F18,'Input|Rate of change'!$C$14:$P$14,0))*IF('Calc|Opex forecast'!$E90="$millions",1000000,IF('Calc|Opex forecast'!$E90="$000",1000,1))/IF($E18="$millions",1000000,IF($E18="$000",1000,1)))</f>
        <v>0</v>
      </c>
      <c r="L18" s="163">
        <f>IF(L$11="",0,'Calc|Opex forecast'!L90*INDEX('Input|Rate of change'!$C$14:$P$22,MATCH('Calc|Opex forecast'!$F90,'Input|Rate of change'!$C$14:$C$22,0),MATCH('Output|Models'!$F18,'Input|Rate of change'!$C$14:$P$14,0))*IF('Calc|Opex forecast'!$E90="$millions",1000000,IF('Calc|Opex forecast'!$E90="$000",1000,1))/IF($E18="$millions",1000000,IF($E18="$000",1000,1)))</f>
        <v>0</v>
      </c>
      <c r="M18" s="163">
        <f>IF(M$11="",0,'Calc|Opex forecast'!M90*INDEX('Input|Rate of change'!$C$14:$P$22,MATCH('Calc|Opex forecast'!$F90,'Input|Rate of change'!$C$14:$C$22,0),MATCH('Output|Models'!$F18,'Input|Rate of change'!$C$14:$P$14,0))*IF('Calc|Opex forecast'!$E90="$millions",1000000,IF('Calc|Opex forecast'!$E90="$000",1000,1))/IF($E18="$millions",1000000,IF($E18="$000",1000,1)))</f>
        <v>0</v>
      </c>
      <c r="N18" s="163">
        <f>IF(N$11="",0,'Calc|Opex forecast'!N90*INDEX('Input|Rate of change'!$C$14:$P$22,MATCH('Calc|Opex forecast'!$F90,'Input|Rate of change'!$C$14:$C$22,0),MATCH('Output|Models'!$F18,'Input|Rate of change'!$C$14:$P$14,0))*IF('Calc|Opex forecast'!$E90="$millions",1000000,IF('Calc|Opex forecast'!$E90="$000",1000,1))/IF($E18="$millions",1000000,IF($E18="$000",1000,1)))</f>
        <v>0</v>
      </c>
      <c r="O18" s="163">
        <f>IF(O$11="",0,'Calc|Opex forecast'!O90*INDEX('Input|Rate of change'!$C$14:$P$22,MATCH('Calc|Opex forecast'!$F90,'Input|Rate of change'!$C$14:$C$22,0),MATCH('Output|Models'!$F18,'Input|Rate of change'!$C$14:$P$14,0))*IF('Calc|Opex forecast'!$E90="$millions",1000000,IF('Calc|Opex forecast'!$E90="$000",1000,1))/IF($E18="$millions",1000000,IF($E18="$000",1000,1)))</f>
        <v>0</v>
      </c>
      <c r="P18" s="163">
        <f>IF(P$11="",0,'Calc|Opex forecast'!P90*INDEX('Input|Rate of change'!$C$14:$P$22,MATCH('Calc|Opex forecast'!$F90,'Input|Rate of change'!$C$14:$C$22,0),MATCH('Output|Models'!$F18,'Input|Rate of change'!$C$14:$P$14,0))*IF('Calc|Opex forecast'!$E90="$millions",1000000,IF('Calc|Opex forecast'!$E90="$000",1000,1))/IF($E18="$millions",1000000,IF($E18="$000",1000,1)))</f>
        <v>0</v>
      </c>
      <c r="Q18" s="163">
        <f>IF(Q$11="",0,'Calc|Opex forecast'!Q90*INDEX('Input|Rate of change'!$C$14:$P$22,MATCH('Calc|Opex forecast'!$F90,'Input|Rate of change'!$C$14:$C$22,0),MATCH('Output|Models'!$F18,'Input|Rate of change'!$C$14:$P$14,0))*IF('Calc|Opex forecast'!$E90="$millions",1000000,IF('Calc|Opex forecast'!$E90="$000",1000,1))/IF($E18="$millions",1000000,IF($E18="$000",1000,1)))</f>
        <v>0</v>
      </c>
      <c r="R18" s="163">
        <f>IF(R$11="",0,'Calc|Opex forecast'!R90*INDEX('Input|Rate of change'!$C$14:$P$22,MATCH('Calc|Opex forecast'!$F90,'Input|Rate of change'!$C$14:$C$22,0),MATCH('Output|Models'!$F18,'Input|Rate of change'!$C$14:$P$14,0))*IF('Calc|Opex forecast'!$E90="$millions",1000000,IF('Calc|Opex forecast'!$E90="$000",1000,1))/IF($E18="$millions",1000000,IF($E18="$000",1000,1)))</f>
        <v>0</v>
      </c>
      <c r="S18" s="163">
        <f>IF(S$11="",0,'Calc|Opex forecast'!S90*INDEX('Input|Rate of change'!$C$14:$P$22,MATCH('Calc|Opex forecast'!$F90,'Input|Rate of change'!$C$14:$C$22,0),MATCH('Output|Models'!$F18,'Input|Rate of change'!$C$14:$P$14,0))*IF('Calc|Opex forecast'!$E90="$millions",1000000,IF('Calc|Opex forecast'!$E90="$000",1000,1))/IF($E18="$millions",1000000,IF($E18="$000",1000,1)))</f>
        <v>0</v>
      </c>
      <c r="T18" s="163">
        <f>IF(T$11="",0,'Calc|Opex forecast'!T90*INDEX('Input|Rate of change'!$C$14:$P$22,MATCH('Calc|Opex forecast'!$F90,'Input|Rate of change'!$C$14:$C$22,0),MATCH('Output|Models'!$F18,'Input|Rate of change'!$C$14:$P$14,0))*IF('Calc|Opex forecast'!$E90="$millions",1000000,IF('Calc|Opex forecast'!$E90="$000",1000,1))/IF($E18="$millions",1000000,IF($E18="$000",1000,1)))</f>
        <v>0</v>
      </c>
      <c r="U18" s="105"/>
      <c r="V18" s="189"/>
    </row>
    <row r="19" spans="1:24" x14ac:dyDescent="0.2">
      <c r="C19" s="241"/>
      <c r="D19" s="31" t="s">
        <v>96</v>
      </c>
      <c r="E19" s="100" t="str">
        <f t="shared" si="0"/>
        <v>$millions</v>
      </c>
      <c r="F19" s="221">
        <f t="shared" si="1"/>
        <v>45809</v>
      </c>
      <c r="H19" s="29"/>
      <c r="I19" s="29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05"/>
      <c r="V19" s="189"/>
    </row>
    <row r="20" spans="1:24" x14ac:dyDescent="0.2">
      <c r="D20" s="31"/>
      <c r="F20"/>
      <c r="H20" s="29"/>
      <c r="I20" s="29"/>
      <c r="N20" s="134"/>
      <c r="O20" s="245"/>
      <c r="P20" s="245"/>
      <c r="Q20" s="245"/>
      <c r="R20" s="245"/>
      <c r="S20" s="245"/>
      <c r="T20" s="21"/>
    </row>
    <row r="21" spans="1:24" s="98" customFormat="1" ht="12.75" x14ac:dyDescent="0.2">
      <c r="A21" s="89"/>
      <c r="B21" s="90" t="s">
        <v>21</v>
      </c>
      <c r="C21" s="89"/>
      <c r="D21" s="89"/>
      <c r="E21" s="89"/>
      <c r="F21" s="91"/>
      <c r="G21" s="91"/>
      <c r="H21" s="91"/>
      <c r="I21" s="91"/>
      <c r="J21" s="92"/>
      <c r="K21" s="93"/>
      <c r="L21" s="92"/>
      <c r="M21" s="93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7" spans="1:24" hidden="1" x14ac:dyDescent="0.2">
      <c r="M27" s="138"/>
      <c r="N27" s="138"/>
      <c r="O27" s="138"/>
      <c r="P27" s="138"/>
      <c r="Q27" s="138"/>
      <c r="R27" s="138"/>
      <c r="S27" s="138"/>
      <c r="T27" s="138"/>
    </row>
    <row r="28" spans="1:24" x14ac:dyDescent="0.2"/>
    <row r="29" spans="1:24" x14ac:dyDescent="0.2"/>
    <row r="30" spans="1:24" x14ac:dyDescent="0.2"/>
  </sheetData>
  <mergeCells count="1">
    <mergeCell ref="N3:S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9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S1: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1">
    <dataValidation type="list" allowBlank="1" showInputMessage="1" showErrorMessage="1" sqref="F13:F19" xr:uid="{00000000-0002-0000-0700-000000000000}">
      <formula1>$G$23:$G$29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V1" location="'Check|List'!A1" display="Overall Check:" xr:uid="{00000000-0004-0000-0700-000005000000}"/>
    <hyperlink ref="D14:D19" location="'Calc|Opex forecast'!A1" display="Calc | Opex forecast" xr:uid="{AC2FCC93-C054-4739-A78D-573EF259D6B3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  <outlinePr summaryBelow="0" summaryRight="0"/>
  </sheetPr>
  <dimension ref="A1:XER84"/>
  <sheetViews>
    <sheetView showGridLines="0" workbookViewId="0"/>
  </sheetViews>
  <sheetFormatPr defaultColWidth="0" defaultRowHeight="11.25" zeroHeight="1" x14ac:dyDescent="0.2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5" customFormat="1" ht="15.75" x14ac:dyDescent="0.25">
      <c r="B1" s="287" t="str">
        <f>Index!$B$1</f>
        <v>AER opex model v1.8</v>
      </c>
      <c r="C1" s="32"/>
      <c r="D1" s="32"/>
      <c r="E1" s="32"/>
      <c r="F1" s="33"/>
      <c r="G1" s="33"/>
      <c r="H1" s="33"/>
      <c r="I1" s="33"/>
      <c r="J1" s="34" t="s">
        <v>2</v>
      </c>
      <c r="L1" s="36" t="s">
        <v>3</v>
      </c>
      <c r="M1" s="56" t="s">
        <v>4</v>
      </c>
      <c r="N1" s="11" t="s">
        <v>5</v>
      </c>
      <c r="O1" s="12" t="s">
        <v>6</v>
      </c>
      <c r="R1" s="36"/>
      <c r="S1" s="37"/>
      <c r="U1" s="164" t="s">
        <v>24</v>
      </c>
      <c r="V1" s="244" t="str">
        <f ca="1">'Check|List'!$S$1</f>
        <v>Ok</v>
      </c>
    </row>
    <row r="2" spans="1:47" s="35" customFormat="1" ht="12.75" x14ac:dyDescent="0.2">
      <c r="B2" s="288" t="str">
        <f>+Index!C15</f>
        <v>Lookup|Tables</v>
      </c>
      <c r="C2" s="50"/>
      <c r="D2" s="50"/>
      <c r="E2" s="50"/>
      <c r="F2" s="51"/>
      <c r="G2" s="51"/>
      <c r="H2" s="51"/>
      <c r="I2" s="51"/>
    </row>
    <row r="3" spans="1:47" s="55" customFormat="1" ht="12.75" x14ac:dyDescent="0.2">
      <c r="A3" s="40"/>
      <c r="B3" s="48"/>
      <c r="C3" s="40"/>
      <c r="D3" s="40"/>
      <c r="E3" s="40"/>
      <c r="F3" s="41"/>
      <c r="G3" s="41"/>
      <c r="H3" s="41"/>
      <c r="I3" s="41"/>
      <c r="J3" s="42"/>
      <c r="K3" s="43"/>
      <c r="L3" s="42"/>
      <c r="M3" s="43"/>
      <c r="N3" s="42"/>
      <c r="O3" s="42"/>
      <c r="P3" s="42"/>
      <c r="Q3" s="42"/>
      <c r="R3" s="42"/>
      <c r="S3" s="42"/>
      <c r="T3" s="42"/>
      <c r="U3" s="42"/>
      <c r="V3" s="43"/>
      <c r="W3" s="43"/>
      <c r="X3" s="52"/>
      <c r="Y3" s="52"/>
      <c r="Z3" s="52"/>
      <c r="AA3" s="52"/>
      <c r="AB3" s="52"/>
      <c r="AC3" s="53"/>
      <c r="AD3" s="53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</row>
    <row r="4" spans="1:47" s="6" customFormat="1" ht="3.2" customHeight="1" x14ac:dyDescent="0.2">
      <c r="D4" s="18"/>
      <c r="E4" s="18"/>
    </row>
    <row r="5" spans="1:47" s="6" customFormat="1" ht="9" customHeight="1" x14ac:dyDescent="0.2">
      <c r="D5" s="18"/>
      <c r="E5" s="18"/>
    </row>
    <row r="6" spans="1:47" s="6" customFormat="1" ht="3.2" customHeight="1" x14ac:dyDescent="0.2">
      <c r="D6" s="18"/>
      <c r="E6" s="18"/>
    </row>
    <row r="7" spans="1:47" customFormat="1" ht="12.75" x14ac:dyDescent="0.2">
      <c r="A7" s="40"/>
      <c r="B7" s="48" t="s">
        <v>19</v>
      </c>
      <c r="C7" s="40"/>
      <c r="D7" s="40"/>
      <c r="E7" s="40"/>
      <c r="F7" s="41"/>
      <c r="G7" s="41"/>
      <c r="H7" s="41"/>
      <c r="I7" s="41"/>
      <c r="J7" s="42"/>
      <c r="K7" s="43"/>
      <c r="L7" s="42"/>
      <c r="M7" s="43"/>
      <c r="N7" s="42"/>
      <c r="O7" s="42"/>
      <c r="P7" s="42"/>
      <c r="Q7" s="42"/>
      <c r="R7" s="42"/>
      <c r="S7" s="42"/>
      <c r="T7" s="42"/>
      <c r="U7" s="42"/>
      <c r="V7" s="43"/>
      <c r="W7" s="43"/>
      <c r="X7" s="44"/>
      <c r="Y7" s="44"/>
      <c r="Z7" s="44"/>
      <c r="AA7" s="44"/>
      <c r="AB7" s="45"/>
      <c r="AC7" s="46"/>
      <c r="AD7" s="46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</row>
    <row r="8" spans="1:47" x14ac:dyDescent="0.2"/>
    <row r="9" spans="1:47" x14ac:dyDescent="0.2">
      <c r="C9" s="289" t="str">
        <f>B7</f>
        <v>Unit Denominations</v>
      </c>
      <c r="D9" s="19" t="s">
        <v>7</v>
      </c>
      <c r="E9" s="19"/>
      <c r="F9" s="14"/>
      <c r="G9" s="14" t="s">
        <v>9</v>
      </c>
      <c r="H9" s="14"/>
    </row>
    <row r="10" spans="1:47" x14ac:dyDescent="0.2">
      <c r="C10" s="15" t="s">
        <v>10</v>
      </c>
      <c r="D10" s="16" t="s">
        <v>62</v>
      </c>
      <c r="E10" s="16"/>
      <c r="F10" s="16"/>
      <c r="G10" s="49" t="s">
        <v>12</v>
      </c>
    </row>
    <row r="11" spans="1:47" x14ac:dyDescent="0.2">
      <c r="C11" s="15" t="s">
        <v>13</v>
      </c>
      <c r="D11" s="16" t="s">
        <v>62</v>
      </c>
      <c r="E11" s="16"/>
      <c r="F11" s="16"/>
      <c r="G11" s="49" t="s">
        <v>20</v>
      </c>
    </row>
    <row r="12" spans="1:47" x14ac:dyDescent="0.2">
      <c r="C12" s="15" t="s">
        <v>14</v>
      </c>
      <c r="D12" s="16" t="s">
        <v>62</v>
      </c>
      <c r="E12" s="16"/>
      <c r="F12" s="16"/>
      <c r="G12" s="49" t="s">
        <v>15</v>
      </c>
      <c r="T12" s="17"/>
    </row>
    <row r="13" spans="1:47" x14ac:dyDescent="0.2">
      <c r="F13" s="8"/>
      <c r="G13" s="8"/>
    </row>
    <row r="14" spans="1:47" x14ac:dyDescent="0.2">
      <c r="C14" s="15" t="s">
        <v>16</v>
      </c>
      <c r="D14" s="16" t="s">
        <v>62</v>
      </c>
      <c r="E14" s="16"/>
      <c r="F14" s="16"/>
      <c r="G14" s="49" t="s">
        <v>30</v>
      </c>
    </row>
    <row r="15" spans="1:47" x14ac:dyDescent="0.2">
      <c r="C15" s="15" t="s">
        <v>8</v>
      </c>
      <c r="D15" s="16" t="s">
        <v>62</v>
      </c>
      <c r="E15" s="16"/>
      <c r="F15" s="16"/>
      <c r="G15" s="49" t="s">
        <v>11</v>
      </c>
    </row>
    <row r="16" spans="1:47" x14ac:dyDescent="0.2">
      <c r="C16" s="15" t="s">
        <v>17</v>
      </c>
      <c r="D16" s="16" t="s">
        <v>62</v>
      </c>
      <c r="E16" s="16"/>
      <c r="F16" s="16"/>
      <c r="G16" s="49" t="s">
        <v>18</v>
      </c>
    </row>
    <row r="17" spans="1:47" x14ac:dyDescent="0.2">
      <c r="C17" s="15" t="s">
        <v>36</v>
      </c>
      <c r="D17" s="16" t="s">
        <v>62</v>
      </c>
      <c r="E17" s="16"/>
      <c r="F17" s="16"/>
      <c r="G17" s="49" t="s">
        <v>37</v>
      </c>
    </row>
    <row r="18" spans="1:47" x14ac:dyDescent="0.2">
      <c r="C18" s="15"/>
      <c r="D18" s="16"/>
      <c r="E18" s="16"/>
      <c r="F18" s="16"/>
      <c r="G18" s="8"/>
    </row>
    <row r="19" spans="1:47" x14ac:dyDescent="0.2">
      <c r="C19" s="15" t="s">
        <v>23</v>
      </c>
      <c r="D19" s="16" t="s">
        <v>62</v>
      </c>
      <c r="E19" s="16"/>
      <c r="F19" s="16"/>
      <c r="G19" s="49" t="s">
        <v>23</v>
      </c>
    </row>
    <row r="20" spans="1:47" x14ac:dyDescent="0.2">
      <c r="C20" s="15" t="s">
        <v>67</v>
      </c>
      <c r="D20" s="16" t="s">
        <v>62</v>
      </c>
      <c r="E20" s="16"/>
      <c r="F20" s="16"/>
      <c r="G20" s="49" t="s">
        <v>67</v>
      </c>
    </row>
    <row r="21" spans="1:47" x14ac:dyDescent="0.2">
      <c r="C21" s="15"/>
      <c r="D21" s="16"/>
      <c r="E21" s="16"/>
      <c r="F21" s="16"/>
      <c r="G21" s="8"/>
    </row>
    <row r="22" spans="1:47" customFormat="1" ht="12.75" x14ac:dyDescent="0.2">
      <c r="A22" s="40"/>
      <c r="B22" s="48" t="s">
        <v>111</v>
      </c>
      <c r="C22" s="40"/>
      <c r="D22" s="40"/>
      <c r="E22" s="40"/>
      <c r="F22" s="41"/>
      <c r="G22" s="41"/>
      <c r="H22" s="41"/>
      <c r="I22" s="41"/>
      <c r="J22" s="42"/>
      <c r="K22" s="43"/>
      <c r="L22" s="42"/>
      <c r="M22" s="43"/>
      <c r="N22" s="42"/>
      <c r="O22" s="42"/>
      <c r="P22" s="42"/>
      <c r="Q22" s="42"/>
      <c r="R22" s="42"/>
      <c r="S22" s="42"/>
      <c r="T22" s="42"/>
      <c r="U22" s="42"/>
      <c r="V22" s="43"/>
      <c r="W22" s="43"/>
      <c r="X22" s="44"/>
      <c r="Y22" s="44"/>
      <c r="Z22" s="44"/>
      <c r="AA22" s="44"/>
      <c r="AB22" s="45"/>
      <c r="AC22" s="46"/>
      <c r="AD22" s="46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</row>
    <row r="23" spans="1:47" x14ac:dyDescent="0.2"/>
    <row r="24" spans="1:47" x14ac:dyDescent="0.2">
      <c r="C24" s="289" t="str">
        <f>B22</f>
        <v>Months</v>
      </c>
      <c r="D24" s="19" t="s">
        <v>7</v>
      </c>
      <c r="E24" s="19"/>
      <c r="F24" s="14"/>
      <c r="G24" s="14" t="s">
        <v>9</v>
      </c>
      <c r="H24" s="14"/>
    </row>
    <row r="25" spans="1:47" x14ac:dyDescent="0.2">
      <c r="C25" s="15" t="s">
        <v>112</v>
      </c>
      <c r="D25" s="16" t="s">
        <v>62</v>
      </c>
      <c r="E25" s="16"/>
      <c r="F25" s="16"/>
      <c r="G25" s="144">
        <v>36526</v>
      </c>
      <c r="H25" s="14"/>
    </row>
    <row r="26" spans="1:47" x14ac:dyDescent="0.2">
      <c r="C26" s="15" t="s">
        <v>113</v>
      </c>
      <c r="D26" s="16" t="s">
        <v>62</v>
      </c>
      <c r="E26" s="16"/>
      <c r="F26" s="16"/>
      <c r="G26" s="144">
        <v>36557</v>
      </c>
      <c r="H26" s="14"/>
    </row>
    <row r="27" spans="1:47" x14ac:dyDescent="0.2">
      <c r="C27" s="15" t="s">
        <v>114</v>
      </c>
      <c r="D27" s="16" t="s">
        <v>62</v>
      </c>
      <c r="E27" s="16"/>
      <c r="F27" s="16"/>
      <c r="G27" s="144">
        <v>36586</v>
      </c>
      <c r="H27" s="14"/>
    </row>
    <row r="28" spans="1:47" x14ac:dyDescent="0.2">
      <c r="C28" s="15" t="s">
        <v>115</v>
      </c>
      <c r="D28" s="16" t="s">
        <v>62</v>
      </c>
      <c r="E28" s="16"/>
      <c r="F28" s="16"/>
      <c r="G28" s="144">
        <v>36617</v>
      </c>
    </row>
    <row r="29" spans="1:47" x14ac:dyDescent="0.2">
      <c r="C29" s="15" t="s">
        <v>116</v>
      </c>
      <c r="D29" s="16" t="s">
        <v>62</v>
      </c>
      <c r="E29" s="16"/>
      <c r="F29" s="16"/>
      <c r="G29" s="144">
        <v>36647</v>
      </c>
    </row>
    <row r="30" spans="1:47" x14ac:dyDescent="0.2">
      <c r="C30" s="15" t="s">
        <v>117</v>
      </c>
      <c r="D30" s="16" t="s">
        <v>62</v>
      </c>
      <c r="E30" s="16"/>
      <c r="F30" s="16"/>
      <c r="G30" s="144">
        <v>36678</v>
      </c>
      <c r="T30" s="17"/>
    </row>
    <row r="31" spans="1:47" x14ac:dyDescent="0.2">
      <c r="C31" s="15" t="s">
        <v>118</v>
      </c>
      <c r="D31" s="16" t="s">
        <v>62</v>
      </c>
      <c r="E31" s="16"/>
      <c r="F31" s="16"/>
      <c r="G31" s="144">
        <v>36708</v>
      </c>
      <c r="T31" s="17"/>
    </row>
    <row r="32" spans="1:47" x14ac:dyDescent="0.2">
      <c r="C32" s="15" t="s">
        <v>119</v>
      </c>
      <c r="D32" s="16" t="s">
        <v>62</v>
      </c>
      <c r="E32" s="16"/>
      <c r="F32" s="16"/>
      <c r="G32" s="144">
        <v>36739</v>
      </c>
      <c r="T32" s="17"/>
    </row>
    <row r="33" spans="1:47" x14ac:dyDescent="0.2">
      <c r="C33" s="15" t="s">
        <v>120</v>
      </c>
      <c r="D33" s="16" t="s">
        <v>62</v>
      </c>
      <c r="E33" s="16"/>
      <c r="F33" s="16"/>
      <c r="G33" s="144">
        <v>36770</v>
      </c>
      <c r="T33" s="17"/>
    </row>
    <row r="34" spans="1:47" x14ac:dyDescent="0.2">
      <c r="C34" s="15" t="s">
        <v>121</v>
      </c>
      <c r="D34" s="16" t="s">
        <v>62</v>
      </c>
      <c r="E34" s="16"/>
      <c r="F34" s="16"/>
      <c r="G34" s="144">
        <v>36800</v>
      </c>
      <c r="T34" s="17"/>
    </row>
    <row r="35" spans="1:47" x14ac:dyDescent="0.2">
      <c r="C35" s="15" t="s">
        <v>122</v>
      </c>
      <c r="D35" s="16" t="s">
        <v>62</v>
      </c>
      <c r="E35" s="16"/>
      <c r="F35" s="16"/>
      <c r="G35" s="144">
        <v>36831</v>
      </c>
      <c r="T35" s="17"/>
    </row>
    <row r="36" spans="1:47" x14ac:dyDescent="0.2">
      <c r="C36" s="15" t="s">
        <v>123</v>
      </c>
      <c r="D36" s="16" t="s">
        <v>62</v>
      </c>
      <c r="E36" s="16"/>
      <c r="F36" s="16"/>
      <c r="G36" s="144">
        <v>36861</v>
      </c>
      <c r="T36" s="17"/>
    </row>
    <row r="37" spans="1:47" x14ac:dyDescent="0.2">
      <c r="C37" s="15"/>
      <c r="D37" s="16"/>
      <c r="E37" s="16"/>
      <c r="F37" s="16"/>
      <c r="T37" s="17"/>
    </row>
    <row r="38" spans="1:47" customFormat="1" ht="12.75" x14ac:dyDescent="0.2">
      <c r="A38" s="40"/>
      <c r="B38" s="48" t="s">
        <v>63</v>
      </c>
      <c r="C38" s="40"/>
      <c r="D38" s="40"/>
      <c r="E38" s="40"/>
      <c r="F38" s="41"/>
      <c r="G38" s="41"/>
      <c r="H38" s="41"/>
      <c r="I38" s="41"/>
      <c r="J38" s="42"/>
      <c r="K38" s="43"/>
      <c r="L38" s="42"/>
      <c r="M38" s="43"/>
      <c r="N38" s="42"/>
      <c r="O38" s="42"/>
      <c r="P38" s="42"/>
      <c r="Q38" s="42"/>
      <c r="R38" s="42"/>
      <c r="S38" s="42"/>
      <c r="T38" s="42"/>
      <c r="U38" s="42"/>
      <c r="V38" s="43"/>
      <c r="W38" s="43"/>
      <c r="X38" s="44"/>
      <c r="Y38" s="44"/>
      <c r="Z38" s="44"/>
      <c r="AA38" s="44"/>
      <c r="AB38" s="45"/>
      <c r="AC38" s="46"/>
      <c r="AD38" s="46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</row>
    <row r="39" spans="1:47" x14ac:dyDescent="0.2"/>
    <row r="40" spans="1:47" x14ac:dyDescent="0.2">
      <c r="C40" s="289" t="str">
        <f>B38</f>
        <v>Years</v>
      </c>
      <c r="D40" s="19" t="s">
        <v>7</v>
      </c>
      <c r="E40" s="19"/>
      <c r="F40" s="14"/>
      <c r="G40" s="14" t="s">
        <v>146</v>
      </c>
      <c r="H40" s="14" t="s">
        <v>144</v>
      </c>
      <c r="I40" s="14" t="s">
        <v>145</v>
      </c>
    </row>
    <row r="41" spans="1:47" x14ac:dyDescent="0.2">
      <c r="C41" s="290">
        <v>40695</v>
      </c>
      <c r="D41" s="16" t="s">
        <v>62</v>
      </c>
      <c r="E41" s="16"/>
      <c r="F41" s="16"/>
      <c r="G41" s="145">
        <v>2011</v>
      </c>
      <c r="H41" s="168">
        <f>DATE(G41,MONTH('Input|General'!$G$9),1)</f>
        <v>40695</v>
      </c>
      <c r="I41" s="166" t="str">
        <f>G41-1&amp;"–"&amp;RIGHT(G41,2)</f>
        <v>2010–11</v>
      </c>
    </row>
    <row r="42" spans="1:47" x14ac:dyDescent="0.2">
      <c r="C42" s="290">
        <v>41061</v>
      </c>
      <c r="D42" s="16" t="s">
        <v>62</v>
      </c>
      <c r="E42" s="16"/>
      <c r="F42" s="16"/>
      <c r="G42" s="145">
        <v>2012</v>
      </c>
      <c r="H42" s="168">
        <f>DATE(G42,MONTH('Input|General'!$G$9),1)</f>
        <v>41061</v>
      </c>
      <c r="I42" s="166" t="str">
        <f t="shared" ref="I42:I60" si="0">G42-1&amp;"–"&amp;RIGHT(G42,2)</f>
        <v>2011–12</v>
      </c>
    </row>
    <row r="43" spans="1:47" x14ac:dyDescent="0.2">
      <c r="C43" s="290">
        <v>41426</v>
      </c>
      <c r="D43" s="16" t="s">
        <v>62</v>
      </c>
      <c r="E43" s="16"/>
      <c r="F43" s="16"/>
      <c r="G43" s="145">
        <v>2013</v>
      </c>
      <c r="H43" s="168">
        <f>DATE(G43,MONTH('Input|General'!$G$9),1)</f>
        <v>41426</v>
      </c>
      <c r="I43" s="166" t="str">
        <f t="shared" si="0"/>
        <v>2012–13</v>
      </c>
    </row>
    <row r="44" spans="1:47" x14ac:dyDescent="0.2">
      <c r="C44" s="290">
        <v>41791</v>
      </c>
      <c r="D44" s="16" t="s">
        <v>62</v>
      </c>
      <c r="E44" s="16"/>
      <c r="F44" s="16"/>
      <c r="G44" s="145">
        <v>2014</v>
      </c>
      <c r="H44" s="168">
        <f>DATE(G44,MONTH('Input|General'!$G$9),1)</f>
        <v>41791</v>
      </c>
      <c r="I44" s="166" t="str">
        <f t="shared" si="0"/>
        <v>2013–14</v>
      </c>
    </row>
    <row r="45" spans="1:47" x14ac:dyDescent="0.2">
      <c r="C45" s="290">
        <v>42156</v>
      </c>
      <c r="D45" s="16" t="s">
        <v>62</v>
      </c>
      <c r="E45" s="16"/>
      <c r="F45" s="16"/>
      <c r="G45" s="145">
        <v>2015</v>
      </c>
      <c r="H45" s="168">
        <f>DATE(G45,MONTH('Input|General'!$G$9),1)</f>
        <v>42156</v>
      </c>
      <c r="I45" s="166" t="str">
        <f t="shared" si="0"/>
        <v>2014–15</v>
      </c>
      <c r="T45" s="17"/>
    </row>
    <row r="46" spans="1:47" x14ac:dyDescent="0.2">
      <c r="C46" s="290">
        <v>42522</v>
      </c>
      <c r="D46" s="16" t="s">
        <v>62</v>
      </c>
      <c r="E46" s="16"/>
      <c r="F46" s="16"/>
      <c r="G46" s="145">
        <v>2016</v>
      </c>
      <c r="H46" s="168">
        <f>DATE(G46,MONTH('Input|General'!$G$9),1)</f>
        <v>42522</v>
      </c>
      <c r="I46" s="166" t="str">
        <f t="shared" si="0"/>
        <v>2015–16</v>
      </c>
      <c r="T46" s="17"/>
    </row>
    <row r="47" spans="1:47" x14ac:dyDescent="0.2">
      <c r="C47" s="290">
        <v>42887</v>
      </c>
      <c r="D47" s="16" t="s">
        <v>62</v>
      </c>
      <c r="E47" s="16"/>
      <c r="F47" s="16"/>
      <c r="G47" s="145">
        <v>2017</v>
      </c>
      <c r="H47" s="168">
        <f>DATE(G47,MONTH('Input|General'!$G$9),1)</f>
        <v>42887</v>
      </c>
      <c r="I47" s="166" t="str">
        <f t="shared" si="0"/>
        <v>2016–17</v>
      </c>
      <c r="T47" s="17"/>
    </row>
    <row r="48" spans="1:47" x14ac:dyDescent="0.2">
      <c r="C48" s="290">
        <v>43252</v>
      </c>
      <c r="D48" s="16" t="s">
        <v>62</v>
      </c>
      <c r="E48" s="16"/>
      <c r="F48" s="16"/>
      <c r="G48" s="145">
        <v>2018</v>
      </c>
      <c r="H48" s="168">
        <f>DATE(G48,MONTH('Input|General'!$G$9),1)</f>
        <v>43252</v>
      </c>
      <c r="I48" s="166" t="str">
        <f t="shared" si="0"/>
        <v>2017–18</v>
      </c>
      <c r="T48" s="17"/>
    </row>
    <row r="49" spans="1:47" x14ac:dyDescent="0.2">
      <c r="C49" s="290">
        <v>43617</v>
      </c>
      <c r="D49" s="16" t="s">
        <v>62</v>
      </c>
      <c r="E49" s="16"/>
      <c r="F49" s="16"/>
      <c r="G49" s="145">
        <v>2019</v>
      </c>
      <c r="H49" s="168">
        <f>DATE(G49,MONTH('Input|General'!$G$9),1)</f>
        <v>43617</v>
      </c>
      <c r="I49" s="166" t="str">
        <f t="shared" si="0"/>
        <v>2018–19</v>
      </c>
      <c r="T49" s="17"/>
    </row>
    <row r="50" spans="1:47" x14ac:dyDescent="0.2">
      <c r="C50" s="290">
        <v>43983</v>
      </c>
      <c r="D50" s="16" t="s">
        <v>62</v>
      </c>
      <c r="E50" s="16"/>
      <c r="F50" s="16"/>
      <c r="G50" s="145">
        <v>2020</v>
      </c>
      <c r="H50" s="168">
        <f>DATE(G50,MONTH('Input|General'!$G$9),1)</f>
        <v>43983</v>
      </c>
      <c r="I50" s="166" t="str">
        <f t="shared" si="0"/>
        <v>2019–20</v>
      </c>
      <c r="T50" s="17"/>
    </row>
    <row r="51" spans="1:47" x14ac:dyDescent="0.2">
      <c r="C51" s="290">
        <v>44348</v>
      </c>
      <c r="D51" s="16" t="s">
        <v>62</v>
      </c>
      <c r="E51" s="16"/>
      <c r="F51" s="16"/>
      <c r="G51" s="145">
        <v>2021</v>
      </c>
      <c r="H51" s="168">
        <f>DATE(G51,MONTH('Input|General'!$G$9),1)</f>
        <v>44348</v>
      </c>
      <c r="I51" s="166" t="str">
        <f t="shared" si="0"/>
        <v>2020–21</v>
      </c>
      <c r="T51" s="17"/>
    </row>
    <row r="52" spans="1:47" x14ac:dyDescent="0.2">
      <c r="C52" s="290">
        <v>44713</v>
      </c>
      <c r="D52" s="16" t="s">
        <v>62</v>
      </c>
      <c r="E52" s="16"/>
      <c r="F52" s="16"/>
      <c r="G52" s="145">
        <v>2022</v>
      </c>
      <c r="H52" s="168">
        <f>DATE(G52,MONTH('Input|General'!$G$9),1)</f>
        <v>44713</v>
      </c>
      <c r="I52" s="166" t="str">
        <f t="shared" si="0"/>
        <v>2021–22</v>
      </c>
      <c r="T52" s="17"/>
    </row>
    <row r="53" spans="1:47" x14ac:dyDescent="0.2">
      <c r="C53" s="290">
        <v>45078</v>
      </c>
      <c r="D53" s="16" t="s">
        <v>62</v>
      </c>
      <c r="E53" s="16"/>
      <c r="F53" s="16"/>
      <c r="G53" s="145">
        <v>2023</v>
      </c>
      <c r="H53" s="168">
        <f>DATE(G53,MONTH('Input|General'!$G$9),1)</f>
        <v>45078</v>
      </c>
      <c r="I53" s="166" t="str">
        <f t="shared" si="0"/>
        <v>2022–23</v>
      </c>
      <c r="T53" s="17"/>
    </row>
    <row r="54" spans="1:47" x14ac:dyDescent="0.2">
      <c r="C54" s="290">
        <v>45444</v>
      </c>
      <c r="D54" s="16" t="s">
        <v>62</v>
      </c>
      <c r="E54" s="16"/>
      <c r="F54" s="16"/>
      <c r="G54" s="145">
        <v>2024</v>
      </c>
      <c r="H54" s="168">
        <f>DATE(G54,MONTH('Input|General'!$G$9),1)</f>
        <v>45444</v>
      </c>
      <c r="I54" s="166" t="str">
        <f t="shared" si="0"/>
        <v>2023–24</v>
      </c>
      <c r="T54" s="17"/>
    </row>
    <row r="55" spans="1:47" x14ac:dyDescent="0.2">
      <c r="C55" s="290">
        <v>45809</v>
      </c>
      <c r="D55" s="16" t="s">
        <v>62</v>
      </c>
      <c r="E55" s="16"/>
      <c r="F55" s="16"/>
      <c r="G55" s="145">
        <v>2025</v>
      </c>
      <c r="H55" s="168">
        <f>DATE(G55,MONTH('Input|General'!$G$9),1)</f>
        <v>45809</v>
      </c>
      <c r="I55" s="166" t="str">
        <f t="shared" si="0"/>
        <v>2024–25</v>
      </c>
      <c r="T55" s="17"/>
    </row>
    <row r="56" spans="1:47" x14ac:dyDescent="0.2">
      <c r="C56" s="290">
        <v>46174</v>
      </c>
      <c r="D56" s="16" t="s">
        <v>62</v>
      </c>
      <c r="E56" s="16"/>
      <c r="F56" s="16"/>
      <c r="G56" s="145">
        <v>2026</v>
      </c>
      <c r="H56" s="168">
        <f>DATE(G56,MONTH('Input|General'!$G$9),1)</f>
        <v>46174</v>
      </c>
      <c r="I56" s="166" t="str">
        <f t="shared" si="0"/>
        <v>2025–26</v>
      </c>
      <c r="T56" s="17"/>
    </row>
    <row r="57" spans="1:47" x14ac:dyDescent="0.2">
      <c r="C57" s="290">
        <v>46539</v>
      </c>
      <c r="D57" s="16" t="s">
        <v>62</v>
      </c>
      <c r="E57" s="16"/>
      <c r="F57" s="16"/>
      <c r="G57" s="145">
        <v>2027</v>
      </c>
      <c r="H57" s="168">
        <f>DATE(G57,MONTH('Input|General'!$G$9),1)</f>
        <v>46539</v>
      </c>
      <c r="I57" s="166" t="str">
        <f t="shared" si="0"/>
        <v>2026–27</v>
      </c>
      <c r="T57" s="17"/>
    </row>
    <row r="58" spans="1:47" x14ac:dyDescent="0.2">
      <c r="C58" s="290">
        <v>46905</v>
      </c>
      <c r="D58" s="16" t="s">
        <v>62</v>
      </c>
      <c r="E58" s="16"/>
      <c r="F58" s="16"/>
      <c r="G58" s="145">
        <v>2028</v>
      </c>
      <c r="H58" s="168">
        <f>DATE(G58,MONTH('Input|General'!$G$9),1)</f>
        <v>46905</v>
      </c>
      <c r="I58" s="166" t="str">
        <f t="shared" si="0"/>
        <v>2027–28</v>
      </c>
      <c r="T58" s="17"/>
    </row>
    <row r="59" spans="1:47" x14ac:dyDescent="0.2">
      <c r="C59" s="290">
        <v>47270</v>
      </c>
      <c r="D59" s="16" t="s">
        <v>62</v>
      </c>
      <c r="E59" s="16"/>
      <c r="F59" s="16"/>
      <c r="G59" s="145">
        <v>2029</v>
      </c>
      <c r="H59" s="168">
        <f>DATE(G59,MONTH('Input|General'!$G$9),1)</f>
        <v>47270</v>
      </c>
      <c r="I59" s="166" t="str">
        <f t="shared" si="0"/>
        <v>2028–29</v>
      </c>
      <c r="T59" s="17"/>
    </row>
    <row r="60" spans="1:47" x14ac:dyDescent="0.2">
      <c r="C60" s="290">
        <v>47635</v>
      </c>
      <c r="D60" s="16" t="s">
        <v>62</v>
      </c>
      <c r="E60" s="16"/>
      <c r="F60" s="16"/>
      <c r="G60" s="145">
        <v>2030</v>
      </c>
      <c r="H60" s="168">
        <f>DATE(G60,MONTH('Input|General'!$G$9),1)</f>
        <v>47635</v>
      </c>
      <c r="I60" s="166" t="str">
        <f t="shared" si="0"/>
        <v>2029–30</v>
      </c>
      <c r="T60" s="17"/>
    </row>
    <row r="61" spans="1:47" x14ac:dyDescent="0.2"/>
    <row r="62" spans="1:47" customFormat="1" ht="12.75" x14ac:dyDescent="0.2">
      <c r="A62" s="40"/>
      <c r="B62" s="48" t="s">
        <v>142</v>
      </c>
      <c r="C62" s="40"/>
      <c r="D62" s="40"/>
      <c r="E62" s="40"/>
      <c r="F62" s="41"/>
      <c r="G62" s="41"/>
      <c r="H62" s="41"/>
      <c r="I62" s="41"/>
      <c r="J62" s="42"/>
      <c r="K62" s="43"/>
      <c r="L62" s="42"/>
      <c r="M62" s="43"/>
      <c r="N62" s="42"/>
      <c r="O62" s="42"/>
      <c r="P62" s="42"/>
      <c r="Q62" s="42"/>
      <c r="R62" s="42"/>
      <c r="S62" s="42"/>
      <c r="T62" s="42"/>
      <c r="U62" s="42"/>
      <c r="V62" s="43"/>
      <c r="W62" s="43"/>
      <c r="X62" s="44"/>
      <c r="Y62" s="44"/>
      <c r="Z62" s="44"/>
      <c r="AA62" s="44"/>
      <c r="AB62" s="45"/>
      <c r="AC62" s="46"/>
      <c r="AD62" s="46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</row>
    <row r="63" spans="1:47" x14ac:dyDescent="0.2"/>
    <row r="64" spans="1:47" x14ac:dyDescent="0.2">
      <c r="C64" s="289" t="str">
        <f>B62</f>
        <v>Regulatory years</v>
      </c>
      <c r="D64" s="19" t="s">
        <v>7</v>
      </c>
      <c r="E64" s="19"/>
      <c r="F64" s="14"/>
      <c r="G64" s="14" t="s">
        <v>143</v>
      </c>
      <c r="H64" s="14" t="s">
        <v>110</v>
      </c>
    </row>
    <row r="65" spans="1:47" x14ac:dyDescent="0.2">
      <c r="C65" s="15" t="s">
        <v>174</v>
      </c>
      <c r="D65" s="16" t="s">
        <v>90</v>
      </c>
      <c r="E65" s="19"/>
      <c r="F65" s="14"/>
      <c r="G65" s="166" t="str">
        <f>IF(H65="","",IF(MONTH(H65)=12,YEAR(H65),YEAR(H65)-1&amp;"–"&amp;RIGHT(YEAR(H65),2)))</f>
        <v>2019–20</v>
      </c>
      <c r="H65" s="168">
        <f>DATE(PPFirstYear-1,MONTH('Input|General'!$G$9),1)</f>
        <v>43983</v>
      </c>
    </row>
    <row r="66" spans="1:47" x14ac:dyDescent="0.2">
      <c r="C66" s="15" t="s">
        <v>130</v>
      </c>
      <c r="D66" s="16" t="s">
        <v>90</v>
      </c>
      <c r="E66" s="16"/>
      <c r="F66" s="16"/>
      <c r="G66" s="166" t="str">
        <f t="shared" ref="G66:G75" si="1">IF(H66="","",IF(MONTH(H66)=12,YEAR(H66),YEAR(H66)-1&amp;"–"&amp;RIGHT(YEAR(H66),2)))</f>
        <v>2020–21</v>
      </c>
      <c r="H66" s="168">
        <f>DATE(PPFirstYear,MONTH('Input|General'!$G$9),1)</f>
        <v>44348</v>
      </c>
    </row>
    <row r="67" spans="1:47" x14ac:dyDescent="0.2">
      <c r="C67" s="15" t="s">
        <v>131</v>
      </c>
      <c r="D67" s="16" t="s">
        <v>90</v>
      </c>
      <c r="E67" s="16"/>
      <c r="F67" s="16"/>
      <c r="G67" s="166" t="str">
        <f t="shared" si="1"/>
        <v>2021–22</v>
      </c>
      <c r="H67" s="168">
        <f>IF(PPLastYear-PPFirstYear&lt;1,"",DATE(PPFirstYear+1,MONTH('Input|General'!$G$9),1))</f>
        <v>44713</v>
      </c>
    </row>
    <row r="68" spans="1:47" x14ac:dyDescent="0.2">
      <c r="C68" s="15" t="s">
        <v>132</v>
      </c>
      <c r="D68" s="16" t="s">
        <v>90</v>
      </c>
      <c r="E68" s="16"/>
      <c r="F68" s="16"/>
      <c r="G68" s="166" t="str">
        <f t="shared" si="1"/>
        <v>2022–23</v>
      </c>
      <c r="H68" s="168">
        <f>IF(PPLastYear-PPFirstYear&lt;2,"",DATE(PPFirstYear+2,MONTH('Input|General'!$G$9),1))</f>
        <v>45078</v>
      </c>
    </row>
    <row r="69" spans="1:47" x14ac:dyDescent="0.2">
      <c r="C69" s="15" t="s">
        <v>133</v>
      </c>
      <c r="D69" s="16" t="s">
        <v>90</v>
      </c>
      <c r="E69" s="16"/>
      <c r="F69" s="16"/>
      <c r="G69" s="166" t="str">
        <f t="shared" si="1"/>
        <v>2023–24</v>
      </c>
      <c r="H69" s="168">
        <f>IF(PPLastYear-PPFirstYear&lt;3,"",DATE(PPFirstYear+3,MONTH('Input|General'!$G$9),1))</f>
        <v>45444</v>
      </c>
    </row>
    <row r="70" spans="1:47" x14ac:dyDescent="0.2">
      <c r="C70" s="15" t="s">
        <v>134</v>
      </c>
      <c r="D70" s="16" t="s">
        <v>90</v>
      </c>
      <c r="E70" s="16"/>
      <c r="F70" s="16"/>
      <c r="G70" s="166" t="str">
        <f t="shared" si="1"/>
        <v>2024–25</v>
      </c>
      <c r="H70" s="168">
        <f>IF(PPLastYear-PPFirstYear&lt;4,"",DATE(PPFirstYear+4,MONTH('Input|General'!$G$9),1))</f>
        <v>45809</v>
      </c>
    </row>
    <row r="71" spans="1:47" x14ac:dyDescent="0.2">
      <c r="C71" s="15" t="s">
        <v>175</v>
      </c>
      <c r="D71" s="16" t="s">
        <v>90</v>
      </c>
      <c r="E71" s="16"/>
      <c r="F71" s="16"/>
      <c r="G71" s="166" t="str">
        <f t="shared" si="1"/>
        <v/>
      </c>
      <c r="H71" s="168" t="str">
        <f>IF(PPLastYear-PPFirstYear&lt;5,"",DATE(PPFirstYear+5,MONTH('Input|General'!$G$9),1))</f>
        <v/>
      </c>
    </row>
    <row r="72" spans="1:47" x14ac:dyDescent="0.2">
      <c r="C72" s="15" t="s">
        <v>135</v>
      </c>
      <c r="D72" s="16" t="s">
        <v>90</v>
      </c>
      <c r="E72" s="16"/>
      <c r="F72" s="16"/>
      <c r="G72" s="166" t="str">
        <f t="shared" si="1"/>
        <v>2025–26</v>
      </c>
      <c r="H72" s="168">
        <f>DATE(FPFirstYear,MONTH('Input|General'!$G$9),1)</f>
        <v>46174</v>
      </c>
      <c r="T72" s="17"/>
    </row>
    <row r="73" spans="1:47" x14ac:dyDescent="0.2">
      <c r="C73" s="15" t="s">
        <v>136</v>
      </c>
      <c r="D73" s="16" t="s">
        <v>90</v>
      </c>
      <c r="E73" s="16"/>
      <c r="F73" s="16"/>
      <c r="G73" s="166" t="str">
        <f t="shared" si="1"/>
        <v>2026–27</v>
      </c>
      <c r="H73" s="168">
        <f>IF(FPLastYear-FPFirstYear&lt;1,"",DATE(FPFirstYear+1,MONTH('Input|General'!$G$9),1))</f>
        <v>46539</v>
      </c>
      <c r="T73" s="17"/>
    </row>
    <row r="74" spans="1:47" x14ac:dyDescent="0.2">
      <c r="C74" s="15" t="s">
        <v>137</v>
      </c>
      <c r="D74" s="16" t="s">
        <v>90</v>
      </c>
      <c r="E74" s="16"/>
      <c r="F74" s="16"/>
      <c r="G74" s="166" t="str">
        <f t="shared" si="1"/>
        <v>2027–28</v>
      </c>
      <c r="H74" s="168">
        <f>IF(FPLastYear-FPFirstYear&lt;2,"",DATE(FPFirstYear+2,MONTH('Input|General'!$G$9),1))</f>
        <v>46905</v>
      </c>
      <c r="T74" s="17"/>
    </row>
    <row r="75" spans="1:47" x14ac:dyDescent="0.2">
      <c r="C75" s="15" t="s">
        <v>138</v>
      </c>
      <c r="D75" s="16" t="s">
        <v>90</v>
      </c>
      <c r="E75" s="16"/>
      <c r="F75" s="16"/>
      <c r="G75" s="166" t="str">
        <f t="shared" si="1"/>
        <v>2028–29</v>
      </c>
      <c r="H75" s="168">
        <f>IF(FPLastYear-FPFirstYear&lt;3,"",DATE(FPFirstYear+3,MONTH('Input|General'!$G$9),1))</f>
        <v>47270</v>
      </c>
      <c r="T75" s="17"/>
    </row>
    <row r="76" spans="1:47" x14ac:dyDescent="0.2">
      <c r="C76" s="15" t="s">
        <v>139</v>
      </c>
      <c r="D76" s="16" t="s">
        <v>90</v>
      </c>
      <c r="E76" s="16"/>
      <c r="F76" s="16"/>
      <c r="G76" s="166" t="str">
        <f>IF(H76="","",IF(MONTH(H76)=12,YEAR(H76),YEAR(H76)-1&amp;"–"&amp;RIGHT(YEAR(H76),2)))</f>
        <v>2029–30</v>
      </c>
      <c r="H76" s="168">
        <f>IF(FPLastYear-FPFirstYear&lt;4,"",DATE(FPFirstYear+4,MONTH('Input|General'!$G$9),1))</f>
        <v>47635</v>
      </c>
      <c r="T76" s="17"/>
    </row>
    <row r="77" spans="1:47" x14ac:dyDescent="0.2">
      <c r="C77" s="15"/>
      <c r="D77" s="16"/>
      <c r="E77" s="16"/>
      <c r="F77" s="16"/>
      <c r="G77" s="194"/>
      <c r="H77" s="195"/>
      <c r="T77" s="17"/>
    </row>
    <row r="78" spans="1:47" customFormat="1" ht="12.75" x14ac:dyDescent="0.2">
      <c r="A78" s="40"/>
      <c r="B78" s="48" t="s">
        <v>40</v>
      </c>
      <c r="C78" s="40"/>
      <c r="D78" s="40"/>
      <c r="E78" s="40"/>
      <c r="F78" s="41"/>
      <c r="G78" s="41"/>
      <c r="H78" s="41"/>
      <c r="I78" s="41"/>
      <c r="J78" s="42"/>
      <c r="K78" s="43"/>
      <c r="L78" s="42"/>
      <c r="M78" s="43"/>
      <c r="N78" s="42"/>
      <c r="O78" s="42"/>
      <c r="P78" s="42"/>
      <c r="Q78" s="42"/>
      <c r="R78" s="42"/>
      <c r="S78" s="42"/>
      <c r="T78" s="42"/>
      <c r="U78" s="42"/>
      <c r="V78" s="43"/>
      <c r="W78" s="43"/>
      <c r="X78" s="44"/>
      <c r="Y78" s="44"/>
      <c r="Z78" s="44"/>
      <c r="AA78" s="44"/>
      <c r="AB78" s="45"/>
      <c r="AC78" s="46"/>
      <c r="AD78" s="46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</row>
    <row r="79" spans="1:47" x14ac:dyDescent="0.2"/>
    <row r="80" spans="1:47" x14ac:dyDescent="0.2">
      <c r="C80" s="289" t="str">
        <f>B78</f>
        <v>Rate of change</v>
      </c>
      <c r="D80" s="19" t="s">
        <v>7</v>
      </c>
      <c r="E80" s="19"/>
      <c r="F80" s="14"/>
      <c r="G80" s="14" t="s">
        <v>143</v>
      </c>
      <c r="H80" s="196"/>
    </row>
    <row r="81" spans="1:47" x14ac:dyDescent="0.2">
      <c r="C81" s="15" t="s">
        <v>167</v>
      </c>
      <c r="D81" s="16" t="s">
        <v>62</v>
      </c>
      <c r="E81" s="16"/>
      <c r="F81" s="16"/>
      <c r="G81" s="166" t="s">
        <v>99</v>
      </c>
      <c r="H81" s="195"/>
    </row>
    <row r="82" spans="1:47" x14ac:dyDescent="0.2">
      <c r="C82" s="15" t="s">
        <v>168</v>
      </c>
      <c r="D82" s="16" t="s">
        <v>62</v>
      </c>
      <c r="E82" s="16"/>
      <c r="F82" s="16"/>
      <c r="G82" s="167" t="s">
        <v>169</v>
      </c>
      <c r="H82" s="195"/>
    </row>
    <row r="83" spans="1:47" x14ac:dyDescent="0.2"/>
    <row r="84" spans="1:47" customFormat="1" ht="12.75" x14ac:dyDescent="0.2">
      <c r="A84" s="40"/>
      <c r="B84" s="48" t="s">
        <v>21</v>
      </c>
      <c r="C84" s="40"/>
      <c r="D84" s="40"/>
      <c r="E84" s="40"/>
      <c r="F84" s="41"/>
      <c r="G84" s="41"/>
      <c r="H84" s="41"/>
      <c r="I84" s="41"/>
      <c r="J84" s="42"/>
      <c r="K84" s="43"/>
      <c r="L84" s="42"/>
      <c r="M84" s="43"/>
      <c r="N84" s="42"/>
      <c r="O84" s="42"/>
      <c r="P84" s="42"/>
      <c r="Q84" s="42"/>
      <c r="R84" s="42"/>
      <c r="S84" s="42"/>
      <c r="T84" s="42"/>
      <c r="U84" s="42"/>
      <c r="V84" s="43"/>
      <c r="W84" s="43"/>
      <c r="X84" s="44"/>
      <c r="Y84" s="44"/>
      <c r="Z84" s="44"/>
      <c r="AA84" s="44"/>
      <c r="AB84" s="45"/>
      <c r="AC84" s="46"/>
      <c r="AD84" s="46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</row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  <outlinePr summaryBelow="0" summaryRight="0"/>
  </sheetPr>
  <dimension ref="A1:AU28"/>
  <sheetViews>
    <sheetView showGridLines="0" zoomScaleNormal="100" workbookViewId="0"/>
  </sheetViews>
  <sheetFormatPr defaultColWidth="0" defaultRowHeight="11.25" zeroHeight="1" x14ac:dyDescent="0.2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5" customFormat="1" ht="15.75" x14ac:dyDescent="0.25">
      <c r="B1" s="287" t="str">
        <f>Index!$B$1</f>
        <v>AER opex model v1.8</v>
      </c>
      <c r="C1" s="32"/>
      <c r="D1" s="32"/>
      <c r="E1" s="32"/>
      <c r="F1" s="33"/>
      <c r="G1" s="33"/>
      <c r="H1" s="33"/>
      <c r="I1" s="33"/>
      <c r="J1" s="34" t="s">
        <v>2</v>
      </c>
      <c r="L1" s="36" t="s">
        <v>3</v>
      </c>
      <c r="M1" s="56" t="s">
        <v>4</v>
      </c>
      <c r="N1" s="11" t="s">
        <v>5</v>
      </c>
      <c r="O1" s="12" t="s">
        <v>6</v>
      </c>
      <c r="R1" s="164" t="s">
        <v>24</v>
      </c>
      <c r="S1" s="244" t="str">
        <f ca="1">IF(COUNTIF(G10:G17,"Check")=0,"Ok","Check")</f>
        <v>Ok</v>
      </c>
      <c r="U1" s="36"/>
      <c r="V1" s="37"/>
    </row>
    <row r="2" spans="1:47" s="35" customFormat="1" ht="12.75" x14ac:dyDescent="0.2">
      <c r="B2" s="288" t="str">
        <f>+Index!C16</f>
        <v>Check|List</v>
      </c>
      <c r="C2" s="50"/>
      <c r="D2" s="50"/>
      <c r="E2" s="50"/>
      <c r="F2" s="51"/>
      <c r="G2" s="51"/>
      <c r="H2" s="51"/>
      <c r="I2" s="51"/>
    </row>
    <row r="3" spans="1:47" s="55" customFormat="1" ht="12.75" x14ac:dyDescent="0.2">
      <c r="A3" s="40"/>
      <c r="B3" s="48"/>
      <c r="C3" s="40"/>
      <c r="D3" s="40"/>
      <c r="E3" s="40"/>
      <c r="F3" s="41"/>
      <c r="G3" s="41"/>
      <c r="H3" s="41"/>
      <c r="I3" s="41"/>
      <c r="J3" s="42"/>
      <c r="K3" s="43"/>
      <c r="L3" s="42"/>
      <c r="M3" s="43"/>
      <c r="N3" s="42"/>
      <c r="O3" s="42"/>
      <c r="P3" s="42"/>
      <c r="Q3" s="42"/>
      <c r="R3" s="42"/>
      <c r="S3" s="42"/>
      <c r="T3" s="42"/>
      <c r="U3" s="42"/>
      <c r="V3" s="43"/>
      <c r="W3" s="43"/>
      <c r="X3" s="52"/>
      <c r="Y3" s="52"/>
      <c r="Z3" s="52"/>
      <c r="AA3" s="52"/>
      <c r="AB3" s="52"/>
      <c r="AC3" s="53"/>
      <c r="AD3" s="53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</row>
    <row r="4" spans="1:47" s="6" customFormat="1" ht="3.2" customHeight="1" x14ac:dyDescent="0.2"/>
    <row r="5" spans="1:47" s="6" customFormat="1" ht="9" customHeight="1" x14ac:dyDescent="0.2"/>
    <row r="6" spans="1:47" s="6" customFormat="1" ht="3.2" customHeight="1" x14ac:dyDescent="0.2"/>
    <row r="7" spans="1:47" customFormat="1" ht="12.75" x14ac:dyDescent="0.2">
      <c r="A7" s="40"/>
      <c r="B7" s="48" t="s">
        <v>25</v>
      </c>
      <c r="C7" s="40"/>
      <c r="D7" s="40"/>
      <c r="E7" s="40"/>
      <c r="F7" s="41"/>
      <c r="G7" s="41"/>
      <c r="H7" s="41"/>
      <c r="I7" s="41"/>
      <c r="J7" s="42"/>
      <c r="K7" s="43"/>
      <c r="L7" s="42"/>
      <c r="M7" s="43"/>
      <c r="N7" s="42"/>
      <c r="O7" s="42"/>
      <c r="P7" s="42"/>
      <c r="Q7" s="42"/>
      <c r="R7" s="42"/>
      <c r="S7" s="42"/>
      <c r="T7" s="42"/>
      <c r="U7" s="42"/>
      <c r="V7" s="43"/>
      <c r="W7" s="43"/>
      <c r="X7" s="44"/>
      <c r="Y7" s="44"/>
      <c r="Z7" s="44"/>
      <c r="AA7" s="44"/>
      <c r="AB7" s="45"/>
      <c r="AC7" s="46"/>
      <c r="AD7" s="46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</row>
    <row r="8" spans="1:47" x14ac:dyDescent="0.2">
      <c r="D8" s="8"/>
    </row>
    <row r="9" spans="1:47" x14ac:dyDescent="0.2">
      <c r="C9" s="13" t="s">
        <v>26</v>
      </c>
      <c r="D9" s="205" t="s">
        <v>7</v>
      </c>
      <c r="E9" s="14" t="s">
        <v>8</v>
      </c>
      <c r="F9" s="14"/>
      <c r="G9" s="14" t="s">
        <v>28</v>
      </c>
    </row>
    <row r="10" spans="1:47" x14ac:dyDescent="0.2">
      <c r="C10" s="291" t="str">
        <f>+Index!C7</f>
        <v>Input|General</v>
      </c>
      <c r="D10" s="292" t="str">
        <f>C10</f>
        <v>Input|General</v>
      </c>
      <c r="E10" s="16" t="s">
        <v>27</v>
      </c>
      <c r="F10" s="16"/>
      <c r="G10" s="293" t="str">
        <f>'Input|General'!S1</f>
        <v>OK</v>
      </c>
      <c r="T10" s="17"/>
    </row>
    <row r="11" spans="1:47" x14ac:dyDescent="0.2">
      <c r="C11" s="291" t="str">
        <f>+Index!C8</f>
        <v>Input|Inflation</v>
      </c>
      <c r="D11" s="292" t="str">
        <f>C11</f>
        <v>Input|Inflation</v>
      </c>
      <c r="E11" s="16" t="s">
        <v>27</v>
      </c>
      <c r="F11" s="16"/>
      <c r="G11" s="293" t="str">
        <f>'Input|Inflation'!T1</f>
        <v>OK</v>
      </c>
      <c r="T11" s="17"/>
    </row>
    <row r="12" spans="1:47" x14ac:dyDescent="0.2">
      <c r="C12" s="291" t="str">
        <f>+Index!C9</f>
        <v>Input|Reported opex</v>
      </c>
      <c r="D12" s="292" t="str">
        <f t="shared" ref="D12:D15" si="0">C12</f>
        <v>Input|Reported opex</v>
      </c>
      <c r="E12" s="16" t="s">
        <v>27</v>
      </c>
      <c r="G12" s="293" t="str">
        <f>'Input|Reported opex'!S1</f>
        <v>OK</v>
      </c>
      <c r="H12" s="16"/>
      <c r="T12" s="17"/>
    </row>
    <row r="13" spans="1:47" x14ac:dyDescent="0.2">
      <c r="C13" s="291" t="str">
        <f>+Index!C10</f>
        <v>Input|Rate of change</v>
      </c>
      <c r="D13" s="263" t="str">
        <f>+C13</f>
        <v>Input|Rate of change</v>
      </c>
      <c r="E13" s="16" t="s">
        <v>27</v>
      </c>
      <c r="F13" s="16"/>
      <c r="G13" s="293" t="str">
        <f>'Input|Rate of change'!T1</f>
        <v>Ok</v>
      </c>
      <c r="H13" s="16"/>
      <c r="T13" s="17"/>
    </row>
    <row r="14" spans="1:47" x14ac:dyDescent="0.2">
      <c r="C14" s="291" t="str">
        <f>+Index!C11</f>
        <v>Input|UAG</v>
      </c>
      <c r="D14" s="263" t="str">
        <f>+C14</f>
        <v>Input|UAG</v>
      </c>
      <c r="E14" s="16" t="s">
        <v>27</v>
      </c>
      <c r="F14" s="16"/>
      <c r="G14" s="293" t="str">
        <f>+'Input|UAG'!S1</f>
        <v>OK</v>
      </c>
      <c r="H14" s="16"/>
      <c r="T14" s="17"/>
    </row>
    <row r="15" spans="1:47" x14ac:dyDescent="0.2">
      <c r="C15" s="291" t="str">
        <f>+Index!C12</f>
        <v>Input|Step changes</v>
      </c>
      <c r="D15" s="292" t="str">
        <f t="shared" si="0"/>
        <v>Input|Step changes</v>
      </c>
      <c r="E15" s="16" t="s">
        <v>27</v>
      </c>
      <c r="F15" s="16"/>
      <c r="G15" s="293" t="str">
        <f ca="1">'Input|Step changes'!S1</f>
        <v>OK</v>
      </c>
      <c r="H15" s="16"/>
      <c r="T15" s="17"/>
    </row>
    <row r="16" spans="1:47" x14ac:dyDescent="0.2">
      <c r="C16" s="291" t="str">
        <f>+Index!C13</f>
        <v>Calc|Opex forecast</v>
      </c>
      <c r="D16" s="263" t="str">
        <f>+C16</f>
        <v>Calc|Opex forecast</v>
      </c>
      <c r="E16" s="16" t="s">
        <v>27</v>
      </c>
      <c r="F16" s="16"/>
      <c r="G16" s="293" t="str">
        <f>'Calc|Opex forecast'!S1</f>
        <v>n/a</v>
      </c>
      <c r="H16" s="16"/>
      <c r="T16" s="17"/>
    </row>
    <row r="17" spans="1:47" x14ac:dyDescent="0.2">
      <c r="C17" s="291" t="str">
        <f>+Index!C14</f>
        <v>Output|Models</v>
      </c>
      <c r="D17" s="263" t="str">
        <f>+C17</f>
        <v>Output|Models</v>
      </c>
      <c r="E17" s="16" t="s">
        <v>27</v>
      </c>
      <c r="F17" s="16"/>
      <c r="G17" s="293" t="str">
        <f>'Output|Models'!S1</f>
        <v>n/a</v>
      </c>
      <c r="H17" s="16"/>
      <c r="T17" s="17"/>
    </row>
    <row r="18" spans="1:47" x14ac:dyDescent="0.2">
      <c r="C18" s="15"/>
      <c r="D18" s="31"/>
      <c r="E18" s="16"/>
      <c r="F18" s="16"/>
      <c r="S18" s="17"/>
    </row>
    <row r="19" spans="1:47" x14ac:dyDescent="0.2">
      <c r="C19" s="15"/>
      <c r="D19" s="31"/>
      <c r="E19" s="16"/>
      <c r="G19" s="8"/>
    </row>
    <row r="20" spans="1:47" x14ac:dyDescent="0.2">
      <c r="C20" s="15"/>
      <c r="D20" s="31"/>
      <c r="E20" s="16"/>
      <c r="G20" s="8"/>
    </row>
    <row r="21" spans="1:47" x14ac:dyDescent="0.2">
      <c r="C21" s="15"/>
    </row>
    <row r="22" spans="1:47" customFormat="1" ht="12.75" x14ac:dyDescent="0.2">
      <c r="A22" s="40"/>
      <c r="B22" s="48" t="s">
        <v>21</v>
      </c>
      <c r="C22" s="40"/>
      <c r="D22" s="40"/>
      <c r="E22" s="40"/>
      <c r="F22" s="41"/>
      <c r="G22" s="41"/>
      <c r="H22" s="41"/>
      <c r="I22" s="41"/>
      <c r="J22" s="42"/>
      <c r="K22" s="43"/>
      <c r="L22" s="42"/>
      <c r="M22" s="43"/>
      <c r="N22" s="42"/>
      <c r="O22" s="42"/>
      <c r="P22" s="42"/>
      <c r="Q22" s="42"/>
      <c r="R22" s="42"/>
      <c r="S22" s="42"/>
      <c r="T22" s="42"/>
      <c r="U22" s="42"/>
      <c r="V22" s="43"/>
      <c r="W22" s="43"/>
      <c r="X22" s="44"/>
      <c r="Y22" s="44"/>
      <c r="Z22" s="44"/>
      <c r="AA22" s="44"/>
      <c r="AB22" s="45"/>
      <c r="AC22" s="46"/>
      <c r="AD22" s="46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</row>
    <row r="23" spans="1:47" hidden="1" x14ac:dyDescent="0.2">
      <c r="C23" s="15"/>
    </row>
    <row r="24" spans="1:47" hidden="1" x14ac:dyDescent="0.2">
      <c r="C24" s="15"/>
    </row>
    <row r="25" spans="1:47" hidden="1" x14ac:dyDescent="0.2">
      <c r="C25" s="15"/>
    </row>
    <row r="26" spans="1:47" hidden="1" x14ac:dyDescent="0.2">
      <c r="C26" s="15"/>
    </row>
    <row r="27" spans="1:47" x14ac:dyDescent="0.2"/>
    <row r="28" spans="1:47" x14ac:dyDescent="0.2"/>
  </sheetData>
  <conditionalFormatting sqref="G10:G17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5" location="'Input|Step changes'!A1" display="'Input|Step changes'!A1" xr:uid="{00000000-0004-0000-0900-000004000000}"/>
    <hyperlink ref="D11" location="'Input|Inflation'!A1" display="'Input|Inflation'!A1" xr:uid="{00000000-0004-0000-0900-000007000000}"/>
    <hyperlink ref="R1" location="'Check|List'!A1" display="Overall Check:" xr:uid="{00000000-0004-0000-0900-000008000000}"/>
    <hyperlink ref="D13" location="'Input|Rate of change'!A1" display="Input|Rate of change" xr:uid="{F87BE324-A61B-49BC-9D32-027E079DF238}"/>
    <hyperlink ref="D16" location="'Calc|Opex forecast'!A1" display="Calc|Opex forecast" xr:uid="{8D15E10C-3A28-4F1A-A96E-6AFB59708727}"/>
    <hyperlink ref="D17" location="'Output|Models'!A1" display="Output|Models" xr:uid="{0C3151EC-5FEF-46A0-8EC1-5824BB51F4C3}"/>
    <hyperlink ref="D14" location="'Input|UAG'!A1" display="Input|UAG" xr:uid="{59C24A68-BCD8-423B-82B2-DA1F6816B8E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Index</vt:lpstr>
      <vt:lpstr>Input|General</vt:lpstr>
      <vt:lpstr>Input|Inflation</vt:lpstr>
      <vt:lpstr>Input|Reported opex</vt:lpstr>
      <vt:lpstr>Input|Rate of change</vt:lpstr>
      <vt:lpstr>Input|UAG</vt:lpstr>
      <vt:lpstr>Input|Step changes</vt:lpstr>
      <vt:lpstr>Calc|Opex forecast</vt:lpstr>
      <vt:lpstr>Output|Models</vt:lpstr>
      <vt:lpstr>Lookup|Tables</vt:lpstr>
      <vt:lpstr>Check|List</vt:lpstr>
      <vt:lpstr>BaseYear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Jerrie Li</dc:creator>
  <cp:lastModifiedBy>Eli Atkinson</cp:lastModifiedBy>
  <dcterms:created xsi:type="dcterms:W3CDTF">2021-04-19T02:52:32Z</dcterms:created>
  <dcterms:modified xsi:type="dcterms:W3CDTF">2024-06-27T13:32:15Z</dcterms:modified>
</cp:coreProperties>
</file>