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T:\AER\STPIS annual compliance\Reset NSW ACT TAS PWC FY2024_29\Final decision\STPIS models\"/>
    </mc:Choice>
  </mc:AlternateContent>
  <xr:revisionPtr revIDLastSave="0" documentId="13_ncr:1_{57E363B4-1FE2-4902-921F-74490231368A}" xr6:coauthVersionLast="47" xr6:coauthVersionMax="47" xr10:uidLastSave="{00000000-0000-0000-0000-000000000000}"/>
  <bookViews>
    <workbookView xWindow="-120" yWindow="-120" windowWidth="29040" windowHeight="15840" tabRatio="811" activeTab="2" xr2:uid="{00000000-000D-0000-FFFF-FFFF00000000}"/>
  </bookViews>
  <sheets>
    <sheet name="Cover" sheetId="20" r:id="rId1"/>
    <sheet name="Output | decision tables" sheetId="19" r:id="rId2"/>
    <sheet name="STPIS inputs" sheetId="21" r:id="rId3"/>
    <sheet name="Annual performance and targets" sheetId="17" r:id="rId4"/>
    <sheet name="Incentive rates calc" sheetId="1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7" l="1"/>
  <c r="Q30" i="17"/>
  <c r="Q28" i="17"/>
  <c r="H30" i="17"/>
  <c r="H29" i="17"/>
  <c r="H28" i="17"/>
  <c r="R30" i="17" l="1"/>
  <c r="R29" i="17"/>
  <c r="R28" i="17"/>
  <c r="R20" i="17"/>
  <c r="R19" i="17"/>
  <c r="R18" i="17"/>
  <c r="Q8" i="17"/>
  <c r="I30" i="17"/>
  <c r="I29" i="17"/>
  <c r="I28" i="17"/>
  <c r="I20" i="17"/>
  <c r="I19" i="17"/>
  <c r="I18" i="17"/>
  <c r="H8" i="17"/>
  <c r="P10" i="17"/>
  <c r="R10" i="17" s="1"/>
  <c r="P9" i="17"/>
  <c r="R9" i="17" s="1"/>
  <c r="P8" i="17"/>
  <c r="R8" i="17" s="1"/>
  <c r="G10" i="17"/>
  <c r="G40" i="17" s="1"/>
  <c r="G9" i="17"/>
  <c r="G39" i="17" s="1"/>
  <c r="G8" i="17"/>
  <c r="G38" i="17" s="1"/>
  <c r="I8" i="17" l="1"/>
  <c r="I9" i="17"/>
  <c r="I10" i="17"/>
  <c r="C4" i="21" l="1"/>
  <c r="F7" i="14" l="1"/>
  <c r="D7" i="14" l="1"/>
  <c r="E7" i="14"/>
  <c r="M38" i="17" l="1"/>
  <c r="N38" i="17"/>
  <c r="O38" i="17"/>
  <c r="P38" i="17"/>
  <c r="M39" i="17"/>
  <c r="N39" i="17"/>
  <c r="O39" i="17"/>
  <c r="P39" i="17"/>
  <c r="M40" i="17"/>
  <c r="N40" i="17"/>
  <c r="O40" i="17"/>
  <c r="P40" i="17"/>
  <c r="D39" i="17"/>
  <c r="E39" i="17"/>
  <c r="F39" i="17"/>
  <c r="D40" i="17"/>
  <c r="E40" i="17"/>
  <c r="F40" i="17"/>
  <c r="D38" i="17"/>
  <c r="E38" i="17"/>
  <c r="F38" i="17"/>
  <c r="Q10" i="17"/>
  <c r="C39" i="17"/>
  <c r="C40" i="17"/>
  <c r="C38" i="17"/>
  <c r="H19" i="17"/>
  <c r="Q19" i="17"/>
  <c r="I40" i="17" l="1"/>
  <c r="E19" i="19" s="1"/>
  <c r="I39" i="17"/>
  <c r="D19" i="19" s="1"/>
  <c r="I38" i="17"/>
  <c r="Q20" i="17"/>
  <c r="Q18" i="17"/>
  <c r="Q9" i="17"/>
  <c r="H18" i="17"/>
  <c r="H20" i="17"/>
  <c r="L38" i="17"/>
  <c r="R38" i="17" s="1"/>
  <c r="D9" i="14" s="1"/>
  <c r="L40" i="17"/>
  <c r="R40" i="17" s="1"/>
  <c r="L39" i="17"/>
  <c r="R39" i="17" s="1"/>
  <c r="E8" i="14" l="1"/>
  <c r="F8" i="14"/>
  <c r="F9" i="14"/>
  <c r="E18" i="19"/>
  <c r="D18" i="19"/>
  <c r="E9" i="14"/>
  <c r="C18" i="19"/>
  <c r="D8" i="14"/>
  <c r="C19" i="19"/>
  <c r="C11" i="21"/>
  <c r="D11" i="14" s="1"/>
  <c r="D6" i="14"/>
  <c r="E6" i="14"/>
  <c r="F6" i="14"/>
  <c r="D5" i="14"/>
  <c r="E5" i="14"/>
  <c r="F5" i="14"/>
  <c r="C23" i="19" l="1"/>
  <c r="G23" i="19" s="1"/>
  <c r="F11" i="14"/>
  <c r="E23" i="19" s="1"/>
  <c r="I23" i="19" s="1"/>
  <c r="E11" i="14"/>
  <c r="D23" i="19" s="1"/>
  <c r="H23" i="19" s="1"/>
  <c r="D12" i="14"/>
  <c r="C13" i="19" s="1"/>
  <c r="E12" i="14" l="1"/>
  <c r="D13" i="19" s="1"/>
  <c r="F12" i="14"/>
  <c r="E13" i="19" s="1"/>
  <c r="H40" i="17" l="1"/>
  <c r="I19" i="19" s="1"/>
  <c r="H38" i="17"/>
  <c r="G19" i="19" s="1"/>
  <c r="Q40" i="17"/>
  <c r="I18" i="19" s="1"/>
  <c r="Q38" i="17"/>
  <c r="G18" i="19" s="1"/>
  <c r="Q39" i="17"/>
  <c r="H18" i="19" s="1"/>
  <c r="H39" i="17"/>
  <c r="H19" i="19" s="1"/>
  <c r="F13" i="14" l="1"/>
  <c r="E14" i="19" s="1"/>
  <c r="D13" i="14"/>
  <c r="C14" i="19" s="1"/>
  <c r="H9" i="17"/>
  <c r="H10" i="17"/>
  <c r="E13" i="14" l="1"/>
  <c r="D14" i="19" s="1"/>
</calcChain>
</file>

<file path=xl/sharedStrings.xml><?xml version="1.0" encoding="utf-8"?>
<sst xmlns="http://schemas.openxmlformats.org/spreadsheetml/2006/main" count="188" uniqueCount="81">
  <si>
    <t>Classification</t>
  </si>
  <si>
    <t>Urban</t>
  </si>
  <si>
    <t>R</t>
  </si>
  <si>
    <t>Beta</t>
  </si>
  <si>
    <t>Average unplanned SAIFI target</t>
  </si>
  <si>
    <t>Average unplanned SAIDI target</t>
  </si>
  <si>
    <t>CPI</t>
  </si>
  <si>
    <t>SAIFI</t>
  </si>
  <si>
    <t>SAIDI</t>
  </si>
  <si>
    <t>2018/19</t>
  </si>
  <si>
    <t>2019/20</t>
  </si>
  <si>
    <t>2020/21</t>
  </si>
  <si>
    <t>2021/22</t>
  </si>
  <si>
    <t>Short rural</t>
  </si>
  <si>
    <t>Long rural</t>
  </si>
  <si>
    <t>2022/23</t>
  </si>
  <si>
    <t>Revenue proposal</t>
  </si>
  <si>
    <t>Annual compliance actual</t>
  </si>
  <si>
    <t>Draft decision</t>
  </si>
  <si>
    <t>Final decision</t>
  </si>
  <si>
    <t>Decision</t>
  </si>
  <si>
    <t>Revenue at Risk</t>
  </si>
  <si>
    <t>Short rual</t>
  </si>
  <si>
    <t>Customer service parameter</t>
  </si>
  <si>
    <t>STPIS Targets and incentive rates</t>
  </si>
  <si>
    <t>Incentive rates calculation</t>
  </si>
  <si>
    <t>SAIDI Incentive rates</t>
  </si>
  <si>
    <t>SAIFI Incentive rates</t>
  </si>
  <si>
    <t>± 4.5 %</t>
  </si>
  <si>
    <t>Electricity Distribution Network Service Provider</t>
  </si>
  <si>
    <t>Service Target Performance Incentive Scheme</t>
  </si>
  <si>
    <t>Inputs</t>
  </si>
  <si>
    <t>ABS</t>
  </si>
  <si>
    <t>Historical STPIS performance and adjustments</t>
  </si>
  <si>
    <t>Log normal</t>
  </si>
  <si>
    <t>2024-29</t>
  </si>
  <si>
    <t>Essential Energy</t>
  </si>
  <si>
    <t>STPIS Incentive rates for FY2024-29 period</t>
  </si>
  <si>
    <t>STPIS performance targets for the 2024-29 period</t>
  </si>
  <si>
    <t>Value of customer reliablity ($/MWh)</t>
  </si>
  <si>
    <t>check</t>
  </si>
  <si>
    <t>Not applied due to CSIS</t>
  </si>
  <si>
    <t>2024-25</t>
  </si>
  <si>
    <t>2025-26</t>
  </si>
  <si>
    <t>2026-27</t>
  </si>
  <si>
    <t>2027-28</t>
  </si>
  <si>
    <t>2028-29</t>
  </si>
  <si>
    <t>Output | Decision tables</t>
  </si>
  <si>
    <t>STPIS inputs</t>
  </si>
  <si>
    <t>Annual performance and targets</t>
  </si>
  <si>
    <t>Incentive rates calculations</t>
  </si>
  <si>
    <t>Change log</t>
  </si>
  <si>
    <t>Contents</t>
  </si>
  <si>
    <t>Provides output including incentive rates, targets and VCR by feeders type</t>
  </si>
  <si>
    <t>Inputs average smoothed revenus, average annual energy consumptions, CPI and network feeders type</t>
  </si>
  <si>
    <t>Calculates targets based on historical performance and adjusment by STPIS paramteres and network feeder types</t>
  </si>
  <si>
    <t>Calculates incentive rates by STPIS paramteres and network feeder types</t>
  </si>
  <si>
    <t>Provides log of updates made to the model template (rather than changes between preliminary and final model submissions)</t>
  </si>
  <si>
    <t>Incentive rate attributes</t>
  </si>
  <si>
    <t>Network feeders type</t>
  </si>
  <si>
    <t>Average smoothed revenue requirement ($)</t>
  </si>
  <si>
    <t>Average annual energy consumption by network feeders type (MWh)</t>
  </si>
  <si>
    <t xml:space="preserve">Value of Customer Reliability (VCR) for NSW  ($/MWh) </t>
  </si>
  <si>
    <t xml:space="preserve">VCR  ($/MWh) </t>
  </si>
  <si>
    <t>Adjustment</t>
  </si>
  <si>
    <t>AER Decision STPIS for 2024-29</t>
  </si>
  <si>
    <t>Average</t>
  </si>
  <si>
    <t>Revenue Smoothing ($ Real 2023-24)</t>
  </si>
  <si>
    <t>Inflation</t>
  </si>
  <si>
    <t>Network type weighting</t>
  </si>
  <si>
    <t>VCR</t>
  </si>
  <si>
    <r>
      <t>VCR</t>
    </r>
    <r>
      <rPr>
        <vertAlign val="subscript"/>
        <sz val="10"/>
        <color theme="1"/>
        <rFont val="Arial"/>
        <family val="2"/>
      </rPr>
      <t>n</t>
    </r>
  </si>
  <si>
    <r>
      <t>C</t>
    </r>
    <r>
      <rPr>
        <vertAlign val="subscript"/>
        <sz val="10"/>
        <color theme="1"/>
        <rFont val="Arial"/>
        <family val="2"/>
      </rPr>
      <t>n</t>
    </r>
  </si>
  <si>
    <r>
      <t>SAIFI</t>
    </r>
    <r>
      <rPr>
        <vertAlign val="subscript"/>
        <sz val="10"/>
        <color theme="1"/>
        <rFont val="Arial"/>
        <family val="2"/>
      </rPr>
      <t>n</t>
    </r>
  </si>
  <si>
    <r>
      <t>SAIDI</t>
    </r>
    <r>
      <rPr>
        <vertAlign val="subscript"/>
        <sz val="10"/>
        <color theme="1"/>
        <rFont val="Arial"/>
        <family val="2"/>
      </rPr>
      <t>n</t>
    </r>
  </si>
  <si>
    <r>
      <t>w</t>
    </r>
    <r>
      <rPr>
        <vertAlign val="subscript"/>
        <sz val="10"/>
        <color theme="1"/>
        <rFont val="Arial"/>
        <family val="2"/>
      </rPr>
      <t>n</t>
    </r>
  </si>
  <si>
    <r>
      <rPr>
        <i/>
        <sz val="10"/>
        <color theme="1"/>
        <rFont val="Arial"/>
        <family val="2"/>
      </rPr>
      <t xml:space="preserve">ir  - </t>
    </r>
    <r>
      <rPr>
        <sz val="10"/>
        <color theme="1"/>
        <rFont val="Arial"/>
        <family val="2"/>
      </rPr>
      <t>SAIDI</t>
    </r>
  </si>
  <si>
    <r>
      <rPr>
        <i/>
        <sz val="10"/>
        <color theme="1"/>
        <rFont val="Arial"/>
        <family val="2"/>
      </rPr>
      <t xml:space="preserve">ir  </t>
    </r>
    <r>
      <rPr>
        <sz val="10"/>
        <color theme="1"/>
        <rFont val="Arial"/>
        <family val="2"/>
      </rPr>
      <t xml:space="preserve">- SAIFI </t>
    </r>
  </si>
  <si>
    <t>SAIDI (minutes)</t>
  </si>
  <si>
    <t>SAIFI (interruptions)</t>
  </si>
  <si>
    <t>Average annual energy consumption by network type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</si>
</sst>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0.0000"/>
    <numFmt numFmtId="169" formatCode="_-* #,##0.0000_-;\-* #,##0.0000_-;_-* &quot;-&quot;??_-;_-@_-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&quot;$&quot;#,##0"/>
    <numFmt numFmtId="174" formatCode="_(* #,##0_);_(* \(#,##0\);_(* &quot;-&quot;??_);_(@_)"/>
  </numFmts>
  <fonts count="2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8" tint="-0.249977111117893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u/>
      <sz val="10"/>
      <color theme="10"/>
      <name val="Calibri"/>
      <family val="2"/>
      <scheme val="minor"/>
    </font>
    <font>
      <sz val="10"/>
      <name val="TimesNewRoman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3" borderId="2">
      <alignment vertical="center"/>
    </xf>
    <xf numFmtId="0" fontId="5" fillId="4" borderId="0">
      <alignment horizontal="left" vertical="center"/>
      <protection locked="0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</cellStyleXfs>
  <cellXfs count="125">
    <xf numFmtId="0" fontId="0" fillId="0" borderId="0" xfId="0"/>
    <xf numFmtId="0" fontId="0" fillId="6" borderId="0" xfId="0" applyFill="1"/>
    <xf numFmtId="0" fontId="3" fillId="6" borderId="0" xfId="0" applyFont="1" applyFill="1"/>
    <xf numFmtId="0" fontId="8" fillId="6" borderId="0" xfId="0" applyFont="1" applyFill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3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4" xfId="0" applyFont="1" applyBorder="1"/>
    <xf numFmtId="0" fontId="12" fillId="0" borderId="3" xfId="0" applyFont="1" applyBorder="1" applyAlignment="1">
      <alignment horizontal="left"/>
    </xf>
    <xf numFmtId="17" fontId="12" fillId="0" borderId="3" xfId="0" quotePrefix="1" applyNumberFormat="1" applyFont="1" applyBorder="1"/>
    <xf numFmtId="0" fontId="12" fillId="0" borderId="3" xfId="0" applyFont="1" applyBorder="1"/>
    <xf numFmtId="0" fontId="12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12" fillId="0" borderId="0" xfId="0" quotePrefix="1" applyFont="1"/>
    <xf numFmtId="17" fontId="12" fillId="0" borderId="0" xfId="0" quotePrefix="1" applyNumberFormat="1" applyFont="1"/>
    <xf numFmtId="0" fontId="13" fillId="6" borderId="0" xfId="0" applyFont="1" applyFill="1"/>
    <xf numFmtId="0" fontId="14" fillId="7" borderId="0" xfId="0" applyFont="1" applyFill="1"/>
    <xf numFmtId="0" fontId="11" fillId="7" borderId="0" xfId="0" applyFont="1" applyFill="1"/>
    <xf numFmtId="0" fontId="3" fillId="7" borderId="5" xfId="9" applyFill="1" applyBorder="1" applyAlignment="1">
      <alignment horizontal="center" vertical="center"/>
    </xf>
    <xf numFmtId="0" fontId="15" fillId="7" borderId="5" xfId="9" applyFont="1" applyFill="1" applyBorder="1" applyAlignment="1">
      <alignment horizontal="center" vertical="center"/>
    </xf>
    <xf numFmtId="0" fontId="3" fillId="7" borderId="5" xfId="9" applyFill="1" applyBorder="1" applyAlignment="1">
      <alignment horizontal="center" vertical="center" wrapText="1"/>
    </xf>
    <xf numFmtId="165" fontId="15" fillId="7" borderId="5" xfId="9" applyNumberFormat="1" applyFont="1" applyFill="1" applyBorder="1" applyAlignment="1">
      <alignment horizontal="center" vertical="center" wrapText="1"/>
    </xf>
    <xf numFmtId="0" fontId="3" fillId="6" borderId="0" xfId="9" applyFill="1" applyAlignment="1">
      <alignment horizontal="center" vertical="center" wrapText="1"/>
    </xf>
    <xf numFmtId="0" fontId="3" fillId="6" borderId="0" xfId="9" applyFill="1" applyAlignment="1">
      <alignment horizontal="center" vertical="center"/>
    </xf>
    <xf numFmtId="0" fontId="3" fillId="0" borderId="0" xfId="9" applyAlignment="1">
      <alignment horizontal="center" vertical="center"/>
    </xf>
    <xf numFmtId="0" fontId="17" fillId="7" borderId="0" xfId="9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9" borderId="1" xfId="0" applyFont="1" applyFill="1" applyBorder="1" applyAlignment="1">
      <alignment horizontal="center" vertical="center"/>
    </xf>
    <xf numFmtId="0" fontId="18" fillId="10" borderId="0" xfId="0" applyFont="1" applyFill="1" applyAlignment="1">
      <alignment vertical="center"/>
    </xf>
    <xf numFmtId="0" fontId="18" fillId="0" borderId="1" xfId="0" applyFont="1" applyBorder="1" applyAlignment="1">
      <alignment vertical="center"/>
    </xf>
    <xf numFmtId="164" fontId="18" fillId="10" borderId="1" xfId="0" applyNumberFormat="1" applyFont="1" applyFill="1" applyBorder="1" applyAlignment="1">
      <alignment horizontal="center" vertical="center"/>
    </xf>
    <xf numFmtId="173" fontId="18" fillId="10" borderId="1" xfId="0" applyNumberFormat="1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left" indent="1"/>
    </xf>
    <xf numFmtId="0" fontId="19" fillId="10" borderId="3" xfId="0" applyFont="1" applyFill="1" applyBorder="1"/>
    <xf numFmtId="0" fontId="18" fillId="10" borderId="0" xfId="0" applyFont="1" applyFill="1"/>
    <xf numFmtId="1" fontId="18" fillId="10" borderId="0" xfId="0" applyNumberFormat="1" applyFont="1" applyFill="1"/>
    <xf numFmtId="0" fontId="18" fillId="0" borderId="4" xfId="0" applyFont="1" applyBorder="1" applyAlignment="1">
      <alignment horizontal="left" vertical="center" indent="1"/>
    </xf>
    <xf numFmtId="10" fontId="18" fillId="0" borderId="6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vertical="center"/>
    </xf>
    <xf numFmtId="3" fontId="18" fillId="1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indent="1"/>
    </xf>
    <xf numFmtId="10" fontId="18" fillId="0" borderId="5" xfId="0" applyNumberFormat="1" applyFont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right"/>
    </xf>
    <xf numFmtId="168" fontId="18" fillId="0" borderId="1" xfId="0" applyNumberFormat="1" applyFont="1" applyBorder="1" applyAlignment="1">
      <alignment horizontal="center" vertical="center"/>
    </xf>
    <xf numFmtId="0" fontId="17" fillId="0" borderId="0" xfId="0" applyFont="1"/>
    <xf numFmtId="17" fontId="18" fillId="0" borderId="1" xfId="0" applyNumberFormat="1" applyFont="1" applyBorder="1" applyAlignment="1">
      <alignment horizontal="left" vertical="center" indent="1"/>
    </xf>
    <xf numFmtId="0" fontId="18" fillId="0" borderId="1" xfId="0" applyFont="1" applyBorder="1" applyAlignment="1">
      <alignment horizontal="center" vertical="center"/>
    </xf>
    <xf numFmtId="0" fontId="20" fillId="10" borderId="0" xfId="0" applyFont="1" applyFill="1" applyAlignment="1">
      <alignment horizontal="left" vertical="center"/>
    </xf>
    <xf numFmtId="0" fontId="17" fillId="7" borderId="0" xfId="9" applyFont="1" applyFill="1" applyAlignment="1">
      <alignment horizontal="center"/>
    </xf>
    <xf numFmtId="0" fontId="17" fillId="7" borderId="0" xfId="9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166" fontId="18" fillId="0" borderId="1" xfId="1" applyFont="1" applyBorder="1" applyAlignment="1">
      <alignment vertical="center"/>
    </xf>
    <xf numFmtId="172" fontId="18" fillId="0" borderId="1" xfId="1" applyNumberFormat="1" applyFont="1" applyBorder="1" applyAlignment="1">
      <alignment vertical="center"/>
    </xf>
    <xf numFmtId="174" fontId="18" fillId="0" borderId="1" xfId="2" applyNumberFormat="1" applyFont="1" applyBorder="1" applyAlignment="1">
      <alignment vertical="center"/>
    </xf>
    <xf numFmtId="169" fontId="18" fillId="0" borderId="1" xfId="0" applyNumberFormat="1" applyFont="1" applyBorder="1" applyAlignment="1">
      <alignment vertical="center"/>
    </xf>
    <xf numFmtId="0" fontId="18" fillId="10" borderId="1" xfId="0" applyFont="1" applyFill="1" applyBorder="1" applyAlignment="1">
      <alignment horizontal="left" vertical="center" indent="1"/>
    </xf>
    <xf numFmtId="166" fontId="18" fillId="0" borderId="1" xfId="0" applyNumberFormat="1" applyFont="1" applyBorder="1" applyAlignment="1">
      <alignment vertical="center"/>
    </xf>
    <xf numFmtId="168" fontId="18" fillId="0" borderId="1" xfId="11" applyNumberFormat="1" applyFont="1" applyBorder="1" applyAlignment="1">
      <alignment vertical="center"/>
    </xf>
    <xf numFmtId="166" fontId="18" fillId="0" borderId="0" xfId="0" applyNumberFormat="1" applyFont="1" applyAlignment="1">
      <alignment horizontal="center"/>
    </xf>
    <xf numFmtId="166" fontId="18" fillId="0" borderId="0" xfId="0" applyNumberFormat="1" applyFont="1"/>
    <xf numFmtId="171" fontId="18" fillId="0" borderId="0" xfId="0" applyNumberFormat="1" applyFont="1"/>
    <xf numFmtId="170" fontId="18" fillId="0" borderId="0" xfId="0" applyNumberFormat="1" applyFont="1"/>
    <xf numFmtId="0" fontId="17" fillId="7" borderId="0" xfId="9" applyFont="1" applyFill="1" applyAlignment="1">
      <alignment horizontal="center" vertical="center"/>
    </xf>
    <xf numFmtId="0" fontId="17" fillId="7" borderId="5" xfId="9" applyFont="1" applyFill="1" applyBorder="1" applyAlignment="1">
      <alignment vertical="center"/>
    </xf>
    <xf numFmtId="0" fontId="17" fillId="9" borderId="1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166" fontId="22" fillId="0" borderId="0" xfId="1" applyFont="1" applyAlignment="1">
      <alignment vertical="center"/>
    </xf>
    <xf numFmtId="166" fontId="18" fillId="0" borderId="0" xfId="1" applyFont="1" applyAlignment="1">
      <alignment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166" fontId="17" fillId="2" borderId="1" xfId="1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168" fontId="18" fillId="5" borderId="1" xfId="0" applyNumberFormat="1" applyFont="1" applyFill="1" applyBorder="1" applyAlignment="1">
      <alignment horizontal="center" vertical="center"/>
    </xf>
    <xf numFmtId="168" fontId="17" fillId="5" borderId="1" xfId="0" applyNumberFormat="1" applyFont="1" applyFill="1" applyBorder="1" applyAlignment="1">
      <alignment horizontal="center" vertical="center"/>
    </xf>
    <xf numFmtId="168" fontId="18" fillId="0" borderId="0" xfId="0" applyNumberFormat="1" applyFont="1" applyAlignment="1">
      <alignment vertical="center"/>
    </xf>
    <xf numFmtId="168" fontId="18" fillId="0" borderId="1" xfId="0" applyNumberFormat="1" applyFont="1" applyBorder="1" applyAlignment="1">
      <alignment horizontal="left" vertical="center"/>
    </xf>
    <xf numFmtId="0" fontId="17" fillId="5" borderId="1" xfId="0" applyFont="1" applyFill="1" applyBorder="1"/>
    <xf numFmtId="167" fontId="17" fillId="5" borderId="1" xfId="0" applyNumberFormat="1" applyFont="1" applyFill="1" applyBorder="1"/>
    <xf numFmtId="0" fontId="17" fillId="5" borderId="1" xfId="0" applyFont="1" applyFill="1" applyBorder="1" applyAlignment="1">
      <alignment horizontal="left" indent="1"/>
    </xf>
    <xf numFmtId="168" fontId="18" fillId="5" borderId="1" xfId="1" applyNumberFormat="1" applyFont="1" applyFill="1" applyBorder="1" applyAlignment="1">
      <alignment horizontal="center" vertical="center"/>
    </xf>
    <xf numFmtId="168" fontId="18" fillId="0" borderId="1" xfId="1" applyNumberFormat="1" applyFont="1" applyBorder="1" applyAlignment="1">
      <alignment vertical="center"/>
    </xf>
    <xf numFmtId="167" fontId="18" fillId="0" borderId="0" xfId="0" applyNumberFormat="1" applyFont="1"/>
    <xf numFmtId="0" fontId="23" fillId="0" borderId="0" xfId="0" applyFont="1" applyAlignment="1">
      <alignment vertical="center"/>
    </xf>
    <xf numFmtId="10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19" fillId="0" borderId="0" xfId="0" applyFont="1" applyAlignment="1">
      <alignment vertical="center"/>
    </xf>
    <xf numFmtId="0" fontId="18" fillId="7" borderId="1" xfId="9" applyFont="1" applyFill="1" applyBorder="1" applyAlignment="1">
      <alignment vertical="center"/>
    </xf>
    <xf numFmtId="0" fontId="18" fillId="7" borderId="1" xfId="9" applyFont="1" applyFill="1" applyBorder="1" applyAlignment="1">
      <alignment horizontal="center" vertical="center"/>
    </xf>
    <xf numFmtId="168" fontId="18" fillId="0" borderId="1" xfId="11" applyNumberFormat="1" applyFont="1" applyBorder="1" applyAlignment="1">
      <alignment horizontal="center" vertical="center"/>
    </xf>
    <xf numFmtId="1" fontId="23" fillId="0" borderId="0" xfId="0" applyNumberFormat="1" applyFont="1"/>
    <xf numFmtId="0" fontId="19" fillId="0" borderId="0" xfId="0" applyFont="1" applyAlignment="1">
      <alignment horizontal="center" vertical="center"/>
    </xf>
    <xf numFmtId="1" fontId="23" fillId="0" borderId="0" xfId="0" applyNumberFormat="1" applyFont="1" applyAlignment="1">
      <alignment vertical="center"/>
    </xf>
    <xf numFmtId="0" fontId="18" fillId="7" borderId="1" xfId="9" applyFont="1" applyFill="1" applyBorder="1"/>
    <xf numFmtId="0" fontId="18" fillId="7" borderId="1" xfId="9" applyFont="1" applyFill="1" applyBorder="1" applyAlignment="1">
      <alignment horizontal="center"/>
    </xf>
    <xf numFmtId="0" fontId="18" fillId="0" borderId="1" xfId="0" applyFont="1" applyBorder="1" applyAlignment="1">
      <alignment horizontal="left" vertical="center" indent="2"/>
    </xf>
    <xf numFmtId="3" fontId="18" fillId="0" borderId="1" xfId="2" applyNumberFormat="1" applyFont="1" applyBorder="1" applyAlignment="1">
      <alignment horizontal="center" vertical="center"/>
    </xf>
    <xf numFmtId="0" fontId="19" fillId="0" borderId="0" xfId="0" applyFont="1"/>
    <xf numFmtId="168" fontId="18" fillId="0" borderId="0" xfId="0" applyNumberFormat="1" applyFont="1"/>
    <xf numFmtId="0" fontId="3" fillId="0" borderId="0" xfId="0" applyFont="1" applyAlignment="1">
      <alignment horizontal="left" vertical="center" indent="1"/>
    </xf>
    <xf numFmtId="0" fontId="3" fillId="0" borderId="0" xfId="12" applyNumberFormat="1" applyFont="1" applyAlignment="1" applyProtection="1">
      <alignment horizontal="left" vertical="center" indent="1"/>
    </xf>
    <xf numFmtId="0" fontId="24" fillId="6" borderId="0" xfId="12" applyFont="1" applyFill="1"/>
    <xf numFmtId="0" fontId="25" fillId="0" borderId="0" xfId="0" applyFont="1"/>
    <xf numFmtId="0" fontId="3" fillId="0" borderId="0" xfId="0" quotePrefix="1" applyFont="1" applyAlignment="1">
      <alignment horizontal="left"/>
    </xf>
    <xf numFmtId="17" fontId="3" fillId="0" borderId="0" xfId="0" quotePrefix="1" applyNumberFormat="1" applyFont="1"/>
    <xf numFmtId="0" fontId="17" fillId="7" borderId="5" xfId="9" applyFont="1" applyFill="1" applyBorder="1" applyAlignment="1">
      <alignment horizontal="left" vertical="center" indent="1"/>
    </xf>
    <xf numFmtId="0" fontId="18" fillId="0" borderId="1" xfId="0" applyFont="1" applyFill="1" applyBorder="1" applyAlignment="1">
      <alignment horizontal="left" vertical="center" indent="1"/>
    </xf>
  </cellXfs>
  <cellStyles count="14">
    <cellStyle name="Comma" xfId="1" builtinId="3"/>
    <cellStyle name="Comma 2" xfId="3" xr:uid="{00000000-0005-0000-0000-000002000000}"/>
    <cellStyle name="Comma 3" xfId="5" xr:uid="{00000000-0005-0000-0000-000003000000}"/>
    <cellStyle name="Currency" xfId="2" builtinId="4"/>
    <cellStyle name="Currency 2" xfId="4" xr:uid="{00000000-0005-0000-0000-000005000000}"/>
    <cellStyle name="Currency 3" xfId="6" xr:uid="{00000000-0005-0000-0000-000006000000}"/>
    <cellStyle name="dms_1" xfId="7" xr:uid="{00000000-0005-0000-0000-000007000000}"/>
    <cellStyle name="Hyperlink" xfId="12" builtinId="8"/>
    <cellStyle name="Hyperlink 2" xfId="10" xr:uid="{00000000-0005-0000-0000-000009000000}"/>
    <cellStyle name="Normal" xfId="0" builtinId="0"/>
    <cellStyle name="Normal 11" xfId="13" xr:uid="{7AB5FCFC-CBD7-4211-8976-0FAF5DF20C1B}"/>
    <cellStyle name="Normal 2" xfId="9" xr:uid="{00000000-0005-0000-0000-00000B000000}"/>
    <cellStyle name="Percent" xfId="11" builtinId="5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00FF"/>
      <color rgb="FFFFFFCC"/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22415</xdr:colOff>
      <xdr:row>5</xdr:row>
      <xdr:rowOff>145677</xdr:rowOff>
    </xdr:from>
    <xdr:to>
      <xdr:col>6</xdr:col>
      <xdr:colOff>1</xdr:colOff>
      <xdr:row>9</xdr:row>
      <xdr:rowOff>3414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0" y="1568824"/>
          <a:ext cx="2521322" cy="116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291353</xdr:colOff>
      <xdr:row>0</xdr:row>
      <xdr:rowOff>104588</xdr:rowOff>
    </xdr:from>
    <xdr:to>
      <xdr:col>11</xdr:col>
      <xdr:colOff>265579</xdr:colOff>
      <xdr:row>19</xdr:row>
      <xdr:rowOff>114216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2C2CD4-7463-4CA9-B44D-D5BC45EEF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8353" y="104588"/>
          <a:ext cx="4030755" cy="51590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STPIS%20annual%20compliance\NEM%20STPIS%20FY23\S-factor%20compliance%20models%20FY2022-23\Essential%20Energy%20STPIS%20FY2022-23_AER%20final.xlsx" TargetMode="External"/><Relationship Id="rId1" Type="http://schemas.openxmlformats.org/officeDocument/2006/relationships/externalLinkPath" Target="/AER/STPIS%20annual%20compliance/NEM%20STPIS%20FY23/S-factor%20compliance%20models%20FY2022-23/Essential%20Energy%20STPIS%20FY2022-23_AER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Inputs"/>
      <sheetName val="Actual Performance"/>
      <sheetName val="S-factor"/>
      <sheetName val="2018-19 Daily Performance"/>
      <sheetName val="2017-18 Daily Performance"/>
      <sheetName val="2016-17 Daily Performance"/>
      <sheetName val="2019-20 Daily Performance"/>
      <sheetName val="2019-20 Major Event Days"/>
      <sheetName val="2017-18 Major Event Days"/>
      <sheetName val="2016-17 Major Event Days"/>
      <sheetName val="2019-20 Telephone Answering"/>
      <sheetName val="2017-18 Telephone Answering"/>
      <sheetName val="2016-17 Telephone Answering"/>
      <sheetName val="Customer numbers"/>
      <sheetName val="PowerBI_actual performance"/>
      <sheetName val="change log"/>
      <sheetName val="STPIS Performance Calculations"/>
      <sheetName val="2015-16 Daily Performance"/>
      <sheetName val="2015-16 Major Event Days"/>
      <sheetName val="2015-16 Telephone Answering"/>
      <sheetName val="2014-15 Telephone Answering"/>
      <sheetName val="2014-15 Major Event Days"/>
      <sheetName val="2014-15 Daily Performance "/>
      <sheetName val="2014-15 STPIS Exclusions"/>
      <sheetName val="2013-14 STPIS Exclusions"/>
      <sheetName val="2013-14 Major Event Days"/>
      <sheetName val="2013-14 Daily Performance Data"/>
      <sheetName val="2013-14 Telephone Answering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Daily Performance Data"/>
      <sheetName val="2011-12 Telephone Answering"/>
      <sheetName val="2011-12 STPIS Exclu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C32">
            <v>496.15499999999997</v>
          </cell>
          <cell r="D32">
            <v>2.5762999999999998</v>
          </cell>
        </row>
        <row r="33">
          <cell r="C33">
            <v>202.7303</v>
          </cell>
          <cell r="D33">
            <v>1.5649</v>
          </cell>
        </row>
        <row r="34">
          <cell r="C34">
            <v>77.773799999999994</v>
          </cell>
          <cell r="D34">
            <v>0.87250000000000005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zoomScaleNormal="100" workbookViewId="0">
      <selection activeCell="I25" sqref="I25"/>
    </sheetView>
  </sheetViews>
  <sheetFormatPr defaultColWidth="8.85546875" defaultRowHeight="15"/>
  <cols>
    <col min="1" max="4" width="9.140625" customWidth="1"/>
    <col min="5" max="5" width="11.140625" customWidth="1"/>
    <col min="8" max="8" width="7.140625" customWidth="1"/>
    <col min="13" max="13" width="10.7109375" bestFit="1" customWidth="1"/>
    <col min="19" max="19" width="27" bestFit="1" customWidth="1"/>
  </cols>
  <sheetData>
    <row r="1" spans="1:36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36" ht="46.5">
      <c r="C2" s="11"/>
      <c r="D2" s="11"/>
      <c r="E2" s="11"/>
      <c r="F2" s="11"/>
      <c r="G2" s="11"/>
      <c r="H2" s="11"/>
      <c r="I2" s="11"/>
      <c r="J2" s="26" t="s">
        <v>30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6" ht="20.25">
      <c r="C3" s="11"/>
      <c r="D3" s="11"/>
      <c r="E3" s="11"/>
      <c r="F3" s="11"/>
      <c r="G3" s="11"/>
      <c r="H3" s="11"/>
      <c r="I3" s="11"/>
      <c r="J3" s="27" t="s">
        <v>29</v>
      </c>
      <c r="K3" s="11"/>
      <c r="L3" s="11"/>
      <c r="M3" s="11"/>
      <c r="N3" s="11"/>
      <c r="O3" s="11"/>
      <c r="P3" s="11"/>
      <c r="Q3" s="11"/>
      <c r="R3" s="11"/>
      <c r="S3" s="27" t="s">
        <v>36</v>
      </c>
      <c r="T3" s="11"/>
      <c r="U3" s="27" t="s">
        <v>35</v>
      </c>
      <c r="V3" s="11"/>
      <c r="W3" s="11"/>
      <c r="X3" s="11"/>
      <c r="Y3" s="11"/>
      <c r="Z3" s="11"/>
      <c r="AA3" s="11"/>
    </row>
    <row r="4" spans="1:36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36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8" spans="1:36" ht="52.5">
      <c r="I8" s="6"/>
      <c r="J8" s="7"/>
    </row>
    <row r="9" spans="1:36" ht="20.25">
      <c r="L9" s="8"/>
      <c r="M9" s="9"/>
    </row>
    <row r="11" spans="1:36" ht="44.25">
      <c r="A11" s="1"/>
      <c r="B11" s="1"/>
      <c r="C11" s="1"/>
      <c r="E11" s="2"/>
      <c r="F11" s="3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6" s="5" customFormat="1" ht="12.75">
      <c r="A12" s="2"/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36" s="5" customFormat="1" ht="12.75">
      <c r="A13" s="2"/>
      <c r="B13" s="2"/>
      <c r="C13" s="2"/>
      <c r="D13" s="18"/>
      <c r="E13" s="19"/>
      <c r="F13" s="19"/>
      <c r="G13" s="2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36" s="34" customFormat="1" ht="18" customHeight="1">
      <c r="A14" s="2"/>
      <c r="B14" s="2"/>
      <c r="C14" s="123" t="s">
        <v>52</v>
      </c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30"/>
      <c r="Q14" s="31"/>
      <c r="R14" s="30"/>
      <c r="S14" s="31"/>
      <c r="T14" s="30"/>
      <c r="U14" s="30"/>
      <c r="V14" s="30"/>
      <c r="W14" s="30"/>
      <c r="X14" s="30"/>
      <c r="Y14" s="30"/>
      <c r="Z14" s="30"/>
      <c r="AA14" s="30"/>
      <c r="AB14" s="5"/>
      <c r="AC14" s="5"/>
      <c r="AD14" s="32"/>
      <c r="AE14" s="32"/>
      <c r="AF14" s="32"/>
      <c r="AG14" s="32"/>
      <c r="AH14" s="32"/>
      <c r="AI14" s="33"/>
      <c r="AJ14" s="33"/>
    </row>
    <row r="15" spans="1:36" s="5" customFormat="1" ht="12.75">
      <c r="A15" s="2"/>
      <c r="B15" s="2"/>
      <c r="C15" s="2"/>
      <c r="D15" s="22"/>
      <c r="E15" s="2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36" s="5" customFormat="1" ht="12.75">
      <c r="A16" s="2"/>
      <c r="B16" s="2"/>
      <c r="C16" s="2"/>
      <c r="D16" s="14"/>
      <c r="R16" s="15"/>
      <c r="S16" s="15"/>
      <c r="T16" s="15"/>
      <c r="U16" s="15"/>
      <c r="V16" s="15"/>
    </row>
    <row r="17" spans="1:23" s="5" customFormat="1" ht="12.75">
      <c r="A17" s="2"/>
      <c r="B17" s="2"/>
      <c r="C17" s="119" t="s">
        <v>47</v>
      </c>
      <c r="D17" s="14"/>
      <c r="H17" s="117" t="s">
        <v>53</v>
      </c>
      <c r="R17" s="15"/>
      <c r="S17" s="15"/>
      <c r="T17" s="15"/>
      <c r="U17" s="15"/>
      <c r="V17" s="15"/>
    </row>
    <row r="18" spans="1:23" s="5" customFormat="1" ht="12.75">
      <c r="A18" s="2"/>
      <c r="B18" s="2"/>
      <c r="C18" s="119" t="s">
        <v>48</v>
      </c>
      <c r="D18" s="14"/>
      <c r="E18" s="120"/>
      <c r="H18" s="117" t="s">
        <v>54</v>
      </c>
      <c r="R18" s="15"/>
      <c r="S18" s="15"/>
      <c r="T18" s="15"/>
      <c r="U18" s="15"/>
      <c r="V18" s="15"/>
    </row>
    <row r="19" spans="1:23" s="5" customFormat="1" ht="12.75">
      <c r="A19" s="2"/>
      <c r="B19" s="2"/>
      <c r="C19" s="119" t="s">
        <v>49</v>
      </c>
      <c r="D19" s="121"/>
      <c r="E19" s="122"/>
      <c r="H19" s="117" t="s">
        <v>55</v>
      </c>
      <c r="R19" s="15"/>
      <c r="S19" s="15"/>
      <c r="T19" s="15"/>
      <c r="U19" s="15"/>
      <c r="V19" s="15"/>
    </row>
    <row r="20" spans="1:23" s="5" customFormat="1" ht="12.75">
      <c r="A20" s="2"/>
      <c r="B20" s="2"/>
      <c r="C20" s="119" t="s">
        <v>50</v>
      </c>
      <c r="D20" s="14"/>
      <c r="H20" s="117" t="s">
        <v>56</v>
      </c>
      <c r="R20" s="15"/>
      <c r="S20" s="15"/>
      <c r="T20" s="15"/>
      <c r="U20" s="15"/>
      <c r="V20" s="15"/>
    </row>
    <row r="21" spans="1:23" s="5" customFormat="1" ht="12.75">
      <c r="A21" s="2"/>
      <c r="B21" s="2"/>
      <c r="C21" s="119" t="s">
        <v>51</v>
      </c>
      <c r="D21" s="14"/>
      <c r="H21" s="118" t="s">
        <v>57</v>
      </c>
      <c r="R21" s="15"/>
      <c r="S21" s="15"/>
      <c r="T21" s="15"/>
      <c r="U21" s="15"/>
      <c r="V21" s="15"/>
    </row>
    <row r="22" spans="1:23" s="5" customFormat="1" ht="12.75">
      <c r="A22" s="2"/>
      <c r="B22" s="2"/>
      <c r="C22" s="2"/>
      <c r="D22" s="14"/>
      <c r="E22" s="120"/>
      <c r="R22" s="15"/>
      <c r="S22" s="15"/>
      <c r="T22" s="15"/>
      <c r="U22" s="15"/>
      <c r="V22" s="15"/>
    </row>
    <row r="23" spans="1:23" s="5" customFormat="1" ht="12.75">
      <c r="A23" s="2"/>
      <c r="B23" s="2"/>
      <c r="C23" s="2"/>
      <c r="D23" s="16"/>
      <c r="E23" s="16"/>
      <c r="F23" s="16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/>
      <c r="V23" s="15"/>
    </row>
    <row r="24" spans="1:23">
      <c r="A24" s="1"/>
      <c r="B24" s="1"/>
      <c r="C24" s="1"/>
      <c r="D24" s="16"/>
      <c r="E24" s="16"/>
      <c r="F24" s="16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3">
      <c r="A25" s="1"/>
      <c r="B25" s="1"/>
      <c r="C25" s="1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3">
      <c r="A26" s="1"/>
      <c r="B26" s="1"/>
      <c r="C26" s="1"/>
      <c r="D26" s="22"/>
      <c r="E26" s="24"/>
      <c r="F26" s="15"/>
      <c r="G26" s="15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3">
      <c r="A27" s="1"/>
      <c r="B27" s="1"/>
      <c r="C27" s="1"/>
      <c r="D27" s="21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3">
      <c r="A28" s="1"/>
      <c r="B28" s="1"/>
      <c r="C28" s="1"/>
      <c r="D28" s="21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5"/>
      <c r="T28" s="25"/>
      <c r="U28" s="25"/>
      <c r="V28" s="25"/>
      <c r="W28" s="1"/>
    </row>
    <row r="29" spans="1:23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>
      <c r="D30" s="22"/>
      <c r="E30" s="24"/>
      <c r="F30" s="15"/>
      <c r="G30" s="15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3">
      <c r="D31" s="14"/>
      <c r="E31" s="5"/>
      <c r="F31" s="5"/>
      <c r="G31" s="5"/>
      <c r="H31" s="5"/>
    </row>
    <row r="32" spans="1:23">
      <c r="D32" s="14"/>
      <c r="E32" s="5"/>
      <c r="F32" s="5"/>
      <c r="G32" s="5"/>
      <c r="H32" s="5"/>
    </row>
  </sheetData>
  <hyperlinks>
    <hyperlink ref="C17" location="'Output | decision tables'!A1" display="Output | Decision tables" xr:uid="{645E4E1C-1B91-4BED-AB88-DE36678FEB83}"/>
    <hyperlink ref="C18" location="'STPIS inputs'!A1" display="STPIS inputs" xr:uid="{E92D4A5B-15BF-424A-B324-6E24B4BC9054}"/>
    <hyperlink ref="C19" location="'Annual performance and targets'!A1" display="Annual performance and targets" xr:uid="{A76B3AAD-A8B4-4188-8828-F68DE11AE420}"/>
    <hyperlink ref="C20" location="'Incentive rates calc'!A1" display="Incentive rates calculations" xr:uid="{ED82A47D-4D7B-4081-ACD9-44B777A00FBA}"/>
    <hyperlink ref="C21" location="'Change log'!A1" display="Change log" xr:uid="{2DB9B781-4AB3-4224-B85B-22B70E3E4EA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2:K42"/>
  <sheetViews>
    <sheetView showGridLines="0" zoomScaleNormal="100" workbookViewId="0">
      <selection activeCell="C18" sqref="C18"/>
    </sheetView>
  </sheetViews>
  <sheetFormatPr defaultColWidth="9.140625" defaultRowHeight="12.75"/>
  <cols>
    <col min="1" max="1" width="4.140625" style="54" customWidth="1"/>
    <col min="2" max="2" width="57.140625" style="54" customWidth="1"/>
    <col min="3" max="3" width="24.7109375" style="54" bestFit="1" customWidth="1"/>
    <col min="4" max="5" width="18.42578125" style="54" customWidth="1"/>
    <col min="6" max="6" width="11.28515625" style="54" bestFit="1" customWidth="1"/>
    <col min="7" max="7" width="11.140625" style="103" customWidth="1"/>
    <col min="8" max="9" width="9.140625" style="103" customWidth="1"/>
    <col min="10" max="11" width="9.140625" style="103"/>
    <col min="12" max="16384" width="9.140625" style="54"/>
  </cols>
  <sheetData>
    <row r="2" spans="2:11" s="36" customFormat="1" ht="21.75" customHeight="1">
      <c r="B2" s="35" t="s">
        <v>65</v>
      </c>
      <c r="C2" s="35"/>
      <c r="D2" s="35"/>
      <c r="E2" s="35"/>
      <c r="G2" s="99"/>
      <c r="H2" s="99"/>
      <c r="I2" s="99"/>
      <c r="J2" s="99"/>
      <c r="K2" s="99"/>
    </row>
    <row r="4" spans="2:11" s="36" customFormat="1" ht="25.5" customHeight="1">
      <c r="B4" s="55" t="s">
        <v>21</v>
      </c>
      <c r="C4" s="100" t="s">
        <v>28</v>
      </c>
      <c r="D4" s="101"/>
      <c r="E4" s="101"/>
      <c r="G4" s="99"/>
      <c r="H4" s="99"/>
      <c r="I4" s="99"/>
      <c r="J4" s="99"/>
      <c r="K4" s="99"/>
    </row>
    <row r="5" spans="2:11" s="36" customFormat="1" ht="25.5" customHeight="1">
      <c r="B5" s="55" t="s">
        <v>3</v>
      </c>
      <c r="C5" s="102">
        <v>2.5</v>
      </c>
      <c r="D5" s="100" t="s">
        <v>34</v>
      </c>
      <c r="E5" s="101"/>
      <c r="G5" s="99"/>
      <c r="H5" s="99"/>
      <c r="I5" s="99"/>
      <c r="J5" s="99"/>
      <c r="K5" s="99"/>
    </row>
    <row r="6" spans="2:11" s="36" customFormat="1" ht="25.5" customHeight="1">
      <c r="B6" s="55" t="s">
        <v>59</v>
      </c>
      <c r="C6" s="62" t="s">
        <v>1</v>
      </c>
      <c r="D6" s="62" t="s">
        <v>22</v>
      </c>
      <c r="E6" s="62" t="s">
        <v>14</v>
      </c>
      <c r="G6" s="99"/>
      <c r="H6" s="99"/>
      <c r="I6" s="99"/>
      <c r="J6" s="99"/>
      <c r="K6" s="99"/>
    </row>
    <row r="7" spans="2:11" s="36" customFormat="1" ht="25.5" customHeight="1">
      <c r="B7" s="55" t="s">
        <v>23</v>
      </c>
      <c r="C7" s="62" t="s">
        <v>41</v>
      </c>
      <c r="G7" s="99"/>
      <c r="H7" s="99"/>
      <c r="I7" s="99"/>
      <c r="J7" s="99"/>
      <c r="K7" s="99"/>
    </row>
    <row r="8" spans="2:11" ht="10.5" customHeight="1">
      <c r="B8" s="60"/>
    </row>
    <row r="9" spans="2:11" s="36" customFormat="1" ht="21" customHeight="1">
      <c r="B9" s="35" t="s">
        <v>24</v>
      </c>
      <c r="C9" s="35"/>
      <c r="D9" s="35"/>
      <c r="E9" s="35"/>
      <c r="G9" s="99"/>
      <c r="H9" s="99"/>
      <c r="I9" s="99"/>
      <c r="J9" s="99"/>
      <c r="K9" s="99"/>
    </row>
    <row r="11" spans="2:11">
      <c r="B11" s="104" t="s">
        <v>37</v>
      </c>
      <c r="C11" s="104"/>
      <c r="D11" s="104"/>
      <c r="G11" s="103" t="s">
        <v>40</v>
      </c>
    </row>
    <row r="12" spans="2:11" s="36" customFormat="1" ht="24" customHeight="1">
      <c r="B12" s="105" t="s">
        <v>0</v>
      </c>
      <c r="C12" s="106" t="s">
        <v>1</v>
      </c>
      <c r="D12" s="106" t="s">
        <v>13</v>
      </c>
      <c r="E12" s="106" t="s">
        <v>14</v>
      </c>
      <c r="G12" s="99"/>
      <c r="H12" s="99"/>
      <c r="I12" s="99"/>
      <c r="J12" s="99"/>
      <c r="K12" s="99"/>
    </row>
    <row r="13" spans="2:11" ht="24" customHeight="1">
      <c r="B13" s="55" t="s">
        <v>76</v>
      </c>
      <c r="C13" s="107">
        <f>'Incentive rates calc'!D12</f>
        <v>1.2466177729789012E-2</v>
      </c>
      <c r="D13" s="107">
        <f>'Incentive rates calc'!E12</f>
        <v>3.9448716087600984E-2</v>
      </c>
      <c r="E13" s="107">
        <f>'Incentive rates calc'!F12</f>
        <v>9.2956295625717424E-3</v>
      </c>
      <c r="G13" s="108">
        <v>1.1612730804525656E-5</v>
      </c>
      <c r="H13" s="108">
        <v>3.6748017751643547E-5</v>
      </c>
      <c r="I13" s="108">
        <v>8.65924151801159E-6</v>
      </c>
    </row>
    <row r="14" spans="2:11" ht="24" customHeight="1">
      <c r="B14" s="55" t="s">
        <v>77</v>
      </c>
      <c r="C14" s="107">
        <f>'Incentive rates calc'!D13</f>
        <v>0.69737889443493628</v>
      </c>
      <c r="D14" s="107">
        <f>'Incentive rates calc'!E13</f>
        <v>3.2188788820247853</v>
      </c>
      <c r="E14" s="107">
        <f>'Incentive rates calc'!F13</f>
        <v>1.0976163723135235</v>
      </c>
      <c r="G14" s="108">
        <v>6.4094109627543805E-4</v>
      </c>
      <c r="H14" s="108">
        <v>-1.6883774624636416E-3</v>
      </c>
      <c r="I14" s="108">
        <v>1.6136062720351063E-3</v>
      </c>
    </row>
    <row r="15" spans="2:11">
      <c r="C15" s="53"/>
      <c r="D15" s="53"/>
      <c r="E15" s="53"/>
      <c r="G15" s="108"/>
      <c r="H15" s="108"/>
      <c r="I15" s="108"/>
    </row>
    <row r="16" spans="2:11">
      <c r="B16" s="104" t="s">
        <v>38</v>
      </c>
      <c r="C16" s="109"/>
      <c r="D16" s="109"/>
      <c r="E16" s="53"/>
      <c r="G16" s="108"/>
      <c r="H16" s="108"/>
      <c r="I16" s="108"/>
    </row>
    <row r="17" spans="2:11" s="36" customFormat="1" ht="24" customHeight="1">
      <c r="B17" s="105" t="s">
        <v>0</v>
      </c>
      <c r="C17" s="106" t="s">
        <v>1</v>
      </c>
      <c r="D17" s="106" t="s">
        <v>13</v>
      </c>
      <c r="E17" s="106" t="s">
        <v>14</v>
      </c>
      <c r="G17" s="110"/>
      <c r="H17" s="110"/>
      <c r="I17" s="110"/>
      <c r="J17" s="99"/>
      <c r="K17" s="99"/>
    </row>
    <row r="18" spans="2:11" ht="24" customHeight="1">
      <c r="B18" s="124" t="s">
        <v>78</v>
      </c>
      <c r="C18" s="59">
        <f>'Annual performance and targets'!R38</f>
        <v>71.64816732919148</v>
      </c>
      <c r="D18" s="59">
        <f>'Annual performance and targets'!R39</f>
        <v>210.34007056300021</v>
      </c>
      <c r="E18" s="59">
        <f>'Annual performance and targets'!R40</f>
        <v>497.73183006406208</v>
      </c>
      <c r="G18" s="108">
        <f>C18-'Annual performance and targets'!Q38</f>
        <v>1.531408167702125</v>
      </c>
      <c r="H18" s="108">
        <f>D18-'Annual performance and targets'!Q39</f>
        <v>-2.0734622845133686</v>
      </c>
      <c r="I18" s="108">
        <f>E18-'Annual performance and targets'!Q40</f>
        <v>-1.3449203391717788</v>
      </c>
    </row>
    <row r="19" spans="2:11" ht="24" customHeight="1">
      <c r="B19" s="124" t="s">
        <v>79</v>
      </c>
      <c r="C19" s="59">
        <f>'Annual performance and targets'!I38</f>
        <v>0.8538436279683872</v>
      </c>
      <c r="D19" s="59">
        <f>'Annual performance and targets'!I39</f>
        <v>1.7185374224179675</v>
      </c>
      <c r="E19" s="59">
        <f>'Annual performance and targets'!I40</f>
        <v>2.8101686712418736</v>
      </c>
      <c r="G19" s="108">
        <f>C19-'Annual performance and targets'!H38</f>
        <v>4.6640930079033804E-3</v>
      </c>
      <c r="H19" s="108">
        <f>D19-'Annual performance and targets'!H39</f>
        <v>-3.9172001718781324E-2</v>
      </c>
      <c r="I19" s="108">
        <f>E19-'Annual performance and targets'!H40</f>
        <v>-6.4360334084735182E-2</v>
      </c>
    </row>
    <row r="20" spans="2:11">
      <c r="C20" s="53"/>
      <c r="D20" s="53"/>
      <c r="E20" s="53"/>
    </row>
    <row r="21" spans="2:11">
      <c r="B21" s="104" t="s">
        <v>39</v>
      </c>
      <c r="C21" s="109"/>
      <c r="D21" s="109"/>
      <c r="E21" s="109"/>
    </row>
    <row r="22" spans="2:11">
      <c r="B22" s="111"/>
      <c r="C22" s="112" t="s">
        <v>1</v>
      </c>
      <c r="D22" s="112" t="s">
        <v>13</v>
      </c>
      <c r="E22" s="112" t="s">
        <v>14</v>
      </c>
    </row>
    <row r="23" spans="2:11" ht="24" customHeight="1">
      <c r="B23" s="113" t="s">
        <v>70</v>
      </c>
      <c r="C23" s="114">
        <f>+'Incentive rates calc'!D5*(1+'Incentive rates calc'!D11)</f>
        <v>49333.32185886403</v>
      </c>
      <c r="D23" s="114">
        <f>+'Incentive rates calc'!E5*(1+'Incentive rates calc'!E11)</f>
        <v>49333.32185886403</v>
      </c>
      <c r="E23" s="114">
        <f>+'Incentive rates calc'!F5*(1+'Incentive rates calc'!F11)</f>
        <v>49333.32185886403</v>
      </c>
      <c r="G23" s="103">
        <f>C23-'Incentive rates calc'!D5</f>
        <v>7213.3218588640302</v>
      </c>
      <c r="H23" s="103">
        <f>D23-'Incentive rates calc'!E5</f>
        <v>7213.3218588640302</v>
      </c>
      <c r="I23" s="103">
        <f>E23-'Incentive rates calc'!F5</f>
        <v>7213.3218588640302</v>
      </c>
    </row>
    <row r="25" spans="2:11">
      <c r="B25" s="115"/>
    </row>
    <row r="37" spans="3:5">
      <c r="C37" s="116"/>
      <c r="D37" s="116"/>
      <c r="E37" s="116"/>
    </row>
    <row r="38" spans="3:5">
      <c r="C38" s="116"/>
      <c r="D38" s="116"/>
      <c r="E38" s="116"/>
    </row>
    <row r="41" spans="3:5">
      <c r="C41" s="116"/>
      <c r="D41" s="116"/>
      <c r="E41" s="116"/>
    </row>
    <row r="42" spans="3:5">
      <c r="C42" s="116"/>
      <c r="D42" s="116"/>
      <c r="E42" s="1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2:H15"/>
  <sheetViews>
    <sheetView showGridLines="0" tabSelected="1" zoomScaleNormal="100" workbookViewId="0">
      <selection activeCell="E22" sqref="E22"/>
    </sheetView>
  </sheetViews>
  <sheetFormatPr defaultColWidth="9.140625" defaultRowHeight="12.75"/>
  <cols>
    <col min="1" max="1" width="4.28515625" style="54" customWidth="1"/>
    <col min="2" max="2" width="55.7109375" style="54" bestFit="1" customWidth="1"/>
    <col min="3" max="8" width="17.85546875" style="54" customWidth="1"/>
    <col min="9" max="16384" width="9.140625" style="54"/>
  </cols>
  <sheetData>
    <row r="2" spans="2:8" s="36" customFormat="1">
      <c r="B2" s="35" t="s">
        <v>31</v>
      </c>
      <c r="C2" s="35"/>
      <c r="D2" s="35"/>
      <c r="E2" s="35"/>
      <c r="F2" s="35"/>
      <c r="G2" s="35"/>
      <c r="H2" s="35"/>
    </row>
    <row r="3" spans="2:8" s="36" customFormat="1" ht="18" customHeight="1">
      <c r="C3" s="37" t="s">
        <v>66</v>
      </c>
      <c r="D3" s="37" t="s">
        <v>42</v>
      </c>
      <c r="E3" s="37" t="s">
        <v>43</v>
      </c>
      <c r="F3" s="37" t="s">
        <v>44</v>
      </c>
      <c r="G3" s="37" t="s">
        <v>45</v>
      </c>
      <c r="H3" s="37" t="s">
        <v>46</v>
      </c>
    </row>
    <row r="4" spans="2:8" s="38" customFormat="1" ht="18" customHeight="1">
      <c r="B4" s="39" t="s">
        <v>67</v>
      </c>
      <c r="C4" s="40">
        <f>AVERAGE(D4:H4)</f>
        <v>1164101334.5847132</v>
      </c>
      <c r="D4" s="41">
        <v>1115922394.6137559</v>
      </c>
      <c r="E4" s="41">
        <v>1127081618.5598934</v>
      </c>
      <c r="F4" s="41">
        <v>1159177582.2547276</v>
      </c>
      <c r="G4" s="41">
        <v>1192187544.4289412</v>
      </c>
      <c r="H4" s="41">
        <v>1226137533.0662472</v>
      </c>
    </row>
    <row r="5" spans="2:8" s="44" customFormat="1" ht="18" customHeight="1">
      <c r="B5" s="42"/>
      <c r="C5" s="43"/>
      <c r="H5" s="45"/>
    </row>
    <row r="6" spans="2:8" s="36" customFormat="1" ht="18" customHeight="1">
      <c r="B6" s="46"/>
      <c r="C6" s="47"/>
      <c r="D6" s="37" t="s">
        <v>1</v>
      </c>
      <c r="E6" s="37" t="s">
        <v>13</v>
      </c>
      <c r="F6" s="37" t="s">
        <v>14</v>
      </c>
    </row>
    <row r="7" spans="2:8" s="36" customFormat="1" ht="18" customHeight="1">
      <c r="B7" s="39" t="s">
        <v>80</v>
      </c>
      <c r="C7" s="48"/>
      <c r="D7" s="49">
        <v>2578607.3017484429</v>
      </c>
      <c r="E7" s="49">
        <v>8159898.6917227935</v>
      </c>
      <c r="F7" s="49">
        <v>1922784.8971796958</v>
      </c>
      <c r="G7" s="50"/>
    </row>
    <row r="8" spans="2:8" ht="18" customHeight="1">
      <c r="B8" s="51"/>
      <c r="C8" s="52"/>
      <c r="D8" s="53"/>
      <c r="E8" s="53"/>
      <c r="F8" s="53"/>
    </row>
    <row r="9" spans="2:8" s="36" customFormat="1" ht="18" customHeight="1">
      <c r="B9" s="55" t="s">
        <v>63</v>
      </c>
      <c r="C9" s="56"/>
      <c r="D9" s="57">
        <v>42120</v>
      </c>
      <c r="E9" s="57">
        <v>42120</v>
      </c>
      <c r="F9" s="57">
        <v>42120</v>
      </c>
    </row>
    <row r="10" spans="2:8" ht="18" customHeight="1">
      <c r="B10" s="51"/>
      <c r="C10" s="58"/>
    </row>
    <row r="11" spans="2:8" s="36" customFormat="1" ht="18" customHeight="1">
      <c r="B11" s="55" t="s">
        <v>6</v>
      </c>
      <c r="C11" s="59">
        <f>C15/C14-1</f>
        <v>0.17125645438898451</v>
      </c>
    </row>
    <row r="12" spans="2:8" ht="18" customHeight="1">
      <c r="C12" s="53"/>
    </row>
    <row r="13" spans="2:8" ht="18" customHeight="1">
      <c r="B13" s="60" t="s">
        <v>32</v>
      </c>
      <c r="C13" s="53"/>
    </row>
    <row r="14" spans="2:8" s="36" customFormat="1" ht="18" customHeight="1">
      <c r="B14" s="61">
        <v>43800</v>
      </c>
      <c r="C14" s="62">
        <v>116.2</v>
      </c>
      <c r="D14" s="63"/>
      <c r="E14" s="38"/>
    </row>
    <row r="15" spans="2:8" s="36" customFormat="1" ht="18" customHeight="1">
      <c r="B15" s="61">
        <v>45261</v>
      </c>
      <c r="C15" s="62">
        <v>136.1</v>
      </c>
      <c r="D15" s="63"/>
      <c r="E15" s="3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50"/>
  <sheetViews>
    <sheetView showGridLines="0" topLeftCell="A11" zoomScaleNormal="100" workbookViewId="0">
      <selection activeCell="G18" sqref="G18"/>
    </sheetView>
  </sheetViews>
  <sheetFormatPr defaultColWidth="9.140625" defaultRowHeight="12.75"/>
  <cols>
    <col min="1" max="1" width="4" style="54" customWidth="1"/>
    <col min="2" max="2" width="19.42578125" style="54" customWidth="1"/>
    <col min="3" max="7" width="12.7109375" style="54" customWidth="1"/>
    <col min="8" max="8" width="18.42578125" style="54" customWidth="1"/>
    <col min="9" max="9" width="22.7109375" style="54" customWidth="1"/>
    <col min="10" max="10" width="3.42578125" style="54" customWidth="1"/>
    <col min="11" max="11" width="19.42578125" style="54" customWidth="1"/>
    <col min="12" max="16" width="12.7109375" style="54" customWidth="1"/>
    <col min="17" max="17" width="18.42578125" style="54" customWidth="1"/>
    <col min="18" max="18" width="22.7109375" style="54" customWidth="1"/>
    <col min="19" max="19" width="11.28515625" style="54" bestFit="1" customWidth="1"/>
    <col min="20" max="16384" width="9.140625" style="54"/>
  </cols>
  <sheetData>
    <row r="2" spans="2:18" ht="23.25" customHeight="1">
      <c r="B2" s="35" t="s">
        <v>33</v>
      </c>
      <c r="C2" s="79"/>
      <c r="D2" s="79"/>
      <c r="E2" s="79"/>
      <c r="F2" s="79"/>
      <c r="G2" s="79"/>
      <c r="H2" s="79"/>
      <c r="I2" s="79"/>
      <c r="J2" s="35"/>
      <c r="K2" s="35"/>
      <c r="L2" s="79"/>
      <c r="M2" s="79"/>
      <c r="N2" s="79"/>
      <c r="O2" s="79"/>
      <c r="P2" s="79"/>
      <c r="Q2" s="79"/>
      <c r="R2" s="79"/>
    </row>
    <row r="4" spans="2:18" s="36" customFormat="1" ht="19.5" customHeight="1">
      <c r="B4" s="80" t="s">
        <v>17</v>
      </c>
      <c r="C4" s="80"/>
      <c r="D4" s="80"/>
      <c r="E4" s="80"/>
      <c r="F4" s="80"/>
      <c r="G4" s="80"/>
      <c r="H4" s="80"/>
      <c r="I4" s="80"/>
      <c r="K4" s="80" t="s">
        <v>17</v>
      </c>
      <c r="L4" s="80"/>
      <c r="M4" s="80"/>
      <c r="N4" s="80"/>
      <c r="O4" s="80"/>
      <c r="P4" s="80"/>
      <c r="Q4" s="80"/>
      <c r="R4" s="80"/>
    </row>
    <row r="5" spans="2:18" ht="12.75" customHeight="1"/>
    <row r="6" spans="2:18" s="36" customFormat="1" ht="23.25" customHeight="1">
      <c r="B6" s="81" t="s">
        <v>7</v>
      </c>
      <c r="C6" s="82"/>
      <c r="D6" s="82"/>
      <c r="K6" s="81" t="s">
        <v>8</v>
      </c>
      <c r="L6" s="83"/>
      <c r="M6" s="84"/>
      <c r="N6" s="84"/>
      <c r="O6" s="84"/>
      <c r="P6" s="84"/>
      <c r="Q6" s="84"/>
      <c r="R6" s="84"/>
    </row>
    <row r="7" spans="2:18" s="36" customFormat="1" ht="28.5" customHeight="1">
      <c r="B7" s="85" t="s">
        <v>0</v>
      </c>
      <c r="C7" s="86" t="s">
        <v>9</v>
      </c>
      <c r="D7" s="86" t="s">
        <v>10</v>
      </c>
      <c r="E7" s="86" t="s">
        <v>11</v>
      </c>
      <c r="F7" s="86" t="s">
        <v>12</v>
      </c>
      <c r="G7" s="86" t="s">
        <v>15</v>
      </c>
      <c r="H7" s="86" t="s">
        <v>18</v>
      </c>
      <c r="I7" s="66" t="s">
        <v>19</v>
      </c>
      <c r="K7" s="87" t="s">
        <v>0</v>
      </c>
      <c r="L7" s="86" t="s">
        <v>9</v>
      </c>
      <c r="M7" s="86" t="s">
        <v>10</v>
      </c>
      <c r="N7" s="86" t="s">
        <v>11</v>
      </c>
      <c r="O7" s="86" t="s">
        <v>12</v>
      </c>
      <c r="P7" s="86" t="s">
        <v>15</v>
      </c>
      <c r="Q7" s="86" t="s">
        <v>18</v>
      </c>
      <c r="R7" s="66" t="s">
        <v>19</v>
      </c>
    </row>
    <row r="8" spans="2:18" s="36" customFormat="1" ht="20.25" customHeight="1">
      <c r="B8" s="88" t="s">
        <v>1</v>
      </c>
      <c r="C8" s="59">
        <v>0.997408895215525</v>
      </c>
      <c r="D8" s="59">
        <v>0.73205004000000073</v>
      </c>
      <c r="E8" s="59">
        <v>0.85780000000000001</v>
      </c>
      <c r="F8" s="59">
        <v>0.80945920462640952</v>
      </c>
      <c r="G8" s="59">
        <f>+'[1]PowerBI_actual performance'!$D$34</f>
        <v>0.87250000000000005</v>
      </c>
      <c r="H8" s="89">
        <f>AVERAGE($C8:$F8)</f>
        <v>0.84917953496048382</v>
      </c>
      <c r="I8" s="90">
        <f>AVERAGE($C8:$G8)</f>
        <v>0.8538436279683872</v>
      </c>
      <c r="J8" s="91"/>
      <c r="K8" s="92" t="s">
        <v>1</v>
      </c>
      <c r="L8" s="59">
        <v>80.27341496679766</v>
      </c>
      <c r="M8" s="59">
        <v>65.175585330000004</v>
      </c>
      <c r="N8" s="59">
        <v>68.547799999999995</v>
      </c>
      <c r="O8" s="59">
        <v>66.470236349159762</v>
      </c>
      <c r="P8" s="59">
        <f>+'[1]PowerBI_actual performance'!$C$34</f>
        <v>77.773799999999994</v>
      </c>
      <c r="Q8" s="89">
        <f>AVERAGE($L8:$O8)</f>
        <v>70.116759161489355</v>
      </c>
      <c r="R8" s="90">
        <f>AVERAGE($L8:$P8)</f>
        <v>71.64816732919148</v>
      </c>
    </row>
    <row r="9" spans="2:18" s="36" customFormat="1" ht="20.25" customHeight="1">
      <c r="B9" s="88" t="s">
        <v>13</v>
      </c>
      <c r="C9" s="59">
        <v>1.8141732923712177</v>
      </c>
      <c r="D9" s="59">
        <v>1.8650461000000018</v>
      </c>
      <c r="E9" s="59">
        <v>1.7663</v>
      </c>
      <c r="F9" s="59">
        <v>1.5975206420044092</v>
      </c>
      <c r="G9" s="59">
        <f>+'[1]PowerBI_actual performance'!$D$33</f>
        <v>1.5649</v>
      </c>
      <c r="H9" s="89">
        <f t="shared" ref="H9:H10" si="0">AVERAGE(C9:F9)</f>
        <v>1.7607600085939072</v>
      </c>
      <c r="I9" s="90">
        <f t="shared" ref="I9:I10" si="1">AVERAGE($C9:$G9)</f>
        <v>1.7215880068751257</v>
      </c>
      <c r="J9" s="91"/>
      <c r="K9" s="92" t="s">
        <v>13</v>
      </c>
      <c r="L9" s="59">
        <v>211.97380710803466</v>
      </c>
      <c r="M9" s="59">
        <v>230.35552069999986</v>
      </c>
      <c r="N9" s="59">
        <v>209.68520000000001</v>
      </c>
      <c r="O9" s="59">
        <v>200.37591788223298</v>
      </c>
      <c r="P9" s="59">
        <f>+'[1]PowerBI_actual performance'!$C$33</f>
        <v>202.7303</v>
      </c>
      <c r="Q9" s="89">
        <f t="shared" ref="Q9:Q10" si="2">AVERAGE(L9:O9)</f>
        <v>213.09761142256687</v>
      </c>
      <c r="R9" s="90">
        <f t="shared" ref="R9:R10" si="3">AVERAGE($L9:$P9)</f>
        <v>211.0241491380535</v>
      </c>
    </row>
    <row r="10" spans="2:18" s="36" customFormat="1" ht="20.25" customHeight="1">
      <c r="B10" s="88" t="s">
        <v>14</v>
      </c>
      <c r="C10" s="59">
        <v>3.2907612680766767</v>
      </c>
      <c r="D10" s="59">
        <v>2.905064939999999</v>
      </c>
      <c r="E10" s="59">
        <v>2.677</v>
      </c>
      <c r="F10" s="59">
        <v>2.7195804736180298</v>
      </c>
      <c r="G10" s="59">
        <f>+'[1]PowerBI_actual performance'!$D$32</f>
        <v>2.5762999999999998</v>
      </c>
      <c r="H10" s="89">
        <f t="shared" si="0"/>
        <v>2.8981016704236762</v>
      </c>
      <c r="I10" s="90">
        <f t="shared" si="1"/>
        <v>2.833741336338941</v>
      </c>
      <c r="J10" s="91"/>
      <c r="K10" s="92" t="s">
        <v>14</v>
      </c>
      <c r="L10" s="59">
        <v>536.70070428832514</v>
      </c>
      <c r="M10" s="59">
        <v>524.65160347999972</v>
      </c>
      <c r="N10" s="59">
        <v>451.99590000000001</v>
      </c>
      <c r="O10" s="59">
        <v>498.17019901511037</v>
      </c>
      <c r="P10" s="59">
        <f>+'[1]PowerBI_actual performance'!$C$32</f>
        <v>496.15499999999997</v>
      </c>
      <c r="Q10" s="89">
        <f t="shared" si="2"/>
        <v>502.87960169585881</v>
      </c>
      <c r="R10" s="90">
        <f t="shared" si="3"/>
        <v>501.53468135668697</v>
      </c>
    </row>
    <row r="11" spans="2:18">
      <c r="B11" s="93"/>
      <c r="C11" s="94"/>
      <c r="D11" s="94"/>
      <c r="E11" s="94"/>
      <c r="F11" s="94"/>
      <c r="G11" s="94"/>
      <c r="H11" s="94"/>
      <c r="I11" s="94"/>
      <c r="K11" s="95"/>
      <c r="L11" s="94"/>
      <c r="M11" s="94"/>
      <c r="N11" s="94"/>
      <c r="O11" s="94"/>
      <c r="P11" s="94"/>
      <c r="Q11" s="94"/>
      <c r="R11" s="94"/>
    </row>
    <row r="14" spans="2:18" s="36" customFormat="1" ht="22.5" customHeight="1">
      <c r="B14" s="80" t="s">
        <v>16</v>
      </c>
      <c r="C14" s="80"/>
      <c r="D14" s="80"/>
      <c r="E14" s="80"/>
      <c r="F14" s="80"/>
      <c r="G14" s="80"/>
      <c r="H14" s="80"/>
      <c r="I14" s="80"/>
      <c r="K14" s="80" t="s">
        <v>16</v>
      </c>
      <c r="L14" s="80"/>
      <c r="M14" s="80"/>
      <c r="N14" s="80"/>
      <c r="O14" s="80"/>
      <c r="P14" s="80"/>
      <c r="Q14" s="80"/>
      <c r="R14" s="80"/>
    </row>
    <row r="15" spans="2:18" ht="12" customHeight="1"/>
    <row r="16" spans="2:18" s="36" customFormat="1" ht="21.75" customHeight="1">
      <c r="B16" s="81" t="s">
        <v>7</v>
      </c>
      <c r="K16" s="81" t="s">
        <v>8</v>
      </c>
      <c r="L16" s="84"/>
      <c r="M16" s="84"/>
      <c r="N16" s="84"/>
      <c r="O16" s="84"/>
      <c r="P16" s="84"/>
      <c r="Q16" s="84"/>
      <c r="R16" s="84"/>
    </row>
    <row r="17" spans="2:18" s="36" customFormat="1" ht="28.5" customHeight="1">
      <c r="B17" s="85" t="s">
        <v>0</v>
      </c>
      <c r="C17" s="86" t="s">
        <v>9</v>
      </c>
      <c r="D17" s="86" t="s">
        <v>10</v>
      </c>
      <c r="E17" s="86" t="s">
        <v>11</v>
      </c>
      <c r="F17" s="86" t="s">
        <v>12</v>
      </c>
      <c r="G17" s="86" t="s">
        <v>15</v>
      </c>
      <c r="H17" s="86" t="s">
        <v>18</v>
      </c>
      <c r="I17" s="66" t="s">
        <v>19</v>
      </c>
      <c r="K17" s="85" t="s">
        <v>0</v>
      </c>
      <c r="L17" s="86" t="s">
        <v>9</v>
      </c>
      <c r="M17" s="86" t="s">
        <v>10</v>
      </c>
      <c r="N17" s="86" t="s">
        <v>11</v>
      </c>
      <c r="O17" s="86" t="s">
        <v>12</v>
      </c>
      <c r="P17" s="86" t="s">
        <v>15</v>
      </c>
      <c r="Q17" s="86" t="s">
        <v>18</v>
      </c>
      <c r="R17" s="66" t="s">
        <v>19</v>
      </c>
    </row>
    <row r="18" spans="2:18" s="36" customFormat="1" ht="20.25" customHeight="1">
      <c r="B18" s="88" t="s">
        <v>1</v>
      </c>
      <c r="C18" s="59">
        <v>0.997408895215525</v>
      </c>
      <c r="D18" s="59">
        <v>0.73205004000000073</v>
      </c>
      <c r="E18" s="59">
        <v>0.85780827212988087</v>
      </c>
      <c r="F18" s="59">
        <v>0.80946132470069665</v>
      </c>
      <c r="G18" s="59"/>
      <c r="H18" s="89">
        <f>AVERAGE(C18:F18)</f>
        <v>0.84918213301152579</v>
      </c>
      <c r="I18" s="90">
        <f t="shared" ref="I18:I20" si="4">AVERAGE($C18:$G18)</f>
        <v>0.84918213301152579</v>
      </c>
      <c r="J18" s="91"/>
      <c r="K18" s="92" t="s">
        <v>1</v>
      </c>
      <c r="L18" s="59">
        <v>80.273414966797532</v>
      </c>
      <c r="M18" s="59">
        <v>65.175585330000004</v>
      </c>
      <c r="N18" s="59">
        <v>68.547777348279851</v>
      </c>
      <c r="O18" s="59">
        <v>66.470410442972408</v>
      </c>
      <c r="P18" s="59"/>
      <c r="Q18" s="89">
        <f>AVERAGE(L18:O18)</f>
        <v>70.116797022012449</v>
      </c>
      <c r="R18" s="90">
        <f t="shared" ref="R18:R20" si="5">AVERAGE($L18:$P18)</f>
        <v>70.116797022012449</v>
      </c>
    </row>
    <row r="19" spans="2:18" s="36" customFormat="1" ht="20.25" customHeight="1">
      <c r="B19" s="88" t="s">
        <v>13</v>
      </c>
      <c r="C19" s="59">
        <v>1.8141732923712177</v>
      </c>
      <c r="D19" s="59">
        <v>1.8650461000000018</v>
      </c>
      <c r="E19" s="59">
        <v>1.7662558686463072</v>
      </c>
      <c r="F19" s="59">
        <v>1.5975206420044088</v>
      </c>
      <c r="G19" s="59"/>
      <c r="H19" s="89">
        <f t="shared" ref="H19:H20" si="6">AVERAGE(C19:F19)</f>
        <v>1.7607489757554839</v>
      </c>
      <c r="I19" s="90">
        <f t="shared" si="4"/>
        <v>1.7607489757554839</v>
      </c>
      <c r="J19" s="91"/>
      <c r="K19" s="92" t="s">
        <v>13</v>
      </c>
      <c r="L19" s="59">
        <v>211.97380710803466</v>
      </c>
      <c r="M19" s="59">
        <v>230.35552069999986</v>
      </c>
      <c r="N19" s="59">
        <v>209.68516846416074</v>
      </c>
      <c r="O19" s="59">
        <v>200.37591788223324</v>
      </c>
      <c r="P19" s="59"/>
      <c r="Q19" s="89">
        <f t="shared" ref="Q19:Q20" si="7">AVERAGE(L19:O19)</f>
        <v>213.09760353860713</v>
      </c>
      <c r="R19" s="90">
        <f t="shared" si="5"/>
        <v>213.09760353860713</v>
      </c>
    </row>
    <row r="20" spans="2:18" s="36" customFormat="1" ht="20.25" customHeight="1">
      <c r="B20" s="88" t="s">
        <v>14</v>
      </c>
      <c r="C20" s="59">
        <v>3.2907612680766767</v>
      </c>
      <c r="D20" s="59">
        <v>2.905064939999999</v>
      </c>
      <c r="E20" s="59">
        <v>2.6770272751670268</v>
      </c>
      <c r="F20" s="59">
        <v>2.7195900260273063</v>
      </c>
      <c r="G20" s="59"/>
      <c r="H20" s="89">
        <f t="shared" si="6"/>
        <v>2.8981108773177522</v>
      </c>
      <c r="I20" s="90">
        <f t="shared" si="4"/>
        <v>2.8981108773177522</v>
      </c>
      <c r="J20" s="91"/>
      <c r="K20" s="92" t="s">
        <v>14</v>
      </c>
      <c r="L20" s="59">
        <v>536.70070428832514</v>
      </c>
      <c r="M20" s="59">
        <v>524.65160347999972</v>
      </c>
      <c r="N20" s="59">
        <v>451.9961509668488</v>
      </c>
      <c r="O20" s="59">
        <v>498.17194881647754</v>
      </c>
      <c r="P20" s="59"/>
      <c r="Q20" s="89">
        <f t="shared" si="7"/>
        <v>502.88010188791282</v>
      </c>
      <c r="R20" s="90">
        <f t="shared" si="5"/>
        <v>502.88010188791282</v>
      </c>
    </row>
    <row r="21" spans="2:18">
      <c r="B21" s="93"/>
      <c r="C21" s="94"/>
      <c r="D21" s="94"/>
      <c r="E21" s="94"/>
      <c r="F21" s="94"/>
      <c r="G21" s="94"/>
      <c r="H21" s="94"/>
      <c r="I21" s="94"/>
      <c r="K21" s="93"/>
      <c r="L21" s="94"/>
      <c r="M21" s="94"/>
      <c r="N21" s="94"/>
      <c r="O21" s="94"/>
      <c r="P21" s="94"/>
      <c r="Q21" s="94"/>
      <c r="R21" s="94"/>
    </row>
    <row r="24" spans="2:18" s="36" customFormat="1" ht="22.5" customHeight="1">
      <c r="B24" s="80" t="s">
        <v>64</v>
      </c>
      <c r="C24" s="80"/>
      <c r="D24" s="80"/>
      <c r="E24" s="80"/>
      <c r="F24" s="80"/>
      <c r="G24" s="80"/>
      <c r="H24" s="80"/>
      <c r="I24" s="80"/>
      <c r="K24" s="80" t="s">
        <v>64</v>
      </c>
      <c r="L24" s="80"/>
      <c r="M24" s="80"/>
      <c r="N24" s="80"/>
      <c r="O24" s="80"/>
      <c r="P24" s="80"/>
      <c r="Q24" s="80"/>
      <c r="R24" s="80"/>
    </row>
    <row r="25" spans="2:18" ht="9" customHeight="1"/>
    <row r="26" spans="2:18" s="36" customFormat="1" ht="23.25" customHeight="1">
      <c r="B26" s="81" t="s">
        <v>7</v>
      </c>
      <c r="K26" s="81" t="s">
        <v>8</v>
      </c>
      <c r="L26" s="84"/>
      <c r="M26" s="84"/>
      <c r="N26" s="84"/>
      <c r="O26" s="84"/>
      <c r="P26" s="84"/>
      <c r="Q26" s="84"/>
      <c r="R26" s="84"/>
    </row>
    <row r="27" spans="2:18" s="36" customFormat="1" ht="28.5" customHeight="1">
      <c r="B27" s="85" t="s">
        <v>0</v>
      </c>
      <c r="C27" s="86" t="s">
        <v>9</v>
      </c>
      <c r="D27" s="86" t="s">
        <v>10</v>
      </c>
      <c r="E27" s="86" t="s">
        <v>11</v>
      </c>
      <c r="F27" s="86" t="s">
        <v>12</v>
      </c>
      <c r="G27" s="86" t="s">
        <v>15</v>
      </c>
      <c r="H27" s="86" t="s">
        <v>18</v>
      </c>
      <c r="I27" s="66" t="s">
        <v>19</v>
      </c>
      <c r="K27" s="85" t="s">
        <v>0</v>
      </c>
      <c r="L27" s="86" t="s">
        <v>9</v>
      </c>
      <c r="M27" s="86" t="s">
        <v>10</v>
      </c>
      <c r="N27" s="86" t="s">
        <v>11</v>
      </c>
      <c r="O27" s="86" t="s">
        <v>12</v>
      </c>
      <c r="P27" s="86" t="s">
        <v>15</v>
      </c>
      <c r="Q27" s="86" t="s">
        <v>18</v>
      </c>
      <c r="R27" s="66" t="s">
        <v>19</v>
      </c>
    </row>
    <row r="28" spans="2:18" s="36" customFormat="1" ht="20.25" customHeight="1">
      <c r="B28" s="88" t="s">
        <v>1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96">
        <f>AVERAGE(C28:F28)</f>
        <v>0</v>
      </c>
      <c r="I28" s="90">
        <f t="shared" ref="I28:I30" si="8">AVERAGE($C28:$G28)</f>
        <v>0</v>
      </c>
      <c r="J28" s="91"/>
      <c r="K28" s="92" t="s">
        <v>1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6">
        <f>AVERAGE(L28:O28)</f>
        <v>0</v>
      </c>
      <c r="R28" s="90">
        <f t="shared" ref="R28:R30" si="9">AVERAGE($L28:$P28)</f>
        <v>0</v>
      </c>
    </row>
    <row r="29" spans="2:18" s="36" customFormat="1" ht="20.25" customHeight="1">
      <c r="B29" s="88" t="s">
        <v>13</v>
      </c>
      <c r="C29" s="59">
        <v>3.0505844571584251E-3</v>
      </c>
      <c r="D29" s="59">
        <v>3.0505844571584251E-3</v>
      </c>
      <c r="E29" s="59">
        <v>3.0505844571584251E-3</v>
      </c>
      <c r="F29" s="59">
        <v>3.0505844571584251E-3</v>
      </c>
      <c r="G29" s="59">
        <v>3.0505844571584251E-3</v>
      </c>
      <c r="H29" s="96">
        <f t="shared" ref="H29:H30" si="10">AVERAGE(C29:F29)</f>
        <v>3.0505844571584251E-3</v>
      </c>
      <c r="I29" s="90">
        <f t="shared" si="8"/>
        <v>3.0505844571584251E-3</v>
      </c>
      <c r="J29" s="91"/>
      <c r="K29" s="92" t="s">
        <v>13</v>
      </c>
      <c r="L29" s="97">
        <v>0.68407857505329861</v>
      </c>
      <c r="M29" s="97">
        <v>0.68407857505329861</v>
      </c>
      <c r="N29" s="97">
        <v>0.68407857505329861</v>
      </c>
      <c r="O29" s="97">
        <v>0.68407857505329861</v>
      </c>
      <c r="P29" s="97">
        <v>0.68407857505329861</v>
      </c>
      <c r="Q29" s="96">
        <f t="shared" ref="Q29:Q30" si="11">AVERAGE(L29:O29)</f>
        <v>0.68407857505329861</v>
      </c>
      <c r="R29" s="90">
        <f t="shared" si="9"/>
        <v>0.68407857505329861</v>
      </c>
    </row>
    <row r="30" spans="2:18" s="36" customFormat="1" ht="20.25" customHeight="1">
      <c r="B30" s="88" t="s">
        <v>14</v>
      </c>
      <c r="C30" s="59">
        <v>2.3572665097067323E-2</v>
      </c>
      <c r="D30" s="59">
        <v>2.3572665097067323E-2</v>
      </c>
      <c r="E30" s="59">
        <v>2.3572665097067323E-2</v>
      </c>
      <c r="F30" s="59">
        <v>2.3572665097067323E-2</v>
      </c>
      <c r="G30" s="59">
        <v>2.3572665097067323E-2</v>
      </c>
      <c r="H30" s="96">
        <f t="shared" si="10"/>
        <v>2.3572665097067323E-2</v>
      </c>
      <c r="I30" s="90">
        <f t="shared" si="8"/>
        <v>2.3572665097067323E-2</v>
      </c>
      <c r="J30" s="91"/>
      <c r="K30" s="92" t="s">
        <v>14</v>
      </c>
      <c r="L30" s="97">
        <v>3.8028512926249132</v>
      </c>
      <c r="M30" s="97">
        <v>3.8028512926249132</v>
      </c>
      <c r="N30" s="97">
        <v>3.8028512926249132</v>
      </c>
      <c r="O30" s="97">
        <v>3.8028512926249132</v>
      </c>
      <c r="P30" s="97">
        <v>3.8028512926249132</v>
      </c>
      <c r="Q30" s="96">
        <f t="shared" si="11"/>
        <v>3.8028512926249132</v>
      </c>
      <c r="R30" s="90">
        <f t="shared" si="9"/>
        <v>3.8028512926249136</v>
      </c>
    </row>
    <row r="31" spans="2:18">
      <c r="B31" s="93"/>
      <c r="C31" s="94"/>
      <c r="D31" s="94"/>
      <c r="E31" s="94"/>
      <c r="F31" s="94"/>
      <c r="G31" s="94"/>
      <c r="H31" s="94"/>
      <c r="I31" s="94"/>
      <c r="K31" s="93"/>
      <c r="L31" s="94"/>
      <c r="M31" s="94"/>
      <c r="N31" s="94"/>
      <c r="O31" s="94"/>
      <c r="P31" s="94"/>
      <c r="Q31" s="94"/>
      <c r="R31" s="94"/>
    </row>
    <row r="34" spans="2:18" s="36" customFormat="1" ht="22.5" customHeight="1">
      <c r="B34" s="80" t="s">
        <v>20</v>
      </c>
      <c r="C34" s="80"/>
      <c r="D34" s="80"/>
      <c r="E34" s="80"/>
      <c r="F34" s="80"/>
      <c r="G34" s="80"/>
      <c r="H34" s="80"/>
      <c r="I34" s="80"/>
      <c r="K34" s="80" t="s">
        <v>20</v>
      </c>
      <c r="L34" s="80"/>
      <c r="M34" s="80"/>
      <c r="N34" s="80"/>
      <c r="O34" s="80"/>
      <c r="P34" s="80"/>
      <c r="Q34" s="80"/>
      <c r="R34" s="80"/>
    </row>
    <row r="35" spans="2:18" ht="10.5" customHeight="1"/>
    <row r="36" spans="2:18" s="36" customFormat="1" ht="20.25" customHeight="1">
      <c r="B36" s="81" t="s">
        <v>7</v>
      </c>
      <c r="K36" s="81" t="s">
        <v>8</v>
      </c>
      <c r="L36" s="84"/>
      <c r="M36" s="84"/>
      <c r="N36" s="84"/>
      <c r="O36" s="84"/>
      <c r="P36" s="84"/>
      <c r="Q36" s="84"/>
      <c r="R36" s="84"/>
    </row>
    <row r="37" spans="2:18" s="36" customFormat="1" ht="25.5" customHeight="1">
      <c r="B37" s="85" t="s">
        <v>0</v>
      </c>
      <c r="C37" s="86" t="s">
        <v>9</v>
      </c>
      <c r="D37" s="86" t="s">
        <v>10</v>
      </c>
      <c r="E37" s="86" t="s">
        <v>11</v>
      </c>
      <c r="F37" s="86" t="s">
        <v>12</v>
      </c>
      <c r="G37" s="86" t="s">
        <v>15</v>
      </c>
      <c r="H37" s="86" t="s">
        <v>18</v>
      </c>
      <c r="I37" s="66" t="s">
        <v>19</v>
      </c>
      <c r="K37" s="85" t="s">
        <v>0</v>
      </c>
      <c r="L37" s="86" t="s">
        <v>9</v>
      </c>
      <c r="M37" s="86" t="s">
        <v>10</v>
      </c>
      <c r="N37" s="86" t="s">
        <v>11</v>
      </c>
      <c r="O37" s="86" t="s">
        <v>12</v>
      </c>
      <c r="P37" s="86" t="s">
        <v>15</v>
      </c>
      <c r="Q37" s="86" t="s">
        <v>18</v>
      </c>
      <c r="R37" s="66" t="s">
        <v>19</v>
      </c>
    </row>
    <row r="38" spans="2:18" s="36" customFormat="1" ht="24" customHeight="1">
      <c r="B38" s="88" t="s">
        <v>1</v>
      </c>
      <c r="C38" s="59">
        <f t="shared" ref="C38:G40" si="12">C8-C28</f>
        <v>0.997408895215525</v>
      </c>
      <c r="D38" s="59">
        <f t="shared" si="12"/>
        <v>0.73205004000000073</v>
      </c>
      <c r="E38" s="59">
        <f t="shared" si="12"/>
        <v>0.85780000000000001</v>
      </c>
      <c r="F38" s="59">
        <f t="shared" si="12"/>
        <v>0.80945920462640952</v>
      </c>
      <c r="G38" s="59">
        <f t="shared" si="12"/>
        <v>0.87250000000000005</v>
      </c>
      <c r="H38" s="89">
        <f t="shared" ref="H38:H40" si="13">AVERAGE(C38:F38)</f>
        <v>0.84917953496048382</v>
      </c>
      <c r="I38" s="90">
        <f t="shared" ref="I38:I40" si="14">AVERAGE($C38:$G38)</f>
        <v>0.8538436279683872</v>
      </c>
      <c r="J38" s="91"/>
      <c r="K38" s="92" t="s">
        <v>1</v>
      </c>
      <c r="L38" s="59">
        <f t="shared" ref="L38:P40" si="15">L8-L28</f>
        <v>80.27341496679766</v>
      </c>
      <c r="M38" s="59">
        <f t="shared" si="15"/>
        <v>65.175585330000004</v>
      </c>
      <c r="N38" s="59">
        <f t="shared" si="15"/>
        <v>68.547799999999995</v>
      </c>
      <c r="O38" s="59">
        <f t="shared" si="15"/>
        <v>66.470236349159762</v>
      </c>
      <c r="P38" s="59">
        <f t="shared" si="15"/>
        <v>77.773799999999994</v>
      </c>
      <c r="Q38" s="89">
        <f t="shared" ref="Q38:Q40" si="16">AVERAGE(L38:O38)</f>
        <v>70.116759161489355</v>
      </c>
      <c r="R38" s="90">
        <f t="shared" ref="R38:R40" si="17">AVERAGE($L38:$P38)</f>
        <v>71.64816732919148</v>
      </c>
    </row>
    <row r="39" spans="2:18" s="36" customFormat="1" ht="24" customHeight="1">
      <c r="B39" s="88" t="s">
        <v>13</v>
      </c>
      <c r="C39" s="59">
        <f t="shared" si="12"/>
        <v>1.8111227079140593</v>
      </c>
      <c r="D39" s="59">
        <f t="shared" si="12"/>
        <v>1.8619955155428434</v>
      </c>
      <c r="E39" s="59">
        <f t="shared" si="12"/>
        <v>1.7632494155428415</v>
      </c>
      <c r="F39" s="59">
        <f t="shared" si="12"/>
        <v>1.5944700575472508</v>
      </c>
      <c r="G39" s="59">
        <f t="shared" si="12"/>
        <v>1.5618494155428415</v>
      </c>
      <c r="H39" s="89">
        <f t="shared" si="13"/>
        <v>1.7577094241367488</v>
      </c>
      <c r="I39" s="90">
        <f t="shared" si="14"/>
        <v>1.7185374224179675</v>
      </c>
      <c r="J39" s="91"/>
      <c r="K39" s="92" t="s">
        <v>13</v>
      </c>
      <c r="L39" s="59">
        <f t="shared" si="15"/>
        <v>211.28972853298137</v>
      </c>
      <c r="M39" s="59">
        <f t="shared" si="15"/>
        <v>229.67144212494657</v>
      </c>
      <c r="N39" s="59">
        <f t="shared" si="15"/>
        <v>209.00112142494672</v>
      </c>
      <c r="O39" s="59">
        <f t="shared" si="15"/>
        <v>199.69183930717969</v>
      </c>
      <c r="P39" s="59">
        <f t="shared" si="15"/>
        <v>202.04622142494671</v>
      </c>
      <c r="Q39" s="89">
        <f t="shared" si="16"/>
        <v>212.41353284751358</v>
      </c>
      <c r="R39" s="90">
        <f t="shared" si="17"/>
        <v>210.34007056300021</v>
      </c>
    </row>
    <row r="40" spans="2:18" s="36" customFormat="1" ht="24" customHeight="1">
      <c r="B40" s="88" t="s">
        <v>14</v>
      </c>
      <c r="C40" s="59">
        <f t="shared" si="12"/>
        <v>3.2671886029796093</v>
      </c>
      <c r="D40" s="59">
        <f t="shared" si="12"/>
        <v>2.8814922749029317</v>
      </c>
      <c r="E40" s="59">
        <f t="shared" si="12"/>
        <v>2.6534273349029327</v>
      </c>
      <c r="F40" s="59">
        <f t="shared" si="12"/>
        <v>2.6960078085209624</v>
      </c>
      <c r="G40" s="59">
        <f t="shared" si="12"/>
        <v>2.5527273349029325</v>
      </c>
      <c r="H40" s="89">
        <f t="shared" si="13"/>
        <v>2.8745290053266088</v>
      </c>
      <c r="I40" s="90">
        <f t="shared" si="14"/>
        <v>2.8101686712418736</v>
      </c>
      <c r="J40" s="91"/>
      <c r="K40" s="92" t="s">
        <v>14</v>
      </c>
      <c r="L40" s="59">
        <f t="shared" si="15"/>
        <v>532.89785299570019</v>
      </c>
      <c r="M40" s="59">
        <f t="shared" si="15"/>
        <v>520.84875218737477</v>
      </c>
      <c r="N40" s="59">
        <f t="shared" si="15"/>
        <v>448.19304870737511</v>
      </c>
      <c r="O40" s="59">
        <f t="shared" si="15"/>
        <v>494.36734772248548</v>
      </c>
      <c r="P40" s="59">
        <f t="shared" si="15"/>
        <v>492.35214870737508</v>
      </c>
      <c r="Q40" s="89">
        <f t="shared" si="16"/>
        <v>499.07675040323386</v>
      </c>
      <c r="R40" s="90">
        <f t="shared" si="17"/>
        <v>497.73183006406208</v>
      </c>
    </row>
    <row r="41" spans="2:18">
      <c r="B41" s="93"/>
      <c r="C41" s="94"/>
      <c r="D41" s="94"/>
      <c r="E41" s="94"/>
      <c r="F41" s="94"/>
      <c r="G41" s="94"/>
      <c r="H41" s="94"/>
      <c r="I41" s="94"/>
      <c r="K41" s="93"/>
      <c r="L41" s="94"/>
      <c r="M41" s="94"/>
      <c r="N41" s="94"/>
      <c r="O41" s="94"/>
      <c r="P41" s="94"/>
      <c r="Q41" s="94"/>
      <c r="R41" s="94"/>
    </row>
    <row r="46" spans="2:18"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</row>
    <row r="47" spans="2:18"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</row>
    <row r="48" spans="2:18"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</row>
    <row r="49" spans="3:18"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</row>
    <row r="50" spans="3:18"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24"/>
  <sheetViews>
    <sheetView showGridLines="0" topLeftCell="B1" zoomScaleNormal="100" workbookViewId="0">
      <selection activeCell="F9" sqref="F9"/>
    </sheetView>
  </sheetViews>
  <sheetFormatPr defaultColWidth="9.140625" defaultRowHeight="12.75"/>
  <cols>
    <col min="1" max="1" width="6.5703125" style="54" customWidth="1"/>
    <col min="2" max="2" width="71.28515625" style="54" customWidth="1"/>
    <col min="3" max="3" width="14.28515625" style="53" customWidth="1"/>
    <col min="4" max="6" width="19.28515625" style="54" customWidth="1"/>
    <col min="7" max="7" width="23" style="54" bestFit="1" customWidth="1"/>
    <col min="8" max="16384" width="9.140625" style="54"/>
  </cols>
  <sheetData>
    <row r="2" spans="2:6" ht="27.75" customHeight="1">
      <c r="B2" s="35" t="s">
        <v>25</v>
      </c>
      <c r="C2" s="64"/>
      <c r="D2" s="65"/>
      <c r="E2" s="65"/>
      <c r="F2" s="65"/>
    </row>
    <row r="3" spans="2:6" ht="11.45" customHeight="1"/>
    <row r="4" spans="2:6" ht="27.75" customHeight="1">
      <c r="B4" s="66" t="s">
        <v>58</v>
      </c>
      <c r="C4" s="67"/>
      <c r="D4" s="66" t="s">
        <v>1</v>
      </c>
      <c r="E4" s="66" t="s">
        <v>13</v>
      </c>
      <c r="F4" s="66" t="s">
        <v>14</v>
      </c>
    </row>
    <row r="5" spans="2:6" s="36" customFormat="1" ht="27.75" customHeight="1">
      <c r="B5" s="55" t="s">
        <v>62</v>
      </c>
      <c r="C5" s="62" t="s">
        <v>71</v>
      </c>
      <c r="D5" s="68">
        <f>'STPIS inputs'!D9</f>
        <v>42120</v>
      </c>
      <c r="E5" s="68">
        <f>'STPIS inputs'!E9</f>
        <v>42120</v>
      </c>
      <c r="F5" s="68">
        <f>'STPIS inputs'!F9</f>
        <v>42120</v>
      </c>
    </row>
    <row r="6" spans="2:6" s="36" customFormat="1" ht="27.75" customHeight="1">
      <c r="B6" s="55" t="s">
        <v>61</v>
      </c>
      <c r="C6" s="62" t="s">
        <v>72</v>
      </c>
      <c r="D6" s="69">
        <f>'STPIS inputs'!D7</f>
        <v>2578607.3017484429</v>
      </c>
      <c r="E6" s="69">
        <f>'STPIS inputs'!E7</f>
        <v>8159898.6917227935</v>
      </c>
      <c r="F6" s="69">
        <f>'STPIS inputs'!F7</f>
        <v>1922784.8971796958</v>
      </c>
    </row>
    <row r="7" spans="2:6" s="36" customFormat="1" ht="27.75" customHeight="1">
      <c r="B7" s="55" t="s">
        <v>60</v>
      </c>
      <c r="C7" s="62" t="s">
        <v>2</v>
      </c>
      <c r="D7" s="70">
        <f>'STPIS inputs'!$C$4</f>
        <v>1164101334.5847132</v>
      </c>
      <c r="E7" s="70">
        <f>'STPIS inputs'!$C$4</f>
        <v>1164101334.5847132</v>
      </c>
      <c r="F7" s="70">
        <f>'STPIS inputs'!$C$4</f>
        <v>1164101334.5847132</v>
      </c>
    </row>
    <row r="8" spans="2:6" s="36" customFormat="1" ht="27.75" customHeight="1">
      <c r="B8" s="55" t="s">
        <v>4</v>
      </c>
      <c r="C8" s="62" t="s">
        <v>73</v>
      </c>
      <c r="D8" s="71">
        <f>+'Annual performance and targets'!I38</f>
        <v>0.8538436279683872</v>
      </c>
      <c r="E8" s="71">
        <f>+'Annual performance and targets'!I39</f>
        <v>1.7185374224179675</v>
      </c>
      <c r="F8" s="71">
        <f>+'Annual performance and targets'!I40</f>
        <v>2.8101686712418736</v>
      </c>
    </row>
    <row r="9" spans="2:6" s="36" customFormat="1" ht="27.75" customHeight="1">
      <c r="B9" s="55" t="s">
        <v>5</v>
      </c>
      <c r="C9" s="62" t="s">
        <v>74</v>
      </c>
      <c r="D9" s="71">
        <f>+'Annual performance and targets'!R38</f>
        <v>71.64816732919148</v>
      </c>
      <c r="E9" s="71">
        <f>+'Annual performance and targets'!R39</f>
        <v>210.34007056300021</v>
      </c>
      <c r="F9" s="71">
        <f>+'Annual performance and targets'!R40</f>
        <v>497.73183006406208</v>
      </c>
    </row>
    <row r="10" spans="2:6" s="36" customFormat="1" ht="27.75" customHeight="1">
      <c r="B10" s="72" t="s">
        <v>69</v>
      </c>
      <c r="C10" s="62" t="s">
        <v>75</v>
      </c>
      <c r="D10" s="73">
        <v>1.5</v>
      </c>
      <c r="E10" s="73">
        <v>1.5</v>
      </c>
      <c r="F10" s="73">
        <v>1.5</v>
      </c>
    </row>
    <row r="11" spans="2:6" s="36" customFormat="1" ht="27.75" customHeight="1">
      <c r="B11" s="72" t="s">
        <v>68</v>
      </c>
      <c r="C11" s="62" t="s">
        <v>6</v>
      </c>
      <c r="D11" s="74">
        <f>'STPIS inputs'!$C$11</f>
        <v>0.17125645438898451</v>
      </c>
      <c r="E11" s="74">
        <f>'STPIS inputs'!$C$11</f>
        <v>0.17125645438898451</v>
      </c>
      <c r="F11" s="74">
        <f>'STPIS inputs'!$C$11</f>
        <v>0.17125645438898451</v>
      </c>
    </row>
    <row r="12" spans="2:6" s="36" customFormat="1" ht="27.75" customHeight="1">
      <c r="B12" s="55" t="s">
        <v>26</v>
      </c>
      <c r="C12" s="62"/>
      <c r="D12" s="74">
        <f t="shared" ref="D12:F12" si="0">((D5*(1+D11)*(1-(1/(1+D10)))*D6)/D7)/(365.25*24*60)*100</f>
        <v>1.2466177729789012E-2</v>
      </c>
      <c r="E12" s="74">
        <f t="shared" si="0"/>
        <v>3.9448716087600984E-2</v>
      </c>
      <c r="F12" s="74">
        <f t="shared" si="0"/>
        <v>9.2956295625717424E-3</v>
      </c>
    </row>
    <row r="13" spans="2:6" s="36" customFormat="1" ht="27.75" customHeight="1">
      <c r="B13" s="55" t="s">
        <v>27</v>
      </c>
      <c r="C13" s="62"/>
      <c r="D13" s="74">
        <f t="shared" ref="D13:F13" si="1">((((((D5*(1+D11))/(1+D10))*D6))/D7)/(365.25*24*60))*(D9/D8)*100</f>
        <v>0.69737889443493628</v>
      </c>
      <c r="E13" s="74">
        <f t="shared" si="1"/>
        <v>3.2188788820247853</v>
      </c>
      <c r="F13" s="74">
        <f t="shared" si="1"/>
        <v>1.0976163723135235</v>
      </c>
    </row>
    <row r="16" spans="2:6">
      <c r="C16" s="75"/>
    </row>
    <row r="17" spans="2:3">
      <c r="C17" s="75"/>
    </row>
    <row r="19" spans="2:3">
      <c r="B19" s="76"/>
    </row>
    <row r="20" spans="2:3">
      <c r="B20" s="76"/>
    </row>
    <row r="22" spans="2:3">
      <c r="B22" s="77"/>
    </row>
    <row r="23" spans="2:3">
      <c r="B23" s="76"/>
    </row>
    <row r="24" spans="2:3">
      <c r="B24" s="78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William Godwin</DisplayName>
        <AccountId>3592</AccountId>
        <AccountType/>
      </UserInfo>
    </Person_x0020_or_x0020_Group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Draft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p r o p e r t i e s   x m l n s = " h t t p : / / w w w . i m a n a g e . c o m / w o r k / x m l s c h e m a " >  
     < d o c u m e n t i d > A C C C a n d A E R ! 1 5 8 0 7 2 4 3 . 1 < / d o c u m e n t i d >  
     < s e n d e r i d > P W U < / s e n d e r i d >  
     < s e n d e r e m a i l > P A T R I C K . W U @ A C C C . G O V . A U < / s e n d e r e m a i l >  
     < l a s t m o d i f i e d > 2 0 2 3 - 0 9 - 2 0 T 0 8 : 1 0 : 2 9 . 0 0 0 0 0 0 0 + 1 0 : 0 0 < / l a s t m o d i f i e d >  
     < d a t a b a s e > A C C C a n d A E R < / d a t a b a s e >  
 < / p r o p e r t i e s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E472E08-CC30-4362-88AA-B9EC68F20FF4}">
  <ds:schemaRefs>
    <ds:schemaRef ds:uri="http://purl.org/dc/terms/"/>
    <ds:schemaRef ds:uri="http://schemas.microsoft.com/office/2006/documentManagement/types"/>
    <ds:schemaRef ds:uri="8f493e50-f4fa-4672-bec5-6587e791f720"/>
    <ds:schemaRef ds:uri="http://purl.org/dc/elements/1.1/"/>
    <ds:schemaRef ds:uri="http://schemas.microsoft.com/office/2006/metadata/properties"/>
    <ds:schemaRef ds:uri="http://schemas.microsoft.com/office/infopath/2007/PartnerControls"/>
    <ds:schemaRef ds:uri="cdf0dde9-ebef-4e0b-9cde-c91850d92f2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AE3BAD-1246-41E3-8037-5CA99C4875AB}">
  <ds:schemaRefs>
    <ds:schemaRef ds:uri="http://www.imanage.com/work/xmlschema"/>
  </ds:schemaRefs>
</ds:datastoreItem>
</file>

<file path=customXml/itemProps5.xml><?xml version="1.0" encoding="utf-8"?>
<ds:datastoreItem xmlns:ds="http://schemas.openxmlformats.org/officeDocument/2006/customXml" ds:itemID="{FFE2F6CE-1DF0-4E9F-A53C-2006F4D5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cdf0dde9-ebef-4e0b-9cde-c91850d92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Output | decision tables</vt:lpstr>
      <vt:lpstr>STPIS inputs</vt:lpstr>
      <vt:lpstr>Annual performance and targets</vt:lpstr>
      <vt:lpstr>Incentive rates 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Zula Altai</dc:creator>
  <cp:lastModifiedBy>Vu Lam</cp:lastModifiedBy>
  <dcterms:created xsi:type="dcterms:W3CDTF">2021-10-04T03:52:19Z</dcterms:created>
  <dcterms:modified xsi:type="dcterms:W3CDTF">2024-04-22T06:04:41Z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</Properties>
</file>