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voenergy\4. Final decision\Publish\"/>
    </mc:Choice>
  </mc:AlternateContent>
  <xr:revisionPtr revIDLastSave="0" documentId="13_ncr:1_{C4E7C5AE-681A-499C-AC66-8F7DD38F2BAF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Input|Dx Tx split" sheetId="61" r:id="rId8"/>
    <sheet name="Output|Models" sheetId="44" r:id="rId9"/>
    <sheet name="Output|Decomposition" sheetId="60" r:id="rId10"/>
    <sheet name="Lookup|Tables" sheetId="4" r:id="rId11"/>
    <sheet name="Check|List" sheetId="16" r:id="rId12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58" l="1"/>
  <c r="C22" i="44"/>
  <c r="E27" i="44"/>
  <c r="C27" i="44"/>
  <c r="E26" i="44"/>
  <c r="C26" i="44"/>
  <c r="E25" i="44"/>
  <c r="C25" i="44"/>
  <c r="E24" i="44"/>
  <c r="C24" i="44"/>
  <c r="E23" i="44"/>
  <c r="C23" i="44"/>
  <c r="E22" i="44"/>
  <c r="E111" i="42" l="1"/>
  <c r="E110" i="42"/>
  <c r="T40" i="2" l="1"/>
  <c r="T42" i="2" s="1"/>
  <c r="S40" i="2"/>
  <c r="S42" i="2" s="1"/>
  <c r="R40" i="2"/>
  <c r="R42" i="2" s="1"/>
  <c r="Q40" i="2"/>
  <c r="Q42" i="2" s="1"/>
  <c r="P40" i="2"/>
  <c r="P42" i="2" s="1"/>
  <c r="E108" i="42" l="1"/>
  <c r="E107" i="42"/>
  <c r="S8" i="61"/>
  <c r="R8" i="61"/>
  <c r="Q8" i="61"/>
  <c r="P8" i="61"/>
  <c r="O8" i="61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85" i="55"/>
  <c r="H86" i="55"/>
  <c r="H87" i="55"/>
  <c r="H76" i="55" l="1"/>
  <c r="V85" i="55"/>
  <c r="V86" i="55"/>
  <c r="V87" i="55"/>
  <c r="V88" i="55"/>
  <c r="H80" i="55" l="1"/>
  <c r="W32" i="53"/>
  <c r="W31" i="53"/>
  <c r="W30" i="53"/>
  <c r="W29" i="53"/>
  <c r="W28" i="53"/>
  <c r="W16" i="53"/>
  <c r="W17" i="53"/>
  <c r="W18" i="53"/>
  <c r="W19" i="53"/>
  <c r="W20" i="53"/>
  <c r="M93" i="2"/>
  <c r="L93" i="2"/>
  <c r="K93" i="2"/>
  <c r="J93" i="2"/>
  <c r="V64" i="58"/>
  <c r="V65" i="58"/>
  <c r="V66" i="58"/>
  <c r="V67" i="58"/>
  <c r="V63" i="58"/>
  <c r="V55" i="58"/>
  <c r="X93" i="2" l="1"/>
  <c r="H84" i="55"/>
  <c r="I85" i="55"/>
  <c r="I86" i="55"/>
  <c r="V54" i="58"/>
  <c r="V53" i="58"/>
  <c r="V52" i="58"/>
  <c r="V45" i="58"/>
  <c r="V44" i="58"/>
  <c r="V43" i="58"/>
  <c r="V21" i="58"/>
  <c r="V22" i="58"/>
  <c r="V23" i="58"/>
  <c r="V24" i="58"/>
  <c r="V25" i="58"/>
  <c r="V26" i="58"/>
  <c r="V27" i="58"/>
  <c r="B2" i="55"/>
  <c r="I87" i="55" l="1"/>
  <c r="I88" i="55"/>
  <c r="D23" i="60" l="1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63" i="58"/>
  <c r="E69" i="58"/>
  <c r="E67" i="58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T75" i="42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E24" i="42"/>
  <c r="E22" i="42"/>
  <c r="E20" i="42"/>
  <c r="O29" i="58"/>
  <c r="P29" i="58"/>
  <c r="Q29" i="58"/>
  <c r="R29" i="58"/>
  <c r="S29" i="58"/>
  <c r="D15" i="58"/>
  <c r="K15" i="58"/>
  <c r="L15" i="58"/>
  <c r="M15" i="58"/>
  <c r="N15" i="58"/>
  <c r="O15" i="58"/>
  <c r="P15" i="58"/>
  <c r="Q15" i="58"/>
  <c r="R15" i="58"/>
  <c r="S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23" i="42"/>
  <c r="R23" i="42"/>
  <c r="R21" i="42"/>
  <c r="R19" i="42"/>
  <c r="S23" i="42"/>
  <c r="R33" i="42"/>
  <c r="S12" i="42"/>
  <c r="R49" i="42"/>
  <c r="R12" i="42"/>
  <c r="J34" i="58"/>
  <c r="L49" i="42"/>
  <c r="R31" i="42"/>
  <c r="R10" i="42"/>
  <c r="L10" i="42"/>
  <c r="R16" i="42"/>
  <c r="L16" i="42"/>
  <c r="L37" i="42"/>
  <c r="R37" i="42"/>
  <c r="L40" i="42"/>
  <c r="R40" i="42"/>
  <c r="L43" i="42"/>
  <c r="R43" i="42"/>
  <c r="L46" i="42"/>
  <c r="R46" i="42"/>
  <c r="S16" i="42"/>
  <c r="M43" i="42"/>
  <c r="S43" i="42"/>
  <c r="S8" i="54"/>
  <c r="C49" i="42"/>
  <c r="C50" i="42" s="1"/>
  <c r="C46" i="42"/>
  <c r="C47" i="42" s="1"/>
  <c r="C43" i="42"/>
  <c r="C44" i="42" s="1"/>
  <c r="F40" i="42"/>
  <c r="C40" i="42"/>
  <c r="C41" i="42" s="1"/>
  <c r="F37" i="42"/>
  <c r="C37" i="42"/>
  <c r="C38" i="42" s="1"/>
  <c r="F12" i="42"/>
  <c r="V75" i="2"/>
  <c r="E49" i="42"/>
  <c r="C2" i="58"/>
  <c r="C1" i="58"/>
  <c r="E21" i="42"/>
  <c r="E23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R14" i="42"/>
  <c r="J91" i="42"/>
  <c r="L91" i="42"/>
  <c r="L75" i="42"/>
  <c r="R91" i="42"/>
  <c r="R75" i="42"/>
  <c r="M91" i="42"/>
  <c r="L106" i="42"/>
  <c r="L109" i="42"/>
  <c r="L105" i="42"/>
  <c r="E50" i="42"/>
  <c r="E47" i="42"/>
  <c r="E44" i="42"/>
  <c r="E41" i="42"/>
  <c r="E38" i="42"/>
  <c r="E87" i="42"/>
  <c r="E109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M31" i="42"/>
  <c r="T105" i="42"/>
  <c r="T106" i="42"/>
  <c r="T109" i="42"/>
  <c r="S23" i="60" s="1"/>
  <c r="L57" i="58"/>
  <c r="L19" i="42" s="1"/>
  <c r="K57" i="58"/>
  <c r="J57" i="58"/>
  <c r="M57" i="58"/>
  <c r="F111" i="42" l="1"/>
  <c r="F110" i="42"/>
  <c r="F18" i="44"/>
  <c r="F25" i="44"/>
  <c r="F22" i="44"/>
  <c r="F27" i="44"/>
  <c r="F24" i="44"/>
  <c r="F23" i="44"/>
  <c r="F26" i="44"/>
  <c r="F17" i="44"/>
  <c r="F24" i="42"/>
  <c r="F108" i="42"/>
  <c r="F107" i="42"/>
  <c r="O21" i="42"/>
  <c r="R10" i="53"/>
  <c r="R22" i="53" s="1"/>
  <c r="K91" i="42"/>
  <c r="S14" i="42"/>
  <c r="S19" i="42"/>
  <c r="S35" i="42"/>
  <c r="S75" i="42"/>
  <c r="S40" i="42"/>
  <c r="S21" i="42"/>
  <c r="S37" i="42"/>
  <c r="K31" i="42"/>
  <c r="K40" i="42"/>
  <c r="K109" i="42"/>
  <c r="K106" i="42"/>
  <c r="K16" i="42"/>
  <c r="S31" i="42"/>
  <c r="K49" i="42"/>
  <c r="K19" i="42"/>
  <c r="K105" i="42"/>
  <c r="K12" i="42"/>
  <c r="S91" i="42"/>
  <c r="S46" i="42"/>
  <c r="S10" i="42"/>
  <c r="S49" i="42"/>
  <c r="S33" i="42"/>
  <c r="M14" i="42"/>
  <c r="P14" i="42"/>
  <c r="O43" i="42"/>
  <c r="O12" i="42"/>
  <c r="P16" i="42"/>
  <c r="P43" i="42"/>
  <c r="P21" i="42"/>
  <c r="P23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9" i="42"/>
  <c r="F14" i="44"/>
  <c r="N43" i="42"/>
  <c r="N37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3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9" i="42"/>
  <c r="M36" i="2"/>
  <c r="M47" i="2" s="1"/>
  <c r="J10" i="2"/>
  <c r="J12" i="2" s="1"/>
  <c r="J12" i="42"/>
  <c r="Q19" i="42"/>
  <c r="J21" i="42"/>
  <c r="J61" i="58"/>
  <c r="J28" i="42" s="1"/>
  <c r="N9" i="60"/>
  <c r="N22" i="60"/>
  <c r="J106" i="42"/>
  <c r="Q10" i="42"/>
  <c r="J40" i="42"/>
  <c r="Q31" i="42"/>
  <c r="L49" i="2"/>
  <c r="L60" i="2" s="1"/>
  <c r="Q21" i="42"/>
  <c r="J23" i="42"/>
  <c r="M9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M12" i="2" s="1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L68" i="42" a="1"/>
  <c r="L68" i="42" s="1"/>
  <c r="M103" i="42"/>
  <c r="M40" i="42"/>
  <c r="M75" i="42"/>
  <c r="M35" i="42"/>
  <c r="M16" i="42"/>
  <c r="M33" i="42"/>
  <c r="M23" i="42"/>
  <c r="M46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T20" i="42" l="1"/>
  <c r="J22" i="53"/>
  <c r="W15" i="53"/>
  <c r="W12" i="53"/>
  <c r="W14" i="53"/>
  <c r="W13" i="53"/>
  <c r="S68" i="42" a="1"/>
  <c r="S68" i="42" s="1"/>
  <c r="J62" i="42" a="1"/>
  <c r="J62" i="42" s="1"/>
  <c r="T13" i="42"/>
  <c r="J61" i="42"/>
  <c r="J70" i="42" s="1"/>
  <c r="J65" i="42" a="1"/>
  <c r="J65" i="42" s="1"/>
  <c r="J71" i="42" a="1"/>
  <c r="J71" i="42" s="1"/>
  <c r="L62" i="42" a="1"/>
  <c r="L62" i="42" s="1"/>
  <c r="L65" i="42" a="1"/>
  <c r="L65" i="42" s="1"/>
  <c r="L71" i="42" a="1"/>
  <c r="L71" i="42" s="1"/>
  <c r="T62" i="42" a="1"/>
  <c r="T62" i="42" s="1"/>
  <c r="T68" i="42" a="1"/>
  <c r="T68" i="42" s="1"/>
  <c r="V42" i="58"/>
  <c r="V51" i="58"/>
  <c r="O68" i="42" a="1"/>
  <c r="O68" i="42" s="1"/>
  <c r="W22" i="53"/>
  <c r="V71" i="58"/>
  <c r="V69" i="58"/>
  <c r="W34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U22" i="60" l="1"/>
  <c r="P70" i="42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O14" i="44" s="1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M29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P13" i="60" l="1"/>
  <c r="O13" i="60"/>
  <c r="R13" i="60"/>
  <c r="N13" i="60"/>
  <c r="Q13" i="60"/>
  <c r="Q14" i="60"/>
  <c r="R14" i="60"/>
  <c r="P14" i="60"/>
  <c r="O14" i="60"/>
  <c r="N14" i="60"/>
  <c r="L29" i="2"/>
  <c r="L99" i="42"/>
  <c r="J19" i="2"/>
  <c r="J29" i="2" s="1"/>
  <c r="S87" i="42"/>
  <c r="R20" i="60" s="1"/>
  <c r="Q99" i="42"/>
  <c r="P21" i="60" s="1"/>
  <c r="S52" i="42"/>
  <c r="S54" i="42" s="1"/>
  <c r="P52" i="42"/>
  <c r="P54" i="42" s="1"/>
  <c r="T99" i="42"/>
  <c r="M52" i="42"/>
  <c r="M54" i="42" s="1"/>
  <c r="Q52" i="42"/>
  <c r="Q54" i="42" s="1"/>
  <c r="R52" i="42"/>
  <c r="R54" i="42" s="1"/>
  <c r="K52" i="42"/>
  <c r="K54" i="42" s="1"/>
  <c r="R99" i="42"/>
  <c r="Q21" i="60" s="1"/>
  <c r="N87" i="42"/>
  <c r="O87" i="42"/>
  <c r="N20" i="60" s="1"/>
  <c r="J99" i="42"/>
  <c r="O52" i="42"/>
  <c r="O54" i="42" s="1"/>
  <c r="J52" i="42"/>
  <c r="J54" i="42" s="1"/>
  <c r="K99" i="42"/>
  <c r="N99" i="42"/>
  <c r="S99" i="42"/>
  <c r="R21" i="60" s="1"/>
  <c r="O99" i="42"/>
  <c r="N21" i="60" s="1"/>
  <c r="M99" i="42"/>
  <c r="M16" i="44"/>
  <c r="Q87" i="42"/>
  <c r="P20" i="60" s="1"/>
  <c r="M87" i="42"/>
  <c r="J87" i="42"/>
  <c r="L87" i="42"/>
  <c r="K87" i="42"/>
  <c r="P87" i="42"/>
  <c r="O20" i="60" s="1"/>
  <c r="T87" i="42"/>
  <c r="R87" i="42"/>
  <c r="Q20" i="60" s="1"/>
  <c r="P99" i="42"/>
  <c r="O21" i="60" s="1"/>
  <c r="K28" i="2"/>
  <c r="M17" i="2"/>
  <c r="L27" i="2"/>
  <c r="M16" i="2"/>
  <c r="L26" i="2"/>
  <c r="U13" i="60" l="1"/>
  <c r="U21" i="60"/>
  <c r="U14" i="60"/>
  <c r="U20" i="60"/>
  <c r="M26" i="2"/>
  <c r="M27" i="2"/>
  <c r="AA20" i="60" l="1"/>
  <c r="Z21" i="60"/>
  <c r="AA21" i="60"/>
  <c r="AA13" i="60"/>
  <c r="Z13" i="60"/>
  <c r="Z14" i="60"/>
  <c r="AA14" i="60"/>
  <c r="Z20" i="60"/>
  <c r="L31" i="42" l="1"/>
  <c r="L35" i="42" l="1"/>
  <c r="L33" i="42"/>
  <c r="L52" i="42" s="1"/>
  <c r="L54" i="42" l="1"/>
  <c r="N106" i="42" l="1"/>
  <c r="N109" i="42" s="1"/>
  <c r="M106" i="42"/>
  <c r="M109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I84" i="55" l="1"/>
  <c r="I80" i="55"/>
  <c r="H75" i="55" l="1"/>
  <c r="I75" i="55" s="1"/>
  <c r="V75" i="55" s="1"/>
  <c r="H73" i="55"/>
  <c r="I73" i="55" s="1"/>
  <c r="V73" i="55" s="1"/>
  <c r="H74" i="55"/>
  <c r="I74" i="55" s="1"/>
  <c r="V74" i="55" s="1"/>
  <c r="H78" i="55"/>
  <c r="H79" i="55" s="1"/>
  <c r="I79" i="55" s="1"/>
  <c r="H82" i="55" l="1"/>
  <c r="H77" i="55" s="1"/>
  <c r="I78" i="55"/>
  <c r="N12" i="2"/>
  <c r="H81" i="55" l="1"/>
  <c r="I81" i="55" s="1"/>
  <c r="H83" i="55"/>
  <c r="I83" i="55" s="1"/>
  <c r="I82" i="55"/>
  <c r="I77" i="55"/>
  <c r="V77" i="55" s="1"/>
  <c r="O12" i="2"/>
  <c r="V78" i="55"/>
  <c r="N18" i="2"/>
  <c r="N16" i="2"/>
  <c r="M20" i="2"/>
  <c r="N30" i="2"/>
  <c r="N17" i="2"/>
  <c r="N19" i="2"/>
  <c r="V1" i="55" l="1"/>
  <c r="G11" i="16" s="1"/>
  <c r="O17" i="2"/>
  <c r="O27" i="2" s="1"/>
  <c r="N27" i="2"/>
  <c r="O16" i="2"/>
  <c r="N26" i="2"/>
  <c r="O18" i="2"/>
  <c r="O28" i="2" s="1"/>
  <c r="N28" i="2"/>
  <c r="N21" i="2"/>
  <c r="O20" i="2"/>
  <c r="O30" i="2" s="1"/>
  <c r="O31" i="2"/>
  <c r="L20" i="2"/>
  <c r="M30" i="2"/>
  <c r="O19" i="2"/>
  <c r="O29" i="2" s="1"/>
  <c r="N29" i="2"/>
  <c r="L22" i="42" l="1"/>
  <c r="L15" i="42"/>
  <c r="K24" i="42"/>
  <c r="R22" i="42"/>
  <c r="Q22" i="42"/>
  <c r="O22" i="42"/>
  <c r="P17" i="42"/>
  <c r="O26" i="2"/>
  <c r="P15" i="42"/>
  <c r="M24" i="42"/>
  <c r="T17" i="42"/>
  <c r="M17" i="42"/>
  <c r="O15" i="42"/>
  <c r="O24" i="42"/>
  <c r="N15" i="42"/>
  <c r="Q24" i="42"/>
  <c r="S15" i="42"/>
  <c r="L24" i="42"/>
  <c r="P24" i="42"/>
  <c r="M15" i="42"/>
  <c r="L17" i="42"/>
  <c r="S24" i="42"/>
  <c r="S17" i="42"/>
  <c r="K15" i="42"/>
  <c r="O17" i="42"/>
  <c r="R15" i="42"/>
  <c r="J15" i="42"/>
  <c r="N22" i="42"/>
  <c r="N17" i="42"/>
  <c r="J22" i="42"/>
  <c r="R24" i="42"/>
  <c r="K17" i="42"/>
  <c r="T24" i="42"/>
  <c r="T22" i="42"/>
  <c r="Q15" i="42"/>
  <c r="P22" i="42"/>
  <c r="R17" i="42"/>
  <c r="S22" i="42"/>
  <c r="Q17" i="42"/>
  <c r="J24" i="42"/>
  <c r="T15" i="42"/>
  <c r="K22" i="42"/>
  <c r="J17" i="42"/>
  <c r="L30" i="2"/>
  <c r="K20" i="2"/>
  <c r="N20" i="42"/>
  <c r="N13" i="42"/>
  <c r="N26" i="42" s="1"/>
  <c r="N31" i="2"/>
  <c r="M21" i="2"/>
  <c r="J20" i="2" l="1"/>
  <c r="J30" i="2" s="1"/>
  <c r="K30" i="2"/>
  <c r="N31" i="42"/>
  <c r="M31" i="2"/>
  <c r="L21" i="2"/>
  <c r="M20" i="42"/>
  <c r="N15" i="60" l="1"/>
  <c r="Q15" i="60"/>
  <c r="R15" i="60"/>
  <c r="O15" i="60"/>
  <c r="P15" i="60"/>
  <c r="L31" i="2"/>
  <c r="K21" i="2"/>
  <c r="L20" i="42"/>
  <c r="K13" i="42" l="1"/>
  <c r="K26" i="42" s="1"/>
  <c r="K20" i="42"/>
  <c r="K31" i="2"/>
  <c r="J21" i="2"/>
  <c r="J31" i="2" s="1"/>
  <c r="U15" i="60"/>
  <c r="Z15" i="60" l="1"/>
  <c r="AA15" i="60"/>
  <c r="J13" i="42"/>
  <c r="J26" i="42" s="1"/>
  <c r="J20" i="42"/>
  <c r="V41" i="58" l="1"/>
  <c r="K47" i="58"/>
  <c r="M47" i="58"/>
  <c r="M12" i="42" s="1"/>
  <c r="M13" i="42" s="1"/>
  <c r="M26" i="42" s="1"/>
  <c r="L47" i="58"/>
  <c r="L12" i="42" s="1"/>
  <c r="L13" i="42" s="1"/>
  <c r="L26" i="42" s="1"/>
  <c r="V20" i="58" l="1"/>
  <c r="J47" i="58"/>
  <c r="V37" i="58"/>
  <c r="K29" i="58"/>
  <c r="J15" i="58"/>
  <c r="V13" i="58"/>
  <c r="L29" i="58"/>
  <c r="P11" i="60"/>
  <c r="Q11" i="60"/>
  <c r="R11" i="60"/>
  <c r="O11" i="60"/>
  <c r="N33" i="42"/>
  <c r="N11" i="60"/>
  <c r="J29" i="58"/>
  <c r="V19" i="58"/>
  <c r="M29" i="58"/>
  <c r="M21" i="42" s="1"/>
  <c r="M22" i="42" s="1"/>
  <c r="N35" i="42" s="1"/>
  <c r="N29" i="58"/>
  <c r="N23" i="42" s="1"/>
  <c r="N24" i="42" s="1"/>
  <c r="G12" i="16" l="1"/>
  <c r="S1" i="16" s="1"/>
  <c r="U11" i="60"/>
  <c r="N52" i="42"/>
  <c r="N54" i="42" s="1"/>
  <c r="P16" i="60"/>
  <c r="N16" i="60"/>
  <c r="Q16" i="60"/>
  <c r="R16" i="60"/>
  <c r="O16" i="60"/>
  <c r="O107" i="42" l="1"/>
  <c r="R107" i="42"/>
  <c r="R13" i="44" s="1"/>
  <c r="Q108" i="42"/>
  <c r="Q22" i="44" s="1"/>
  <c r="R108" i="42"/>
  <c r="R22" i="44" s="1"/>
  <c r="S108" i="42"/>
  <c r="S22" i="44" s="1"/>
  <c r="Q107" i="42"/>
  <c r="Q13" i="44" s="1"/>
  <c r="P108" i="42"/>
  <c r="P22" i="44" s="1"/>
  <c r="S107" i="42"/>
  <c r="S13" i="44" s="1"/>
  <c r="P107" i="42"/>
  <c r="P13" i="44" s="1"/>
  <c r="O108" i="42"/>
  <c r="O22" i="44" s="1"/>
  <c r="N18" i="60"/>
  <c r="Q18" i="60"/>
  <c r="P19" i="60"/>
  <c r="O106" i="42"/>
  <c r="R17" i="60"/>
  <c r="R105" i="42"/>
  <c r="O17" i="60"/>
  <c r="R18" i="60"/>
  <c r="O18" i="60"/>
  <c r="P18" i="60"/>
  <c r="Q105" i="42"/>
  <c r="P106" i="42"/>
  <c r="R106" i="42"/>
  <c r="O19" i="60"/>
  <c r="N17" i="60"/>
  <c r="Q19" i="60"/>
  <c r="Q17" i="60"/>
  <c r="N19" i="60"/>
  <c r="Q106" i="42"/>
  <c r="P17" i="60"/>
  <c r="R19" i="60"/>
  <c r="S106" i="42"/>
  <c r="O105" i="42"/>
  <c r="S105" i="42"/>
  <c r="P105" i="42"/>
  <c r="U16" i="60"/>
  <c r="P12" i="60"/>
  <c r="N12" i="60"/>
  <c r="O12" i="60"/>
  <c r="Q12" i="60"/>
  <c r="R12" i="60"/>
  <c r="Y11" i="60"/>
  <c r="X1" i="2"/>
  <c r="V1" i="4"/>
  <c r="W1" i="42"/>
  <c r="Y1" i="55"/>
  <c r="V1" i="53"/>
  <c r="W1" i="44"/>
  <c r="V1" i="54"/>
  <c r="Y1" i="60"/>
  <c r="V1" i="58"/>
  <c r="O13" i="44" l="1"/>
  <c r="R111" i="42"/>
  <c r="Q111" i="42"/>
  <c r="P111" i="42"/>
  <c r="S111" i="42"/>
  <c r="O110" i="42"/>
  <c r="O111" i="42"/>
  <c r="S109" i="42"/>
  <c r="R23" i="60" s="1"/>
  <c r="S110" i="42"/>
  <c r="R109" i="42"/>
  <c r="Q23" i="60" s="1"/>
  <c r="R110" i="42"/>
  <c r="Q109" i="42"/>
  <c r="Q110" i="42"/>
  <c r="P109" i="42"/>
  <c r="O23" i="60" s="1"/>
  <c r="P110" i="42"/>
  <c r="O109" i="42"/>
  <c r="N23" i="60" s="1"/>
  <c r="U17" i="60"/>
  <c r="U12" i="60"/>
  <c r="AA16" i="60"/>
  <c r="Z16" i="60"/>
  <c r="U19" i="60"/>
  <c r="U18" i="60"/>
  <c r="P23" i="60" l="1"/>
  <c r="U23" i="60" s="1"/>
  <c r="V21" i="60" s="1"/>
  <c r="X16" i="60"/>
  <c r="AA12" i="60"/>
  <c r="X12" i="60" s="1"/>
  <c r="Z12" i="60"/>
  <c r="X20" i="60"/>
  <c r="X15" i="60"/>
  <c r="X22" i="60"/>
  <c r="X14" i="60"/>
  <c r="X13" i="60"/>
  <c r="X21" i="60"/>
  <c r="Z18" i="60"/>
  <c r="AA18" i="60"/>
  <c r="X18" i="60" s="1"/>
  <c r="AA19" i="60"/>
  <c r="X19" i="60" s="1"/>
  <c r="Z19" i="60"/>
  <c r="Z17" i="60"/>
  <c r="AA17" i="60"/>
  <c r="X17" i="60" s="1"/>
  <c r="V18" i="60" l="1"/>
  <c r="V13" i="60"/>
  <c r="V16" i="60"/>
  <c r="V20" i="60"/>
  <c r="V22" i="60"/>
  <c r="Y23" i="60"/>
  <c r="V12" i="60"/>
  <c r="V14" i="60"/>
  <c r="V19" i="60"/>
  <c r="V17" i="60"/>
  <c r="V15" i="60"/>
  <c r="V23" i="60"/>
</calcChain>
</file>

<file path=xl/sharedStrings.xml><?xml version="1.0" encoding="utf-8"?>
<sst xmlns="http://schemas.openxmlformats.org/spreadsheetml/2006/main" count="858" uniqueCount="253">
  <si>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</si>
  <si>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</si>
  <si>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</si>
  <si>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</si>
  <si>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</si>
  <si>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</si>
  <si>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</si>
  <si>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</si>
  <si>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</si>
  <si>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</si>
  <si>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</si>
  <si>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</si>
  <si>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</si>
  <si>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</si>
  <si>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</si>
  <si>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</si>
  <si>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</si>
  <si>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</si>
  <si>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</si>
  <si>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</si>
  <si>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</si>
  <si>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</si>
  <si>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</si>
  <si>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</si>
  <si>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</si>
  <si>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</si>
  <si>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</si>
  <si>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</si>
  <si>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</si>
  <si>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</si>
  <si>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</si>
  <si>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</si>
  <si>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</si>
  <si>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</si>
  <si>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</si>
  <si>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</si>
  <si>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</si>
  <si>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</si>
  <si>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</si>
  <si>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</si>
  <si>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</si>
  <si>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</si>
  <si>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</si>
  <si>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</si>
  <si>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</si>
  <si>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</si>
  <si>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</si>
  <si>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</si>
  <si>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</si>
  <si>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</si>
  <si>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</si>
  <si>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</si>
  <si>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</si>
  <si>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</si>
  <si>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</si>
  <si>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</si>
  <si>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</si>
  <si>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</si>
  <si>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</si>
  <si>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</si>
  <si>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</si>
  <si>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</si>
  <si>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</si>
  <si>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</si>
  <si>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</si>
  <si>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</si>
  <si>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</si>
  <si>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</si>
  <si>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</si>
  <si>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</si>
  <si>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</si>
  <si>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</si>
  <si>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</si>
  <si>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</si>
  <si>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</si>
  <si>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</si>
  <si>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</si>
  <si>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</si>
  <si>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</si>
  <si>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</si>
  <si>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</si>
  <si>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</si>
  <si>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</si>
  <si>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</si>
  <si>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</si>
  <si>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</si>
  <si>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</si>
  <si>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</si>
  <si>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</si>
  <si>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</si>
  <si>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</si>
  <si>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</si>
  <si>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</si>
  <si>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</si>
  <si>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</si>
  <si>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</si>
  <si>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</si>
  <si>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</si>
  <si>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</si>
  <si>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</si>
  <si>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</si>
  <si>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</si>
  <si>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</si>
  <si>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</si>
  <si>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</si>
  <si>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</si>
  <si>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</si>
  <si>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</si>
  <si>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</si>
  <si>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</si>
  <si>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</si>
  <si>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</si>
  <si>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</si>
  <si>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</si>
  <si>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</si>
  <si>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</si>
  <si>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</si>
  <si>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</si>
  <si>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</si>
  <si>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</si>
  <si>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</si>
  <si>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</si>
  <si>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</si>
  <si>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</si>
  <si>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</si>
  <si>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</si>
  <si>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</si>
  <si>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</si>
  <si>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</si>
  <si>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</si>
  <si>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</si>
  <si>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</si>
  <si>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</si>
  <si>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</si>
  <si>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</si>
  <si>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</si>
  <si>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</si>
  <si>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</si>
  <si>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</si>
  <si>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</si>
  <si>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</si>
  <si>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</si>
  <si>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</si>
  <si>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</si>
  <si>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</si>
  <si>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</si>
  <si>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</si>
  <si>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</si>
  <si>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</si>
  <si>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</si>
  <si>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</si>
  <si>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</si>
  <si>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</si>
  <si>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</si>
  <si>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</si>
  <si>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</si>
  <si>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</si>
  <si>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</si>
  <si>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</si>
  <si>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</si>
  <si>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</si>
  <si>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</si>
  <si>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</si>
  <si>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</si>
  <si>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</si>
  <si>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</si>
  <si>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</si>
  <si>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</si>
  <si>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</si>
  <si>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</si>
  <si>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</si>
  <si>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</si>
  <si>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</si>
  <si>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</si>
  <si>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</si>
  <si>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</si>
  <si>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</si>
  <si>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</si>
  <si>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</si>
  <si>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</si>
  <si>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</si>
  <si>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</si>
  <si>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</si>
  <si>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</si>
  <si>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</si>
  <si>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</si>
  <si>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</si>
  <si>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</si>
  <si>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</si>
  <si>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</si>
  <si>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</si>
  <si>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</si>
  <si>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</si>
  <si>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</si>
  <si>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</si>
  <si>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</si>
  <si>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</si>
  <si>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</si>
  <si>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</si>
  <si>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</si>
  <si>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</si>
  <si>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</si>
  <si>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</si>
  <si>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</si>
  <si>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</si>
  <si>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</si>
  <si>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</si>
  <si>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</si>
  <si>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</si>
  <si>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</si>
  <si>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</si>
  <si>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</si>
  <si>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</si>
  <si>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</si>
  <si>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</si>
  <si>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</si>
  <si>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</si>
  <si>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</si>
  <si>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</si>
  <si>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</si>
  <si>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</si>
  <si>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</si>
  <si>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</si>
  <si>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</si>
  <si>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</si>
  <si>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</si>
  <si>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</si>
  <si>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</si>
  <si>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</si>
  <si>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</si>
  <si>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</si>
  <si>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Evoenergy</t>
  </si>
  <si>
    <t>WPI - KPMG forecast</t>
  </si>
  <si>
    <t>WPI - BIS Oxford forecast</t>
  </si>
  <si>
    <t>Insurance premiums</t>
  </si>
  <si>
    <t>Security of Critical Infrastructure</t>
  </si>
  <si>
    <t>Consumer Energy Resources</t>
  </si>
  <si>
    <t>Smart metering step change</t>
  </si>
  <si>
    <t>AER opex model</t>
  </si>
  <si>
    <t>Input |Distribution and Transmission opex allocation</t>
  </si>
  <si>
    <t>Allocation</t>
  </si>
  <si>
    <t/>
  </si>
  <si>
    <t>Transmission</t>
  </si>
  <si>
    <t>Distribution</t>
  </si>
  <si>
    <t>Total forecast opex, excluding debt raising costs - distribution</t>
  </si>
  <si>
    <t>Total forecast opex, excluding debt raising costs - transmission</t>
  </si>
  <si>
    <t>Estimate: RBA, Statement on monetary policy (SoMP), November 2023.</t>
  </si>
  <si>
    <t>Total forecast opex, including debt raising costs - distribution</t>
  </si>
  <si>
    <t>Total forecast opex, including debt raising costs - transmission</t>
  </si>
  <si>
    <t>Operating expenditure - Distribution</t>
  </si>
  <si>
    <t>Operating expenditure - Transmission</t>
  </si>
  <si>
    <t>Debt raising costs (distribution)</t>
  </si>
  <si>
    <t>Debt raising costs (transmission)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</si>
</sst>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2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72" fillId="38" borderId="0" xfId="0" applyFont="1" applyFill="1"/>
    <xf numFmtId="44" fontId="19" fillId="39" borderId="4" xfId="0" applyNumberFormat="1" applyFont="1" applyFill="1" applyBorder="1" applyAlignment="1">
      <alignment horizontal="center" wrapText="1"/>
    </xf>
    <xf numFmtId="44" fontId="24" fillId="39" borderId="4" xfId="0" applyNumberFormat="1" applyFont="1" applyFill="1" applyBorder="1" applyAlignment="1">
      <alignment horizontal="center" wrapText="1"/>
    </xf>
    <xf numFmtId="0" fontId="6" fillId="41" borderId="3" xfId="0" applyFont="1" applyFill="1" applyBorder="1" applyAlignment="1" applyProtection="1">
      <alignment horizontal="left" indent="1"/>
      <protection locked="0"/>
    </xf>
    <xf numFmtId="196" fontId="7" fillId="41" borderId="3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168" fontId="98" fillId="0" borderId="0" xfId="0" applyNumberFormat="1" applyFont="1" applyAlignment="1">
      <alignment horizontal="left" indent="1"/>
    </xf>
    <xf numFmtId="200" fontId="6" fillId="0" borderId="0" xfId="0" applyNumberFormat="1" applyFont="1" applyAlignment="1">
      <alignment horizontal="center"/>
    </xf>
    <xf numFmtId="205" fontId="6" fillId="38" borderId="0" xfId="2" applyNumberFormat="1" applyFont="1" applyFill="1" applyBorder="1" applyAlignment="1" applyProtection="1">
      <alignment horizontal="center"/>
    </xf>
    <xf numFmtId="205" fontId="15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10" fontId="13" fillId="40" borderId="3" xfId="2" applyNumberFormat="1" applyFont="1" applyFill="1" applyBorder="1" applyAlignment="1" applyProtection="1">
      <alignment horizontal="center"/>
      <protection locked="0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310.46068742437217</c:v>
                </c:pt>
                <c:pt idx="2">
                  <c:v>310.46068742437217</c:v>
                </c:pt>
                <c:pt idx="3">
                  <c:v>310.46068742437217</c:v>
                </c:pt>
                <c:pt idx="4">
                  <c:v>310.46068742437217</c:v>
                </c:pt>
                <c:pt idx="5">
                  <c:v>313.8188616700607</c:v>
                </c:pt>
                <c:pt idx="6">
                  <c:v>313.84174934932577</c:v>
                </c:pt>
                <c:pt idx="7">
                  <c:v>320.6629200003868</c:v>
                </c:pt>
                <c:pt idx="8">
                  <c:v>322.25431242951129</c:v>
                </c:pt>
                <c:pt idx="9">
                  <c:v>322.25431242951129</c:v>
                </c:pt>
                <c:pt idx="10">
                  <c:v>357.5203201725123</c:v>
                </c:pt>
                <c:pt idx="11">
                  <c:v>357.5203201725123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310.46068742437217</c:v>
                </c:pt>
                <c:pt idx="12">
                  <c:v>360.5783411740332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3.3581742456885166</c:v>
                </c:pt>
                <c:pt idx="5">
                  <c:v>2.2887679265054528E-2</c:v>
                </c:pt>
                <c:pt idx="6">
                  <c:v>6.8211706510610108</c:v>
                </c:pt>
                <c:pt idx="7">
                  <c:v>6.3233708846897621</c:v>
                </c:pt>
                <c:pt idx="8">
                  <c:v>0</c:v>
                </c:pt>
                <c:pt idx="9">
                  <c:v>35.266007743000998</c:v>
                </c:pt>
                <c:pt idx="10">
                  <c:v>0</c:v>
                </c:pt>
                <c:pt idx="11">
                  <c:v>3.0580210015210563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4.7319784555652902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2021-22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workbookViewId="0">
      <selection activeCell="C4" sqref="C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230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57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204" t="s">
        <v>56</v>
      </c>
      <c r="D7" s="8" t="s">
        <v>212</v>
      </c>
    </row>
    <row r="8" spans="1:30">
      <c r="C8" s="204" t="s">
        <v>35</v>
      </c>
      <c r="D8" s="8" t="s">
        <v>90</v>
      </c>
    </row>
    <row r="9" spans="1:30">
      <c r="C9" s="204" t="s">
        <v>53</v>
      </c>
      <c r="D9" s="8" t="s">
        <v>221</v>
      </c>
    </row>
    <row r="10" spans="1:30">
      <c r="C10" s="204" t="s">
        <v>170</v>
      </c>
      <c r="D10" s="8" t="s">
        <v>213</v>
      </c>
    </row>
    <row r="11" spans="1:30">
      <c r="C11" s="204" t="s">
        <v>55</v>
      </c>
      <c r="D11" s="8" t="s">
        <v>214</v>
      </c>
    </row>
    <row r="12" spans="1:30">
      <c r="C12" s="204" t="s">
        <v>171</v>
      </c>
      <c r="D12" s="8" t="s">
        <v>215</v>
      </c>
    </row>
    <row r="13" spans="1:30">
      <c r="C13" s="204" t="s">
        <v>172</v>
      </c>
      <c r="D13" s="8" t="s">
        <v>216</v>
      </c>
    </row>
    <row r="14" spans="1:30">
      <c r="C14" s="204" t="s">
        <v>220</v>
      </c>
      <c r="D14" s="8" t="s">
        <v>222</v>
      </c>
    </row>
    <row r="15" spans="1:30">
      <c r="C15" s="204" t="s">
        <v>49</v>
      </c>
      <c r="D15" s="8" t="s">
        <v>54</v>
      </c>
    </row>
    <row r="16" spans="1:30">
      <c r="C16" s="204" t="s">
        <v>25</v>
      </c>
      <c r="D16" s="8" t="s">
        <v>217</v>
      </c>
    </row>
    <row r="17" spans="1:30" ht="12.75">
      <c r="C17" s="10"/>
      <c r="D17" s="7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  <row r="33"/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I7" sqref="I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76</v>
      </c>
      <c r="S1" s="29" t="str">
        <f>IF(COUNTA($S$5:$S$16)=COUNTIF($S5:$S17,"OK"),"OK","Check")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87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88</v>
      </c>
      <c r="D6" s="20" t="s">
        <v>7</v>
      </c>
      <c r="E6" s="20"/>
      <c r="F6" s="14"/>
      <c r="G6" s="14" t="s">
        <v>61</v>
      </c>
      <c r="H6" s="14"/>
      <c r="I6" s="8"/>
    </row>
    <row r="7" spans="1:30">
      <c r="C7" s="8" t="s">
        <v>58</v>
      </c>
      <c r="D7" s="16" t="s">
        <v>62</v>
      </c>
      <c r="E7" s="8"/>
      <c r="F7" s="8"/>
      <c r="G7" s="39" t="s">
        <v>231</v>
      </c>
      <c r="H7" s="8"/>
      <c r="I7" s="8"/>
      <c r="S7" s="81" t="str">
        <f>IF(COUNTBLANK($G7),"Check","Ok")</f>
        <v>Ok</v>
      </c>
    </row>
    <row r="8" spans="1:30">
      <c r="C8" s="8" t="s">
        <v>124</v>
      </c>
      <c r="D8" s="16" t="s">
        <v>63</v>
      </c>
      <c r="E8" s="8"/>
      <c r="F8" s="8"/>
      <c r="G8" s="39" t="s">
        <v>185</v>
      </c>
      <c r="H8" s="8"/>
      <c r="I8" s="8"/>
      <c r="S8" s="81" t="str">
        <f>IF(COUNTBLANK($G8),"Check","Ok")</f>
        <v>Ok</v>
      </c>
    </row>
    <row r="9" spans="1:30">
      <c r="C9" s="8" t="s">
        <v>108</v>
      </c>
      <c r="D9" s="16" t="s">
        <v>62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210</v>
      </c>
      <c r="D10" s="16" t="s">
        <v>62</v>
      </c>
      <c r="E10" s="8"/>
      <c r="F10" s="8"/>
      <c r="G10" s="93">
        <v>2020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65</v>
      </c>
      <c r="D11" s="16" t="s">
        <v>62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>
      <c r="C12" s="8" t="s">
        <v>211</v>
      </c>
      <c r="D12" s="16" t="s">
        <v>62</v>
      </c>
      <c r="E12" s="8"/>
      <c r="F12" s="8"/>
      <c r="G12" s="93">
        <v>2024</v>
      </c>
      <c r="H12" s="8"/>
      <c r="I12" s="8"/>
      <c r="S12" s="81" t="str">
        <f t="shared" si="0"/>
        <v>Ok</v>
      </c>
    </row>
    <row r="13" spans="1:30">
      <c r="C13" s="8" t="s">
        <v>59</v>
      </c>
      <c r="D13" s="16" t="s">
        <v>62</v>
      </c>
      <c r="E13" s="8"/>
      <c r="F13" s="8"/>
      <c r="G13" s="93">
        <v>2025</v>
      </c>
      <c r="H13" s="8"/>
      <c r="I13" s="8"/>
      <c r="S13" s="81" t="str">
        <f t="shared" si="0"/>
        <v>Ok</v>
      </c>
    </row>
    <row r="14" spans="1:30">
      <c r="C14" s="8" t="s">
        <v>60</v>
      </c>
      <c r="D14" s="16" t="s">
        <v>62</v>
      </c>
      <c r="E14" s="8"/>
      <c r="F14" s="8"/>
      <c r="G14" s="93">
        <v>2029</v>
      </c>
      <c r="H14" s="8"/>
      <c r="I14" s="8"/>
      <c r="S14" s="81" t="str">
        <f t="shared" si="0"/>
        <v>Ok</v>
      </c>
    </row>
    <row r="15" spans="1:30">
      <c r="C15" s="8" t="s">
        <v>173</v>
      </c>
      <c r="D15" s="16" t="s">
        <v>62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51" priority="13" operator="equal">
      <formula>"Check"</formula>
    </cfRule>
    <cfRule type="cellIs" dxfId="250" priority="14" operator="equal">
      <formula>"Ok"</formula>
    </cfRule>
  </conditionalFormatting>
  <conditionalFormatting sqref="V1">
    <cfRule type="cellIs" dxfId="249" priority="3" operator="equal">
      <formula>"Check"</formula>
    </cfRule>
    <cfRule type="cellIs" dxfId="248" priority="4" operator="equal">
      <formula>"Ok"</formula>
    </cfRule>
  </conditionalFormatting>
  <conditionalFormatting sqref="S7:S15">
    <cfRule type="cellIs" dxfId="247" priority="5" operator="equal">
      <formula>"Check"</formula>
    </cfRule>
    <cfRule type="cellIs" dxfId="246" priority="6" operator="equal">
      <formula>"Ok"</formula>
    </cfRule>
  </conditionalFormatting>
  <conditionalFormatting sqref="S1">
    <cfRule type="cellIs" dxfId="245" priority="1" operator="equal">
      <formula>"Check"</formula>
    </cfRule>
    <cfRule type="cellIs" dxfId="244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>
      <selection activeCell="D4" sqref="D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5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76</v>
      </c>
      <c r="V1" s="29" t="str">
        <f>IF(COUNTA($V$5:$V$89)=COUNTIF($V5:$V90,"OK"),"OK","Check")</f>
        <v>OK</v>
      </c>
      <c r="X1" s="206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87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91</v>
      </c>
      <c r="E6" s="47" t="s">
        <v>122</v>
      </c>
      <c r="F6" s="47" t="s">
        <v>91</v>
      </c>
      <c r="G6" s="47" t="s">
        <v>191</v>
      </c>
      <c r="H6" s="47" t="s">
        <v>192</v>
      </c>
      <c r="I6" s="47" t="s">
        <v>122</v>
      </c>
      <c r="J6" s="47"/>
      <c r="K6" s="8"/>
      <c r="L6" s="8"/>
    </row>
    <row r="7" spans="1:33">
      <c r="C7" s="9" t="s">
        <v>7</v>
      </c>
      <c r="D7" s="50" t="s">
        <v>89</v>
      </c>
      <c r="E7" s="50" t="s">
        <v>30</v>
      </c>
      <c r="F7" s="50" t="s">
        <v>89</v>
      </c>
      <c r="G7" s="50" t="s">
        <v>190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77</v>
      </c>
      <c r="E8" s="50" t="s">
        <v>16</v>
      </c>
      <c r="F8" s="50" t="s">
        <v>77</v>
      </c>
      <c r="G8" s="50" t="s">
        <v>16</v>
      </c>
      <c r="H8" s="50" t="s">
        <v>77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21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21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21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21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21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21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21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21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21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21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21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21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213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213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213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213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213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213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213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213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213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213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213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213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213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213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213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213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213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213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213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213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213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213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213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213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213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213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213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213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213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213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213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213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213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213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213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213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213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213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213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213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213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213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213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213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213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213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213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213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213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213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213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213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213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213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203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213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213">
        <v>136.1</v>
      </c>
      <c r="G76" s="110"/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208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213" t="s">
        <v>241</v>
      </c>
      <c r="G77" s="110"/>
      <c r="H77" s="117">
        <f>IF(F77="",IF(COUNT(G77:G$88)=0,"",IF(ISBLANK(G77),AVERAGE(H76,H82),(1+G77)*H73)),F77)</f>
        <v>139.24678754999996</v>
      </c>
      <c r="I77" s="72">
        <f t="shared" si="2"/>
        <v>5.0126602941176213E-2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213" t="s">
        <v>241</v>
      </c>
      <c r="G78" s="110">
        <v>3.3000000000000002E-2</v>
      </c>
      <c r="H78" s="117">
        <f>IF(F78="",IF(COUNT(G78:G$88)=0,"",IF(ISBLANK(G78),AVERAGE(H77,H83),(1+G78)*H74)),F78)</f>
        <v>138.11209999999997</v>
      </c>
      <c r="I78" s="72">
        <f t="shared" si="2"/>
        <v>3.2999999999999918E-2</v>
      </c>
      <c r="J78" s="208" t="s">
        <v>246</v>
      </c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213" t="s">
        <v>241</v>
      </c>
      <c r="G79" s="110"/>
      <c r="H79" s="117">
        <f>IF(F79="",IF(COUNT(G79:G$88)=0,"",IF(ISBLANK(G79),AVERAGE(H78,H84),(1+G79)*H75)),F79)</f>
        <v>141.25002279999998</v>
      </c>
      <c r="I79" s="72">
        <f>IF(H79="","",H79/H75-1)</f>
        <v>4.3976517368809809E-2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213" t="s">
        <v>241</v>
      </c>
      <c r="G80" s="110">
        <v>3.2000000000000001E-2</v>
      </c>
      <c r="H80" s="117">
        <f>IF(F80="",IF(COUNT(G80:G$88)=0,"",IF(ISBLANK(G80),AVERAGE(H79,H85),(1+G80)*H76)),F80)</f>
        <v>140.45519999999999</v>
      </c>
      <c r="I80" s="72">
        <f t="shared" ref="I80:I84" si="3">IF(H80="","",H80/H76-1)</f>
        <v>3.2000000000000028E-2</v>
      </c>
      <c r="J80" s="208" t="s">
        <v>246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213" t="s">
        <v>241</v>
      </c>
      <c r="G81" s="110"/>
      <c r="H81" s="117">
        <f>IF(F81="",IF(COUNT(G81:G$88)=0,"",IF(ISBLANK(G81),AVERAGE(H80,H86),(1+G81)*H77)),F81)</f>
        <v>140.45519999999999</v>
      </c>
      <c r="I81" s="72">
        <f t="shared" si="3"/>
        <v>8.6782070255382315E-3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213" t="s">
        <v>241</v>
      </c>
      <c r="G82" s="110">
        <v>3.1E-2</v>
      </c>
      <c r="H82" s="117">
        <f>IF(F82="",IF(COUNT(G82:G$88)=0,"",IF(ISBLANK(G82),AVERAGE(H81,H87),(1+G82)*H78)),F82)</f>
        <v>142.39357509999996</v>
      </c>
      <c r="I82" s="72">
        <f t="shared" si="3"/>
        <v>3.0999999999999917E-2</v>
      </c>
      <c r="J82" s="208" t="s">
        <v>246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213" t="s">
        <v>241</v>
      </c>
      <c r="G83" s="110"/>
      <c r="H83" s="117">
        <f>IF(F83="",IF(COUNT(G83:G$88)=0,"",IF(ISBLANK(G83),AVERAGE(H82,H88),(1+G83)*H79)),F83)</f>
        <v>142.39357509999996</v>
      </c>
      <c r="I83" s="72">
        <f t="shared" si="3"/>
        <v>8.0959441799111076E-3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213" t="s">
        <v>241</v>
      </c>
      <c r="G84" s="110">
        <v>2.8000000000000001E-2</v>
      </c>
      <c r="H84" s="117">
        <f>IF(F84="",IF(COUNT(G84:G$88)=0,"",IF(ISBLANK(G84),AVERAGE(H83,H89),(1+G84)*H80)),F84)</f>
        <v>144.38794559999999</v>
      </c>
      <c r="I84" s="72">
        <f t="shared" si="3"/>
        <v>2.8000000000000025E-2</v>
      </c>
      <c r="J84" s="208"/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213" t="s">
        <v>241</v>
      </c>
      <c r="G85" s="110"/>
      <c r="H85" s="117" t="str">
        <f>IF(F85="",IF(COUNT(G85:G$88)=0,"",IF(ISBLANK(G85),AVERAGE(H84,H90),(1+G85)*H81)),F85)</f>
        <v/>
      </c>
      <c r="I85" s="72" t="str">
        <f t="shared" ref="I85:I88" si="4">IF(H85="","",H85/H81-1)</f>
        <v/>
      </c>
      <c r="J85" s="208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213" t="s">
        <v>241</v>
      </c>
      <c r="G86" s="110"/>
      <c r="H86" s="117" t="str">
        <f>IF(F86="",IF(COUNT(G86:G$88)=0,"",IF(ISBLANK(G86),AVERAGE(H85,H91),(1+G86)*H82)),F86)</f>
        <v/>
      </c>
      <c r="I86" s="72" t="str">
        <f t="shared" si="4"/>
        <v/>
      </c>
      <c r="J86" s="208"/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213" t="s">
        <v>241</v>
      </c>
      <c r="G87" s="110"/>
      <c r="H87" s="117" t="str">
        <f>IF(F87="",IF(COUNT(G87:G$88)=0,"",IF(ISBLANK(G87),AVERAGE(H86,H92),(1+G87)*H83)),F87)</f>
        <v/>
      </c>
      <c r="I87" s="72" t="str">
        <f t="shared" si="4"/>
        <v/>
      </c>
      <c r="J87" s="208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213" t="s">
        <v>241</v>
      </c>
      <c r="G88" s="110"/>
      <c r="H88" s="117" t="str">
        <f>IF(F88="",IF(COUNT(G88:G$88)=0,"",IF(ISBLANK(G88),AVERAGE(H87,H93),(1+G88)*H84)),F88)</f>
        <v/>
      </c>
      <c r="I88" s="72" t="str">
        <f t="shared" si="4"/>
        <v/>
      </c>
      <c r="J88" s="208"/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43" priority="8" operator="equal">
      <formula>"Check"</formula>
    </cfRule>
    <cfRule type="cellIs" dxfId="242" priority="9" operator="equal">
      <formula>"Ok"</formula>
    </cfRule>
  </conditionalFormatting>
  <conditionalFormatting sqref="V1">
    <cfRule type="cellIs" dxfId="241" priority="6" operator="equal">
      <formula>"Check"</formula>
    </cfRule>
    <cfRule type="cellIs" dxfId="240" priority="7" operator="equal">
      <formula>"Ok"</formula>
    </cfRule>
  </conditionalFormatting>
  <conditionalFormatting sqref="G21:G88">
    <cfRule type="expression" dxfId="239" priority="1">
      <formula>F21=""</formula>
    </cfRule>
  </conditionalFormatting>
  <conditionalFormatting sqref="V9:V88">
    <cfRule type="cellIs" dxfId="238" priority="12" operator="equal">
      <formula>"Check"</formula>
    </cfRule>
    <cfRule type="cellIs" dxfId="237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D1" zoomScaleNormal="100" workbookViewId="0">
      <selection activeCell="S2" sqref="S2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53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5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76</v>
      </c>
      <c r="S1" s="29" t="str">
        <f>IF(COUNTA($V$8:$V$266)=COUNTIF($V$8:$V$266,"OK"),"OK","Check")</f>
        <v>OK</v>
      </c>
      <c r="T1" s="29"/>
      <c r="U1" s="206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108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9"/>
      <c r="B8" s="38" t="s">
        <v>223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>
      <c r="A10" s="123"/>
      <c r="B10" s="123"/>
      <c r="C10" s="126" t="s">
        <v>70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50</v>
      </c>
      <c r="V10" s="8"/>
    </row>
    <row r="11" spans="1:22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67</v>
      </c>
      <c r="D13" s="124" t="s">
        <v>63</v>
      </c>
      <c r="E13" s="124" t="str">
        <f>units</f>
        <v>$millions</v>
      </c>
      <c r="F13" s="132">
        <f>DATE(PPFirstYear-1,MONTH(month),1)</f>
        <v>43617</v>
      </c>
      <c r="G13" s="125"/>
      <c r="H13" s="125"/>
      <c r="I13" s="124"/>
      <c r="J13" s="133">
        <v>57.94362209219284</v>
      </c>
      <c r="K13" s="133">
        <v>58.545458237091964</v>
      </c>
      <c r="L13" s="133">
        <v>59.165028281769231</v>
      </c>
      <c r="M13" s="133">
        <v>59.78323256445038</v>
      </c>
      <c r="N13" s="133">
        <v>60.341501395935879</v>
      </c>
      <c r="O13" s="133"/>
      <c r="P13" s="133"/>
      <c r="Q13" s="133"/>
      <c r="R13" s="133"/>
      <c r="S13" s="133"/>
      <c r="T13" s="133"/>
      <c r="U13" s="123" t="s">
        <v>174</v>
      </c>
      <c r="V13" s="64" t="str">
        <f>IF(COUNT(J13:T13)=COUNT($J$10:$T$10),"Ok","Check")</f>
        <v>Ok</v>
      </c>
    </row>
    <row r="14" spans="1:22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>
      <c r="A15" s="123"/>
      <c r="B15" s="123"/>
      <c r="C15" s="134" t="s">
        <v>67</v>
      </c>
      <c r="D15" s="135" t="str">
        <f>D13</f>
        <v>AER</v>
      </c>
      <c r="E15" s="136" t="str">
        <f>E13</f>
        <v>$millions</v>
      </c>
      <c r="F15" s="136">
        <f>$F$13</f>
        <v>43617</v>
      </c>
      <c r="G15" s="125"/>
      <c r="H15" s="125"/>
      <c r="I15" s="124"/>
      <c r="J15" s="137">
        <f>J13</f>
        <v>57.94362209219284</v>
      </c>
      <c r="K15" s="137">
        <f t="shared" ref="K15:S15" si="1">K13</f>
        <v>58.545458237091964</v>
      </c>
      <c r="L15" s="137">
        <f t="shared" si="1"/>
        <v>59.165028281769231</v>
      </c>
      <c r="M15" s="137">
        <f t="shared" si="1"/>
        <v>59.78323256445038</v>
      </c>
      <c r="N15" s="137">
        <f t="shared" si="1"/>
        <v>60.341501395935879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>
      <c r="A17" s="123"/>
      <c r="B17" s="123"/>
      <c r="C17" s="126" t="s">
        <v>224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251</v>
      </c>
      <c r="D19" s="124" t="s">
        <v>63</v>
      </c>
      <c r="E19" s="124" t="str">
        <f t="shared" ref="E19:E27" si="2">units</f>
        <v>$millions</v>
      </c>
      <c r="F19" s="138">
        <f>$F$13</f>
        <v>43617</v>
      </c>
      <c r="G19" s="125"/>
      <c r="H19" s="125"/>
      <c r="I19" s="124"/>
      <c r="J19" s="133">
        <v>0.40748740557983598</v>
      </c>
      <c r="K19" s="133">
        <v>0.407967355160686</v>
      </c>
      <c r="L19" s="133">
        <v>0.40513333912625898</v>
      </c>
      <c r="M19" s="133">
        <v>0.41030024718443603</v>
      </c>
      <c r="N19" s="133">
        <v>0.40955353791888904</v>
      </c>
      <c r="O19" s="133"/>
      <c r="P19" s="133"/>
      <c r="Q19" s="133"/>
      <c r="R19" s="133"/>
      <c r="S19" s="133"/>
      <c r="T19" s="133"/>
      <c r="U19" s="123" t="s">
        <v>225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 t="s">
        <v>252</v>
      </c>
      <c r="D20" s="124" t="s">
        <v>63</v>
      </c>
      <c r="E20" s="124" t="str">
        <f t="shared" si="2"/>
        <v>$millions</v>
      </c>
      <c r="F20" s="138">
        <f t="shared" ref="F20:F29" si="3">$F$13</f>
        <v>43617</v>
      </c>
      <c r="G20" s="125"/>
      <c r="H20" s="125"/>
      <c r="I20" s="124"/>
      <c r="J20" s="133">
        <v>9.0780474517065002E-2</v>
      </c>
      <c r="K20" s="133">
        <v>8.7118384215714009E-2</v>
      </c>
      <c r="L20" s="133">
        <v>8.6867702969991994E-2</v>
      </c>
      <c r="M20" s="133">
        <v>8.4591744719448012E-2</v>
      </c>
      <c r="N20" s="133">
        <v>8.1533565666551996E-2</v>
      </c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63</v>
      </c>
      <c r="E21" s="124" t="str">
        <f t="shared" si="2"/>
        <v>$millions</v>
      </c>
      <c r="F21" s="138">
        <f t="shared" si="3"/>
        <v>43617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63</v>
      </c>
      <c r="E22" s="124" t="str">
        <f t="shared" si="2"/>
        <v>$millions</v>
      </c>
      <c r="F22" s="138">
        <f t="shared" si="3"/>
        <v>43617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63</v>
      </c>
      <c r="E23" s="124" t="str">
        <f t="shared" si="2"/>
        <v>$millions</v>
      </c>
      <c r="F23" s="138">
        <f t="shared" si="3"/>
        <v>43617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63</v>
      </c>
      <c r="E24" s="124" t="str">
        <f t="shared" si="2"/>
        <v>$millions</v>
      </c>
      <c r="F24" s="138">
        <f t="shared" si="3"/>
        <v>43617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63</v>
      </c>
      <c r="E25" s="124" t="str">
        <f t="shared" si="2"/>
        <v>$millions</v>
      </c>
      <c r="F25" s="138">
        <f t="shared" si="3"/>
        <v>43617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63</v>
      </c>
      <c r="E26" s="124" t="str">
        <f t="shared" si="2"/>
        <v>$millions</v>
      </c>
      <c r="F26" s="138">
        <f t="shared" si="3"/>
        <v>43617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63</v>
      </c>
      <c r="E27" s="124" t="str">
        <f t="shared" si="2"/>
        <v>$millions</v>
      </c>
      <c r="F27" s="138">
        <f t="shared" si="3"/>
        <v>43617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>
      <c r="A29" s="123"/>
      <c r="B29" s="123"/>
      <c r="C29" s="134" t="s">
        <v>144</v>
      </c>
      <c r="D29" s="135" t="s">
        <v>30</v>
      </c>
      <c r="E29" s="139" t="str">
        <f>units</f>
        <v>$millions</v>
      </c>
      <c r="F29" s="136">
        <f t="shared" si="3"/>
        <v>43617</v>
      </c>
      <c r="G29" s="125"/>
      <c r="H29" s="125"/>
      <c r="I29" s="124"/>
      <c r="J29" s="137">
        <f>SUM(J19:J27)</f>
        <v>0.49826788009690098</v>
      </c>
      <c r="K29" s="137">
        <f t="shared" ref="K29:S29" si="5">SUM(K19:K27)</f>
        <v>0.49508573937639999</v>
      </c>
      <c r="L29" s="137">
        <f t="shared" si="5"/>
        <v>0.49200104209625095</v>
      </c>
      <c r="M29" s="137">
        <f t="shared" si="5"/>
        <v>0.49489199190388405</v>
      </c>
      <c r="N29" s="137">
        <f t="shared" si="5"/>
        <v>0.49108710358544105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2.75">
      <c r="A31" s="119"/>
      <c r="B31" s="38" t="s">
        <v>53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68</v>
      </c>
      <c r="O33" s="133"/>
      <c r="P33" s="133"/>
      <c r="Q33" s="133"/>
      <c r="R33" s="133"/>
      <c r="S33" s="133"/>
      <c r="T33" s="133"/>
      <c r="U33" s="123"/>
      <c r="V33" s="8"/>
    </row>
    <row r="34" spans="1:22">
      <c r="A34" s="123"/>
      <c r="B34" s="123"/>
      <c r="C34" s="126" t="s">
        <v>70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43983</v>
      </c>
      <c r="K34" s="127">
        <f t="shared" si="6"/>
        <v>44348</v>
      </c>
      <c r="L34" s="127">
        <f t="shared" si="6"/>
        <v>44713</v>
      </c>
      <c r="M34" s="127">
        <f t="shared" si="6"/>
        <v>45078</v>
      </c>
      <c r="N34" s="127">
        <f t="shared" si="6"/>
        <v>45444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50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67</v>
      </c>
      <c r="D37" s="124" t="s">
        <v>69</v>
      </c>
      <c r="E37" s="124" t="str">
        <f>units</f>
        <v>$millions</v>
      </c>
      <c r="F37" s="138" t="s">
        <v>94</v>
      </c>
      <c r="G37" s="125"/>
      <c r="H37" s="125"/>
      <c r="I37" s="124"/>
      <c r="J37" s="133">
        <v>53.278416409999998</v>
      </c>
      <c r="K37" s="133">
        <v>54.940209000000003</v>
      </c>
      <c r="L37" s="133">
        <v>59.831430977440995</v>
      </c>
      <c r="M37" s="133">
        <v>58.564973999999999</v>
      </c>
      <c r="N37" s="133"/>
      <c r="O37" s="133"/>
      <c r="P37" s="133"/>
      <c r="Q37" s="133"/>
      <c r="R37" s="133"/>
      <c r="S37" s="133"/>
      <c r="T37" s="133"/>
      <c r="U37" s="123" t="s">
        <v>150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>
      <c r="A39" s="123"/>
      <c r="B39" s="123"/>
      <c r="C39" s="126" t="s">
        <v>158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154</v>
      </c>
      <c r="D41" s="124" t="s">
        <v>69</v>
      </c>
      <c r="E41" s="124" t="str">
        <f>units</f>
        <v>$millions</v>
      </c>
      <c r="F41" s="138" t="s">
        <v>94</v>
      </c>
      <c r="G41" s="125"/>
      <c r="H41" s="125"/>
      <c r="I41" s="124"/>
      <c r="J41" s="133">
        <v>1.3887580700000004</v>
      </c>
      <c r="K41" s="133">
        <v>0.80393186000000039</v>
      </c>
      <c r="L41" s="133">
        <v>0.74210799999999999</v>
      </c>
      <c r="M41" s="133">
        <v>0.189808</v>
      </c>
      <c r="N41" s="133">
        <v>0</v>
      </c>
      <c r="O41" s="133"/>
      <c r="P41" s="133"/>
      <c r="Q41" s="133"/>
      <c r="R41" s="133"/>
      <c r="S41" s="133"/>
      <c r="T41" s="133"/>
      <c r="U41" s="123" t="s">
        <v>157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 t="s">
        <v>194</v>
      </c>
      <c r="D42" s="124" t="s">
        <v>69</v>
      </c>
      <c r="E42" s="124" t="str">
        <f>units</f>
        <v>$millions</v>
      </c>
      <c r="F42" s="138" t="s">
        <v>94</v>
      </c>
      <c r="G42" s="125"/>
      <c r="H42" s="125"/>
      <c r="I42" s="124"/>
      <c r="J42" s="133">
        <v>0.276034</v>
      </c>
      <c r="K42" s="133">
        <v>0.25217299999999998</v>
      </c>
      <c r="L42" s="133">
        <v>0</v>
      </c>
      <c r="M42" s="133">
        <v>0</v>
      </c>
      <c r="N42" s="133">
        <v>0</v>
      </c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69</v>
      </c>
      <c r="E43" s="124" t="str">
        <f>units</f>
        <v>$millions</v>
      </c>
      <c r="F43" s="138" t="s">
        <v>94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69</v>
      </c>
      <c r="E44" s="124" t="str">
        <f>units</f>
        <v>$millions</v>
      </c>
      <c r="F44" s="138" t="s">
        <v>94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69</v>
      </c>
      <c r="E45" s="124" t="str">
        <f>units</f>
        <v>$millions</v>
      </c>
      <c r="F45" s="138" t="s">
        <v>94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>
      <c r="A47" s="123"/>
      <c r="B47" s="123"/>
      <c r="C47" s="134" t="s">
        <v>155</v>
      </c>
      <c r="D47" s="135" t="s">
        <v>30</v>
      </c>
      <c r="E47" s="139" t="str">
        <f>units</f>
        <v>$millions</v>
      </c>
      <c r="F47" s="136" t="s">
        <v>94</v>
      </c>
      <c r="G47" s="125"/>
      <c r="H47" s="125"/>
      <c r="I47" s="124"/>
      <c r="J47" s="137">
        <f>J37-SUM(J41:J45)</f>
        <v>51.613624340000001</v>
      </c>
      <c r="K47" s="137">
        <f t="shared" ref="K47:S47" si="8">K37-SUM(K41:K45)</f>
        <v>53.884104140000005</v>
      </c>
      <c r="L47" s="137">
        <f t="shared" si="8"/>
        <v>59.089322977440993</v>
      </c>
      <c r="M47" s="137">
        <f t="shared" si="8"/>
        <v>58.375166</v>
      </c>
      <c r="N47" s="137">
        <f t="shared" si="8"/>
        <v>0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>
      <c r="A49" s="123"/>
      <c r="B49" s="123"/>
      <c r="C49" s="126" t="s">
        <v>102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39</v>
      </c>
      <c r="D51" s="124" t="s">
        <v>69</v>
      </c>
      <c r="E51" s="124" t="str">
        <f>units</f>
        <v>$millions</v>
      </c>
      <c r="F51" s="138" t="s">
        <v>94</v>
      </c>
      <c r="G51" s="125"/>
      <c r="H51" s="125"/>
      <c r="I51" s="124"/>
      <c r="J51" s="133">
        <v>0</v>
      </c>
      <c r="K51" s="133">
        <v>0</v>
      </c>
      <c r="L51" s="133">
        <v>0</v>
      </c>
      <c r="M51" s="133">
        <v>0</v>
      </c>
      <c r="N51" s="133"/>
      <c r="O51" s="133"/>
      <c r="P51" s="133"/>
      <c r="Q51" s="133"/>
      <c r="R51" s="133"/>
      <c r="S51" s="133"/>
      <c r="T51" s="133"/>
      <c r="U51" s="123" t="s">
        <v>153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/>
      <c r="D52" s="124" t="s">
        <v>69</v>
      </c>
      <c r="E52" s="124" t="str">
        <f>units</f>
        <v>$millions</v>
      </c>
      <c r="F52" s="138" t="s">
        <v>94</v>
      </c>
      <c r="G52" s="125"/>
      <c r="H52" s="125"/>
      <c r="I52" s="124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69</v>
      </c>
      <c r="E53" s="124" t="str">
        <f>units</f>
        <v>$millions</v>
      </c>
      <c r="F53" s="138" t="s">
        <v>94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69</v>
      </c>
      <c r="E54" s="124" t="str">
        <f>units</f>
        <v>$millions</v>
      </c>
      <c r="F54" s="138" t="s">
        <v>94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69</v>
      </c>
      <c r="E55" s="124" t="str">
        <f>units</f>
        <v>$millions</v>
      </c>
      <c r="F55" s="138" t="s">
        <v>94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>
      <c r="A57" s="123"/>
      <c r="B57" s="123"/>
      <c r="C57" s="134" t="s">
        <v>144</v>
      </c>
      <c r="D57" s="135" t="s">
        <v>30</v>
      </c>
      <c r="E57" s="139" t="str">
        <f>units</f>
        <v>$millions</v>
      </c>
      <c r="F57" s="136" t="s">
        <v>94</v>
      </c>
      <c r="G57" s="125"/>
      <c r="H57" s="125"/>
      <c r="I57" s="124"/>
      <c r="J57" s="141">
        <f>SUM(J51:J55)</f>
        <v>0</v>
      </c>
      <c r="K57" s="141">
        <f t="shared" ref="K57:S57" si="10">SUM(K51:K55)</f>
        <v>0</v>
      </c>
      <c r="L57" s="141">
        <f t="shared" si="10"/>
        <v>0</v>
      </c>
      <c r="M57" s="141">
        <f t="shared" si="10"/>
        <v>0</v>
      </c>
      <c r="N57" s="141">
        <f t="shared" si="10"/>
        <v>0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2.75">
      <c r="A59" s="119"/>
      <c r="B59" s="38" t="s">
        <v>103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>
      <c r="A61" s="123"/>
      <c r="B61" s="123"/>
      <c r="C61" s="126" t="s">
        <v>104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45444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/>
      <c r="D63" s="124" t="s">
        <v>34</v>
      </c>
      <c r="E63" s="124" t="str">
        <f>units</f>
        <v>$millions</v>
      </c>
      <c r="F63" s="143">
        <f>DATE(PPLastYear,MONTH(month),1)</f>
        <v>45444</v>
      </c>
      <c r="G63" s="125"/>
      <c r="H63" s="125"/>
      <c r="I63" s="125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23" t="s">
        <v>160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3"/>
      <c r="B64" s="123"/>
      <c r="C64" s="131"/>
      <c r="D64" s="124" t="s">
        <v>34</v>
      </c>
      <c r="E64" s="124" t="str">
        <f>units</f>
        <v>$millions</v>
      </c>
      <c r="F64" s="143">
        <f>DATE(PPLastYear,MONTH(month),1)</f>
        <v>45444</v>
      </c>
      <c r="G64" s="125"/>
      <c r="H64" s="125"/>
      <c r="I64" s="125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23"/>
      <c r="B65" s="123"/>
      <c r="C65" s="131"/>
      <c r="D65" s="124" t="s">
        <v>34</v>
      </c>
      <c r="E65" s="124" t="str">
        <f>units</f>
        <v>$millions</v>
      </c>
      <c r="F65" s="143">
        <f>DATE(PPLastYear,MONTH(month),1)</f>
        <v>45444</v>
      </c>
      <c r="G65" s="125"/>
      <c r="H65" s="125"/>
      <c r="I65" s="125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45444</v>
      </c>
      <c r="G66" s="125"/>
      <c r="H66" s="125"/>
      <c r="I66" s="125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45444</v>
      </c>
      <c r="G67" s="125"/>
      <c r="H67" s="125"/>
      <c r="I67" s="125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156</v>
      </c>
      <c r="D69" s="124" t="s">
        <v>34</v>
      </c>
      <c r="E69" s="124" t="str">
        <f>units</f>
        <v>$millions</v>
      </c>
      <c r="F69" s="143">
        <f>DATE(PPLastYear,MONTH(month),1)</f>
        <v>45444</v>
      </c>
      <c r="G69" s="125"/>
      <c r="H69" s="125"/>
      <c r="I69" s="125"/>
      <c r="J69" s="133"/>
      <c r="K69" s="133"/>
      <c r="L69" s="133"/>
      <c r="M69" s="133"/>
      <c r="N69" s="133">
        <v>0</v>
      </c>
      <c r="O69" s="133"/>
      <c r="P69" s="133"/>
      <c r="Q69" s="133"/>
      <c r="R69" s="133"/>
      <c r="S69" s="133"/>
      <c r="T69" s="133"/>
      <c r="U69" s="123" t="s">
        <v>219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83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123" t="s">
        <v>218</v>
      </c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2.75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sheetProtection selectLockedCells="1"/>
  <phoneticPr fontId="15" type="noConversion"/>
  <conditionalFormatting sqref="V52:V55">
    <cfRule type="cellIs" dxfId="236" priority="86" operator="equal">
      <formula>"Check"</formula>
    </cfRule>
    <cfRule type="cellIs" dxfId="235" priority="87" operator="equal">
      <formula>"Ok"</formula>
    </cfRule>
  </conditionalFormatting>
  <conditionalFormatting sqref="V57">
    <cfRule type="cellIs" dxfId="234" priority="84" operator="equal">
      <formula>"Check"</formula>
    </cfRule>
    <cfRule type="cellIs" dxfId="233" priority="85" operator="equal">
      <formula>"Ok"</formula>
    </cfRule>
  </conditionalFormatting>
  <conditionalFormatting sqref="V15">
    <cfRule type="cellIs" dxfId="232" priority="82" operator="equal">
      <formula>"Check"</formula>
    </cfRule>
    <cfRule type="cellIs" dxfId="231" priority="83" operator="equal">
      <formula>"Ok"</formula>
    </cfRule>
  </conditionalFormatting>
  <conditionalFormatting sqref="V1">
    <cfRule type="cellIs" dxfId="230" priority="80" operator="equal">
      <formula>"Check"</formula>
    </cfRule>
    <cfRule type="cellIs" dxfId="229" priority="81" operator="equal">
      <formula>"Ok"</formula>
    </cfRule>
  </conditionalFormatting>
  <conditionalFormatting sqref="S1">
    <cfRule type="cellIs" dxfId="228" priority="78" operator="equal">
      <formula>"Check"</formula>
    </cfRule>
    <cfRule type="cellIs" dxfId="227" priority="79" operator="equal">
      <formula>"Ok"</formula>
    </cfRule>
  </conditionalFormatting>
  <conditionalFormatting sqref="J15:N15">
    <cfRule type="cellIs" dxfId="226" priority="77" operator="equal">
      <formula>0</formula>
    </cfRule>
  </conditionalFormatting>
  <conditionalFormatting sqref="J57:N57">
    <cfRule type="cellIs" dxfId="225" priority="76" operator="equal">
      <formula>0</formula>
    </cfRule>
  </conditionalFormatting>
  <conditionalFormatting sqref="V48:V50">
    <cfRule type="cellIs" dxfId="224" priority="74" operator="equal">
      <formula>"Check"</formula>
    </cfRule>
    <cfRule type="cellIs" dxfId="223" priority="75" operator="equal">
      <formula>"Ok"</formula>
    </cfRule>
  </conditionalFormatting>
  <conditionalFormatting sqref="J33:N33 N37 J54:J55 J41:N41 J51:N51 J42:L45 N42:N45">
    <cfRule type="expression" dxfId="222" priority="72">
      <formula>J$34=J$4</formula>
    </cfRule>
  </conditionalFormatting>
  <conditionalFormatting sqref="J20:N27 J13:O13">
    <cfRule type="expression" dxfId="221" priority="71">
      <formula>J$10=J$4</formula>
    </cfRule>
  </conditionalFormatting>
  <conditionalFormatting sqref="J37:N37">
    <cfRule type="expression" dxfId="220" priority="68">
      <formula>J$10=J$4</formula>
    </cfRule>
  </conditionalFormatting>
  <conditionalFormatting sqref="V47">
    <cfRule type="cellIs" dxfId="219" priority="66" operator="equal">
      <formula>"Check"</formula>
    </cfRule>
    <cfRule type="cellIs" dxfId="218" priority="67" operator="equal">
      <formula>"Ok"</formula>
    </cfRule>
  </conditionalFormatting>
  <conditionalFormatting sqref="J47:N47">
    <cfRule type="cellIs" dxfId="217" priority="64" operator="equal">
      <formula>0</formula>
    </cfRule>
  </conditionalFormatting>
  <conditionalFormatting sqref="J69:T69 J71:T71 J63:N67">
    <cfRule type="expression" dxfId="216" priority="63">
      <formula>J$61=J$4</formula>
    </cfRule>
  </conditionalFormatting>
  <conditionalFormatting sqref="V29">
    <cfRule type="cellIs" dxfId="215" priority="59" operator="equal">
      <formula>"Check"</formula>
    </cfRule>
    <cfRule type="cellIs" dxfId="214" priority="60" operator="equal">
      <formula>"Ok"</formula>
    </cfRule>
  </conditionalFormatting>
  <conditionalFormatting sqref="J29:N29">
    <cfRule type="cellIs" dxfId="213" priority="58" operator="equal">
      <formula>0</formula>
    </cfRule>
  </conditionalFormatting>
  <conditionalFormatting sqref="T1">
    <cfRule type="cellIs" dxfId="212" priority="51" operator="equal">
      <formula>"Check"</formula>
    </cfRule>
    <cfRule type="cellIs" dxfId="211" priority="52" operator="equal">
      <formula>"Ok"</formula>
    </cfRule>
  </conditionalFormatting>
  <conditionalFormatting sqref="O57:T57">
    <cfRule type="cellIs" dxfId="210" priority="33" operator="equal">
      <formula>0</formula>
    </cfRule>
  </conditionalFormatting>
  <conditionalFormatting sqref="O37:T37">
    <cfRule type="expression" dxfId="209" priority="30">
      <formula>O$10=O$4</formula>
    </cfRule>
  </conditionalFormatting>
  <conditionalFormatting sqref="O47:T47">
    <cfRule type="cellIs" dxfId="208" priority="29" operator="equal">
      <formula>0</formula>
    </cfRule>
  </conditionalFormatting>
  <conditionalFormatting sqref="O63:T67">
    <cfRule type="expression" dxfId="207" priority="28">
      <formula>O$61=O$4</formula>
    </cfRule>
  </conditionalFormatting>
  <conditionalFormatting sqref="O29:T29">
    <cfRule type="cellIs" dxfId="206" priority="27" operator="equal">
      <formula>0</formula>
    </cfRule>
  </conditionalFormatting>
  <conditionalFormatting sqref="O15:T15">
    <cfRule type="cellIs" dxfId="205" priority="34" operator="equal">
      <formula>0</formula>
    </cfRule>
  </conditionalFormatting>
  <conditionalFormatting sqref="O41:T45 O33:T33 O37:T37 O51:T51 O54:T55 P52:T53">
    <cfRule type="expression" dxfId="204" priority="32">
      <formula>O$34=O$4</formula>
    </cfRule>
  </conditionalFormatting>
  <conditionalFormatting sqref="P13:T13 O20:T27 P19:T19">
    <cfRule type="expression" dxfId="203" priority="31">
      <formula>O$10=O$4</formula>
    </cfRule>
  </conditionalFormatting>
  <conditionalFormatting sqref="J19:O19">
    <cfRule type="expression" dxfId="202" priority="26">
      <formula>J$10=J$4</formula>
    </cfRule>
  </conditionalFormatting>
  <conditionalFormatting sqref="J53 O52:O53 K53:N55">
    <cfRule type="expression" dxfId="201" priority="25">
      <formula>J$34=J$4</formula>
    </cfRule>
  </conditionalFormatting>
  <conditionalFormatting sqref="M42:M45">
    <cfRule type="expression" dxfId="200" priority="24">
      <formula>M$34=M$4</formula>
    </cfRule>
  </conditionalFormatting>
  <conditionalFormatting sqref="J52:M52">
    <cfRule type="expression" dxfId="199" priority="22">
      <formula>J$34=J$4</formula>
    </cfRule>
  </conditionalFormatting>
  <conditionalFormatting sqref="N52">
    <cfRule type="expression" dxfId="198" priority="21">
      <formula>N$34=N$4</formula>
    </cfRule>
  </conditionalFormatting>
  <conditionalFormatting sqref="V13">
    <cfRule type="cellIs" dxfId="197" priority="19" operator="equal">
      <formula>"Check"</formula>
    </cfRule>
    <cfRule type="cellIs" dxfId="196" priority="20" operator="equal">
      <formula>"Ok"</formula>
    </cfRule>
  </conditionalFormatting>
  <conditionalFormatting sqref="V19:V27">
    <cfRule type="cellIs" dxfId="195" priority="17" operator="equal">
      <formula>"Check"</formula>
    </cfRule>
    <cfRule type="cellIs" dxfId="194" priority="18" operator="equal">
      <formula>"Ok"</formula>
    </cfRule>
  </conditionalFormatting>
  <conditionalFormatting sqref="V37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V41:V45">
    <cfRule type="cellIs" dxfId="191" priority="9" operator="equal">
      <formula>"Check"</formula>
    </cfRule>
    <cfRule type="cellIs" dxfId="190" priority="10" operator="equal">
      <formula>"Ok"</formula>
    </cfRule>
  </conditionalFormatting>
  <conditionalFormatting sqref="V51:V55">
    <cfRule type="cellIs" dxfId="189" priority="7" operator="equal">
      <formula>"Check"</formula>
    </cfRule>
    <cfRule type="cellIs" dxfId="188" priority="8" operator="equal">
      <formula>"Ok"</formula>
    </cfRule>
  </conditionalFormatting>
  <conditionalFormatting sqref="V63:V67">
    <cfRule type="cellIs" dxfId="187" priority="5" operator="equal">
      <formula>"Check"</formula>
    </cfRule>
    <cfRule type="cellIs" dxfId="186" priority="6" operator="equal">
      <formula>"Ok"</formula>
    </cfRule>
  </conditionalFormatting>
  <conditionalFormatting sqref="V69">
    <cfRule type="cellIs" dxfId="185" priority="3" operator="equal">
      <formula>"Check"</formula>
    </cfRule>
    <cfRule type="cellIs" dxfId="184" priority="4" operator="equal">
      <formula>"Ok"</formula>
    </cfRule>
  </conditionalFormatting>
  <conditionalFormatting sqref="V71">
    <cfRule type="cellIs" dxfId="183" priority="1" operator="equal">
      <formula>"Check"</formula>
    </cfRule>
    <cfRule type="cellIs" dxfId="182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C1" zoomScaleNormal="100" workbookViewId="0">
      <selection activeCell="C12" sqref="C1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5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76</v>
      </c>
      <c r="T1" s="29" t="str">
        <f>IF(COUNTIF(X5:X118,"Check")=0,"Ok","Check")</f>
        <v>Ok</v>
      </c>
      <c r="U1" s="29"/>
      <c r="W1" s="206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108</v>
      </c>
      <c r="K3" s="225"/>
      <c r="L3" s="225"/>
      <c r="M3" s="225"/>
      <c r="N3" s="105"/>
      <c r="O3" s="225"/>
      <c r="P3" s="225"/>
      <c r="Q3" s="225"/>
      <c r="R3" s="225"/>
      <c r="S3" s="225"/>
      <c r="T3" s="225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43617</v>
      </c>
      <c r="K4" s="94">
        <f>DATE(PPFirstYear,MONTH('Input|General'!$G$9),1)</f>
        <v>43983</v>
      </c>
      <c r="L4" s="94">
        <f>DATE(PPFirstYear+1,MONTH('Input|General'!$G$9),1)</f>
        <v>44348</v>
      </c>
      <c r="M4" s="94">
        <f>DATE(PPFirstYear+2,MONTH('Input|General'!$G$9),1)</f>
        <v>44713</v>
      </c>
      <c r="N4" s="94">
        <f>DATE(PPFirstYear+3,MONTH('Input|General'!$G$9),1)</f>
        <v>45078</v>
      </c>
      <c r="O4" s="94">
        <f>DATE(PPFirstYear+4,MONTH('Input|General'!$G$9),1)</f>
        <v>45444</v>
      </c>
      <c r="P4" s="94">
        <f>DATE(PPFirstYear+5,MONTH('Input|General'!$G$9),1)</f>
        <v>45809</v>
      </c>
      <c r="Q4" s="94">
        <f>DATE(PPFirstYear+6,MONTH('Input|General'!$G$9),1)</f>
        <v>46174</v>
      </c>
      <c r="R4" s="94">
        <f>DATE(PPFirstYear+7,MONTH('Input|General'!$G$9),1)</f>
        <v>46539</v>
      </c>
      <c r="S4" s="94">
        <f>DATE(PPFirstYear+8,MONTH('Input|General'!$G$9),1)</f>
        <v>46905</v>
      </c>
      <c r="T4" s="94">
        <f>DATE(PPFirstYear+9,MONTH('Input|General'!$G$9),1)</f>
        <v>47270</v>
      </c>
      <c r="U4" s="94">
        <f>DATE(PPFirstYear+10,MONTH('Input|General'!$G$9),1)</f>
        <v>47635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2.75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43617</v>
      </c>
      <c r="K10" s="127">
        <f t="shared" si="0"/>
        <v>43983</v>
      </c>
      <c r="L10" s="127">
        <f t="shared" si="0"/>
        <v>44348</v>
      </c>
      <c r="M10" s="127">
        <f t="shared" si="0"/>
        <v>44713</v>
      </c>
      <c r="N10" s="127">
        <f t="shared" si="0"/>
        <v>45078</v>
      </c>
      <c r="O10" s="127">
        <f t="shared" si="0"/>
        <v>45444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92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1.5929203539823078E-2</v>
      </c>
      <c r="K12" s="152">
        <f>IF(K10=K4,LOOKUP(EOMONTH(K4,0),'Input|Inflation'!$C$9:$C$84,'Input|Inflation'!$I$9:$I$84),"")</f>
        <v>-3.4843205574912606E-3</v>
      </c>
      <c r="L12" s="152">
        <f>IF(L10=L4,LOOKUP(EOMONTH(L4,0),'Input|Inflation'!$C$9:$C$84,'Input|Inflation'!$I$9:$I$84),"")</f>
        <v>3.8461538461538325E-2</v>
      </c>
      <c r="M12" s="152">
        <f>IF(M10=M4,LOOKUP(EOMONTH(M4,0),'Input|Inflation'!$C$9:$C$84,'Input|Inflation'!$I$9:$I$84),"")</f>
        <v>6.1447811447811418E-2</v>
      </c>
      <c r="N12" s="152">
        <f>IF(N10=N4,LOOKUP(EOMONTH(N4,0),'Input|Inflation'!$C$9:$C$84,'Input|Inflation'!$I$9:$I$84),"")</f>
        <v>6.0269627279936566E-2</v>
      </c>
      <c r="O12" s="152">
        <f>IF(O10=O4,LOOKUP(EOMONTH(O4,0),'Input|Inflation'!$C$9:$C$84,'Input|Inflation'!$I$9:$I$84),"")</f>
        <v>3.2999999999999918E-2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93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43617</v>
      </c>
      <c r="K14" s="127">
        <f t="shared" si="1"/>
        <v>43983</v>
      </c>
      <c r="L14" s="127">
        <f t="shared" si="1"/>
        <v>44348</v>
      </c>
      <c r="M14" s="127">
        <f t="shared" si="1"/>
        <v>44713</v>
      </c>
      <c r="N14" s="127">
        <f t="shared" si="1"/>
        <v>45078</v>
      </c>
      <c r="O14" s="127">
        <f t="shared" si="1"/>
        <v>45444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43617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0.99651567944250874</v>
      </c>
      <c r="L16" s="158">
        <f t="shared" si="3"/>
        <v>1.0348432055749128</v>
      </c>
      <c r="M16" s="158">
        <f t="shared" si="3"/>
        <v>1.0984320557491287</v>
      </c>
      <c r="N16" s="158">
        <f t="shared" si="3"/>
        <v>1.1646341463414631</v>
      </c>
      <c r="O16" s="158">
        <f t="shared" ref="O16:P16" si="4">IF(AND($C16&gt;O$14,ISNONTEXT($C16)),P16/(1+O$12),IF(AND($C16=O$14,O$14=O$4),1,IF(AND($C16&lt;O$14,O$14=O$4),N16*(1+O$12),0)))</f>
        <v>1.2030670731707314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43983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1.0034965034965035</v>
      </c>
      <c r="K17" s="158">
        <f t="shared" si="6"/>
        <v>1</v>
      </c>
      <c r="L17" s="158">
        <f t="shared" si="6"/>
        <v>1.0384615384615383</v>
      </c>
      <c r="M17" s="158">
        <f t="shared" si="6"/>
        <v>1.1022727272727271</v>
      </c>
      <c r="N17" s="158">
        <f t="shared" si="6"/>
        <v>1.1687062937062935</v>
      </c>
      <c r="O17" s="158">
        <f t="shared" ref="O17:P17" si="7">IF(AND($C17&gt;O$14,ISNONTEXT($C17)),P17/(1+O$12),IF(AND($C17=O$14,O$14=O$4),1,IF(AND($C17&lt;O$14,O$14=O$4),N17*(1+O$12),0)))</f>
        <v>1.2072736013986012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44348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0.96632996632996648</v>
      </c>
      <c r="K18" s="158">
        <f t="shared" si="8"/>
        <v>0.96296296296296313</v>
      </c>
      <c r="L18" s="158">
        <f t="shared" si="8"/>
        <v>1</v>
      </c>
      <c r="M18" s="158">
        <f t="shared" si="8"/>
        <v>1.0614478114478114</v>
      </c>
      <c r="N18" s="158">
        <f t="shared" si="8"/>
        <v>1.1254208754208754</v>
      </c>
      <c r="O18" s="158">
        <f t="shared" ref="O18:P18" si="9">IF(AND($C18&gt;O$14,ISNONTEXT($C18)),P18/(1+O$12),IF(AND($C18=O$14,O$14=O$4),1,IF(AND($C18&lt;O$14,O$14=O$4),N18*(1+O$12),0)))</f>
        <v>1.1625597643097643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44713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0.91038858049167337</v>
      </c>
      <c r="K19" s="158">
        <f t="shared" si="10"/>
        <v>0.90721649484536093</v>
      </c>
      <c r="L19" s="158">
        <f t="shared" si="10"/>
        <v>0.94210943695479776</v>
      </c>
      <c r="M19" s="158">
        <f t="shared" si="10"/>
        <v>1</v>
      </c>
      <c r="N19" s="158">
        <f t="shared" si="10"/>
        <v>1.0602696272799366</v>
      </c>
      <c r="O19" s="158">
        <f t="shared" ref="O19:P19" si="11">IF(AND($C19&gt;O$14,ISNONTEXT($C19)),P19/(1+O$12),IF(AND($C19=O$14,O$14=O$4),1,IF(AND($C19&lt;O$14,O$14=O$4),N19*(1+O$12),0)))</f>
        <v>1.0952585249801743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45078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0.85863874345549751</v>
      </c>
      <c r="K20" s="158">
        <f t="shared" ref="K20:N20" si="12">IF(AND($C20&gt;K$14,ISNONTEXT($C20)),L20/(1+L$12),IF(AND($C20=K$14,K$14=K$4),1,IF(AND($C20&lt;K$14,K$14=K$4),J20*(1+K$12),0)))</f>
        <v>0.85564697083021701</v>
      </c>
      <c r="L20" s="158">
        <f t="shared" si="12"/>
        <v>0.88855646970830215</v>
      </c>
      <c r="M20" s="158">
        <f t="shared" si="12"/>
        <v>0.94315632011967088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1.0329999999999999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45444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0.83120885136059786</v>
      </c>
      <c r="K21" s="158">
        <f t="shared" ref="K21:K22" si="14">IF(AND($C21&gt;K$14,ISNONTEXT($C21)),L21/(1+L$12),IF(AND($C21=K$14,K$14=K$4),1,IF(AND($C21&lt;K$14,K$14=K$4),J21*(1+K$12),0)))</f>
        <v>0.82831265327223347</v>
      </c>
      <c r="L21" s="158">
        <f t="shared" ref="L21:L22" si="15">IF(AND($C21&gt;L$14,ISNONTEXT($C21)),M21/(1+M$12),IF(AND($C21=L$14,L$14=L$4),1,IF(AND($C21&lt;L$14,L$14=L$4),K21*(1+L$12),0)))</f>
        <v>0.86017083224424229</v>
      </c>
      <c r="M21" s="158">
        <f t="shared" ref="M21:M22" si="16">IF(AND($C21&gt;M$14,ISNONTEXT($C21)),N21/(1+N$12),IF(AND($C21=M$14,M$14=M$4),1,IF(AND($C21&lt;M$14,M$14=M$4),L21*(1+M$12),0)))</f>
        <v>0.91302644735689353</v>
      </c>
      <c r="N21" s="158">
        <f t="shared" ref="N21:N22" si="17">IF(AND($C21&gt;N$14,ISNONTEXT($C21)),O21/(1+O$12),IF(AND($C21=N$14,N$14=N$4),1,IF(AND($C21&lt;N$14,N$14=N$4),M21*(1+N$12),0)))</f>
        <v>0.96805421103581812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45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43617</v>
      </c>
      <c r="K24" s="127">
        <f t="shared" si="20"/>
        <v>43983</v>
      </c>
      <c r="L24" s="127">
        <f t="shared" si="20"/>
        <v>44348</v>
      </c>
      <c r="M24" s="127">
        <f t="shared" si="20"/>
        <v>44713</v>
      </c>
      <c r="N24" s="127">
        <f t="shared" si="20"/>
        <v>45078</v>
      </c>
      <c r="O24" s="127">
        <f t="shared" si="20"/>
        <v>45444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43617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1.0079331344587412</v>
      </c>
      <c r="K26" s="158">
        <f t="shared" ref="K26:T26" si="22">IF(AND(K$24=K$4,ISNONTEXT($C26)),1/K16*(1+K$12)^0.5,0)</f>
        <v>1.0017467262220046</v>
      </c>
      <c r="L26" s="158">
        <f t="shared" si="22"/>
        <v>0.98473790545302708</v>
      </c>
      <c r="M26" s="158">
        <f t="shared" si="22"/>
        <v>0.93794230437362447</v>
      </c>
      <c r="N26" s="158">
        <f t="shared" si="22"/>
        <v>0.88413511795969557</v>
      </c>
      <c r="O26" s="158">
        <f t="shared" si="22"/>
        <v>0.84481247841242924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43983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1.0044211723177698</v>
      </c>
      <c r="K27" s="158">
        <f t="shared" si="24"/>
        <v>0.99825631951042948</v>
      </c>
      <c r="L27" s="158">
        <f t="shared" si="24"/>
        <v>0.98130676292531638</v>
      </c>
      <c r="M27" s="158">
        <f t="shared" si="24"/>
        <v>0.93467421272075479</v>
      </c>
      <c r="N27" s="158">
        <f t="shared" si="24"/>
        <v>0.88105450779258843</v>
      </c>
      <c r="O27" s="158">
        <f t="shared" si="24"/>
        <v>0.84186888092667156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44348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1.0430527558684535</v>
      </c>
      <c r="K28" s="158">
        <f t="shared" si="25"/>
        <v>1.0366507933377536</v>
      </c>
      <c r="L28" s="158">
        <f t="shared" si="25"/>
        <v>1.019049330730136</v>
      </c>
      <c r="M28" s="158">
        <f t="shared" si="25"/>
        <v>0.970623220902322</v>
      </c>
      <c r="N28" s="158">
        <f t="shared" si="25"/>
        <v>0.9149412196307648</v>
      </c>
      <c r="O28" s="158">
        <f t="shared" si="25"/>
        <v>0.874248453270005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44713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1.1071460649411782</v>
      </c>
      <c r="K29" s="158">
        <f t="shared" si="26"/>
        <v>1.100350715823996</v>
      </c>
      <c r="L29" s="158">
        <f t="shared" si="26"/>
        <v>1.0816676818608599</v>
      </c>
      <c r="M29" s="158">
        <f t="shared" si="26"/>
        <v>1.0302658935671953</v>
      </c>
      <c r="N29" s="158">
        <f t="shared" si="26"/>
        <v>0.97116235518046667</v>
      </c>
      <c r="O29" s="158">
        <f t="shared" si="26"/>
        <v>0.92796910738508109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45078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1.1738733456196315</v>
      </c>
      <c r="K30" s="158">
        <f t="shared" si="27"/>
        <v>1.1666684433439196</v>
      </c>
      <c r="L30" s="158">
        <f t="shared" si="27"/>
        <v>1.1468593898873669</v>
      </c>
      <c r="M30" s="158">
        <f t="shared" si="27"/>
        <v>1.0923596349717211</v>
      </c>
      <c r="N30" s="158">
        <f t="shared" si="27"/>
        <v>1.0296939483554988</v>
      </c>
      <c r="O30" s="158">
        <f t="shared" si="27"/>
        <v>0.98389745961447539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45444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1.2126111660250791</v>
      </c>
      <c r="K31" s="158">
        <f t="shared" si="28"/>
        <v>1.2051685019742686</v>
      </c>
      <c r="L31" s="158">
        <f t="shared" si="28"/>
        <v>1.18470574975365</v>
      </c>
      <c r="M31" s="158">
        <f t="shared" si="28"/>
        <v>1.1284075029257876</v>
      </c>
      <c r="N31" s="158">
        <f t="shared" si="28"/>
        <v>1.06367384865123</v>
      </c>
      <c r="O31" s="158">
        <f t="shared" si="28"/>
        <v>1.016366075781753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2.75">
      <c r="A34" s="119"/>
      <c r="B34" s="38" t="s">
        <v>71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74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45809</v>
      </c>
      <c r="Q36" s="142">
        <f t="shared" si="29"/>
        <v>46174</v>
      </c>
      <c r="R36" s="142">
        <f t="shared" si="29"/>
        <v>46539</v>
      </c>
      <c r="S36" s="142">
        <f t="shared" si="29"/>
        <v>46905</v>
      </c>
      <c r="T36" s="142">
        <f t="shared" si="29"/>
        <v>47270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232</v>
      </c>
      <c r="D38" s="124" t="s">
        <v>95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1.3768090614922901E-3</v>
      </c>
      <c r="Q38" s="163">
        <v>6.4204487637893326E-3</v>
      </c>
      <c r="R38" s="163">
        <v>9.4373720576543807E-3</v>
      </c>
      <c r="S38" s="163">
        <v>1.0322316782611418E-2</v>
      </c>
      <c r="T38" s="163">
        <v>1.0304919567530879E-2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233</v>
      </c>
      <c r="D39" s="124" t="s">
        <v>95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1.3097976523148142E-2</v>
      </c>
      <c r="Q39" s="164">
        <v>1.1012454781269417E-2</v>
      </c>
      <c r="R39" s="164">
        <v>7.9909382395090926E-3</v>
      </c>
      <c r="S39" s="164">
        <v>6.5744518695774138E-3</v>
      </c>
      <c r="T39" s="164">
        <v>9.5563127321210313E-3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175</v>
      </c>
      <c r="D40" s="124" t="s">
        <v>95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7.237392792320216E-3</v>
      </c>
      <c r="Q40" s="164">
        <f t="shared" ref="Q40:T40" si="31">AVERAGE(Q38:Q39)</f>
        <v>8.7164517725293739E-3</v>
      </c>
      <c r="R40" s="164">
        <f t="shared" si="31"/>
        <v>8.7141551485817367E-3</v>
      </c>
      <c r="S40" s="164">
        <f t="shared" si="31"/>
        <v>8.4483843260944151E-3</v>
      </c>
      <c r="T40" s="164">
        <f t="shared" si="31"/>
        <v>9.9306161498259552E-3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162</v>
      </c>
      <c r="D41" s="124" t="s">
        <v>95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5.0000000000000001E-3</v>
      </c>
      <c r="R41" s="164">
        <v>0</v>
      </c>
      <c r="S41" s="164">
        <v>0</v>
      </c>
      <c r="T41" s="164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163</v>
      </c>
      <c r="D42" s="124" t="s">
        <v>95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1.2237392792320216E-2</v>
      </c>
      <c r="Q42" s="164">
        <f t="shared" ref="Q42:T42" si="32">Q41+Q40</f>
        <v>1.3716451772529375E-2</v>
      </c>
      <c r="R42" s="164">
        <f t="shared" si="32"/>
        <v>8.7141551485817367E-3</v>
      </c>
      <c r="S42" s="164">
        <f t="shared" si="32"/>
        <v>8.4483843260944151E-3</v>
      </c>
      <c r="T42" s="164">
        <f t="shared" si="32"/>
        <v>9.9306161498259552E-3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95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95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75</v>
      </c>
      <c r="D45" s="124" t="s">
        <v>95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92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45809</v>
      </c>
      <c r="Q49" s="142">
        <f t="shared" si="34"/>
        <v>46174</v>
      </c>
      <c r="R49" s="142">
        <f t="shared" si="34"/>
        <v>46539</v>
      </c>
      <c r="S49" s="142">
        <f t="shared" si="34"/>
        <v>46905</v>
      </c>
      <c r="T49" s="142">
        <f t="shared" si="34"/>
        <v>47270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- KPMG forecast</v>
      </c>
      <c r="D51" s="124" t="s">
        <v>95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- BIS Oxford forecast</v>
      </c>
      <c r="D52" s="124" t="s">
        <v>95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</v>
      </c>
      <c r="D53" s="124" t="s">
        <v>95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95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95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3">
        <v>0.59199999999999997</v>
      </c>
      <c r="Q55" s="173">
        <v>0.59199999999999997</v>
      </c>
      <c r="R55" s="173">
        <v>0.59199999999999997</v>
      </c>
      <c r="S55" s="173">
        <v>0.59199999999999997</v>
      </c>
      <c r="T55" s="173">
        <v>0.59199999999999997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95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95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95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0.40800000000000003</v>
      </c>
      <c r="Q58" s="147">
        <v>0.40800000000000003</v>
      </c>
      <c r="R58" s="147">
        <v>0.40800000000000003</v>
      </c>
      <c r="S58" s="147">
        <v>0.40800000000000003</v>
      </c>
      <c r="T58" s="147">
        <v>0.40800000000000003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outlineLevel="1">
      <c r="A60" s="123"/>
      <c r="B60" s="123"/>
      <c r="C60" s="123" t="s">
        <v>40</v>
      </c>
      <c r="D60" s="124" t="s">
        <v>92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2.75">
      <c r="A62" s="119"/>
      <c r="B62" s="38" t="s">
        <v>78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outlineLevel="1">
      <c r="A64" s="123"/>
      <c r="B64" s="123"/>
      <c r="C64" s="126" t="s">
        <v>79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45444</v>
      </c>
      <c r="P64" s="142">
        <f t="shared" si="38"/>
        <v>45809</v>
      </c>
      <c r="Q64" s="142">
        <f t="shared" si="38"/>
        <v>46174</v>
      </c>
      <c r="R64" s="142">
        <f t="shared" si="38"/>
        <v>46539</v>
      </c>
      <c r="S64" s="142">
        <f t="shared" si="38"/>
        <v>46905</v>
      </c>
      <c r="T64" s="142">
        <f t="shared" si="38"/>
        <v>47270</v>
      </c>
      <c r="U64" s="142" t="str">
        <f t="shared" si="38"/>
        <v/>
      </c>
      <c r="V64" s="123"/>
      <c r="W64" s="123"/>
    </row>
    <row r="65" spans="1:24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176</v>
      </c>
      <c r="D66" s="124" t="s">
        <v>95</v>
      </c>
      <c r="E66" s="124" t="s">
        <v>18</v>
      </c>
      <c r="F66" s="124" t="s">
        <v>36</v>
      </c>
      <c r="G66" s="125"/>
      <c r="H66" s="125"/>
      <c r="I66" s="124"/>
      <c r="J66" s="161"/>
      <c r="K66" s="174"/>
      <c r="L66" s="174"/>
      <c r="M66" s="174"/>
      <c r="N66" s="174"/>
      <c r="O66" s="145">
        <v>212076.55667021603</v>
      </c>
      <c r="P66" s="145">
        <v>214778.02731031124</v>
      </c>
      <c r="Q66" s="145">
        <v>217457.04128055129</v>
      </c>
      <c r="R66" s="145">
        <v>220104.75795683119</v>
      </c>
      <c r="S66" s="145">
        <v>222727.00568389965</v>
      </c>
      <c r="T66" s="145">
        <v>225348.7345385736</v>
      </c>
      <c r="U66" s="145"/>
      <c r="V66" s="123"/>
      <c r="W66" s="123"/>
    </row>
    <row r="67" spans="1:24" outlineLevel="1">
      <c r="A67" s="123"/>
      <c r="B67" s="123"/>
      <c r="C67" s="131" t="s">
        <v>177</v>
      </c>
      <c r="D67" s="124" t="s">
        <v>95</v>
      </c>
      <c r="E67" s="124" t="s">
        <v>18</v>
      </c>
      <c r="F67" s="124" t="s">
        <v>36</v>
      </c>
      <c r="G67" s="125"/>
      <c r="H67" s="125"/>
      <c r="I67" s="124"/>
      <c r="J67" s="161"/>
      <c r="K67" s="174"/>
      <c r="L67" s="174"/>
      <c r="M67" s="174"/>
      <c r="N67" s="174"/>
      <c r="O67" s="145">
        <v>5822</v>
      </c>
      <c r="P67" s="145">
        <v>5885</v>
      </c>
      <c r="Q67" s="145">
        <v>5948</v>
      </c>
      <c r="R67" s="145">
        <v>6012</v>
      </c>
      <c r="S67" s="145">
        <v>6076</v>
      </c>
      <c r="T67" s="145">
        <v>6142</v>
      </c>
      <c r="U67" s="145"/>
      <c r="V67" s="123"/>
      <c r="W67" s="123"/>
    </row>
    <row r="68" spans="1:24" outlineLevel="1">
      <c r="A68" s="123"/>
      <c r="B68" s="123"/>
      <c r="C68" s="131" t="s">
        <v>178</v>
      </c>
      <c r="D68" s="124" t="s">
        <v>95</v>
      </c>
      <c r="E68" s="124" t="s">
        <v>18</v>
      </c>
      <c r="F68" s="124" t="s">
        <v>36</v>
      </c>
      <c r="G68" s="125"/>
      <c r="H68" s="125"/>
      <c r="I68" s="124"/>
      <c r="J68" s="161"/>
      <c r="K68" s="174"/>
      <c r="L68" s="174"/>
      <c r="M68" s="174"/>
      <c r="N68" s="174"/>
      <c r="O68" s="145">
        <v>1029</v>
      </c>
      <c r="P68" s="145">
        <v>1029</v>
      </c>
      <c r="Q68" s="145">
        <v>1029</v>
      </c>
      <c r="R68" s="145">
        <v>1029</v>
      </c>
      <c r="S68" s="145">
        <v>1029</v>
      </c>
      <c r="T68" s="145">
        <v>1029</v>
      </c>
      <c r="U68" s="145"/>
      <c r="V68" s="123"/>
      <c r="W68" s="123"/>
    </row>
    <row r="69" spans="1:24" outlineLevel="1">
      <c r="A69" s="123"/>
      <c r="B69" s="123"/>
      <c r="C69" s="131"/>
      <c r="D69" s="124" t="s">
        <v>95</v>
      </c>
      <c r="E69" s="124" t="s">
        <v>18</v>
      </c>
      <c r="F69" s="124" t="s">
        <v>36</v>
      </c>
      <c r="G69" s="125"/>
      <c r="H69" s="125"/>
      <c r="I69" s="124"/>
      <c r="J69" s="161"/>
      <c r="K69" s="174"/>
      <c r="L69" s="174"/>
      <c r="M69" s="174"/>
      <c r="N69" s="174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95</v>
      </c>
      <c r="E70" s="124" t="s">
        <v>18</v>
      </c>
      <c r="F70" s="124" t="s">
        <v>36</v>
      </c>
      <c r="G70" s="125"/>
      <c r="H70" s="125"/>
      <c r="I70" s="124"/>
      <c r="J70" s="161"/>
      <c r="K70" s="174"/>
      <c r="L70" s="174"/>
      <c r="M70" s="174"/>
      <c r="N70" s="174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95</v>
      </c>
      <c r="E71" s="124" t="s">
        <v>18</v>
      </c>
      <c r="F71" s="124" t="s">
        <v>36</v>
      </c>
      <c r="G71" s="125"/>
      <c r="H71" s="125"/>
      <c r="I71" s="124"/>
      <c r="J71" s="161"/>
      <c r="K71" s="174"/>
      <c r="L71" s="174"/>
      <c r="M71" s="174"/>
      <c r="N71" s="174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outlineLevel="1">
      <c r="A73" s="123"/>
      <c r="B73" s="123"/>
      <c r="C73" s="123" t="s">
        <v>40</v>
      </c>
      <c r="D73" s="124" t="s">
        <v>92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outlineLevel="1">
      <c r="A75" s="123"/>
      <c r="B75" s="123"/>
      <c r="C75" s="126" t="s">
        <v>82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45809</v>
      </c>
      <c r="Q75" s="142">
        <f t="shared" si="40"/>
        <v>46174</v>
      </c>
      <c r="R75" s="142">
        <f t="shared" si="40"/>
        <v>46539</v>
      </c>
      <c r="S75" s="142">
        <f t="shared" si="40"/>
        <v>46905</v>
      </c>
      <c r="T75" s="142">
        <f t="shared" si="40"/>
        <v>47270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Customer numbers (#)</v>
      </c>
      <c r="D77" s="124" t="s">
        <v>92</v>
      </c>
      <c r="E77" s="124" t="s">
        <v>18</v>
      </c>
      <c r="F77" s="124" t="s">
        <v>36</v>
      </c>
      <c r="G77" s="125"/>
      <c r="H77" s="125"/>
      <c r="I77" s="124"/>
      <c r="J77" s="175" t="str">
        <f t="shared" ref="J77:M77" si="41">IF(ISBLANK(I66),"",IF(ISBLANK(J66),"",LN(J66)-LN(I66)))</f>
        <v/>
      </c>
      <c r="K77" s="175" t="str">
        <f t="shared" si="41"/>
        <v/>
      </c>
      <c r="L77" s="175" t="str">
        <f t="shared" si="41"/>
        <v/>
      </c>
      <c r="M77" s="175" t="str">
        <f t="shared" si="41"/>
        <v/>
      </c>
      <c r="N77" s="175" t="str">
        <f>IF(ISBLANK(M66),"",IF(ISBLANK(N66),"",LN(N66)-LN(M66)))</f>
        <v/>
      </c>
      <c r="O77" s="175" t="str">
        <f t="shared" ref="O77:U77" si="42">IF(ISBLANK(N66),"",IF(ISBLANK(O66),"",LN(O66)-LN(N66)))</f>
        <v/>
      </c>
      <c r="P77" s="175">
        <f t="shared" si="42"/>
        <v>1.2657737834583571E-2</v>
      </c>
      <c r="Q77" s="175">
        <f t="shared" si="42"/>
        <v>1.2396255978298854E-2</v>
      </c>
      <c r="R77" s="175">
        <f t="shared" si="42"/>
        <v>1.2102285882233943E-2</v>
      </c>
      <c r="S77" s="175">
        <f t="shared" si="42"/>
        <v>1.1843226220188185E-2</v>
      </c>
      <c r="T77" s="175">
        <f t="shared" si="42"/>
        <v>1.1702301813727445E-2</v>
      </c>
      <c r="U77" s="175" t="str">
        <f t="shared" si="42"/>
        <v/>
      </c>
      <c r="V77" s="123"/>
      <c r="W77" s="123"/>
    </row>
    <row r="78" spans="1:24" outlineLevel="1">
      <c r="A78" s="123"/>
      <c r="B78" s="123"/>
      <c r="C78" s="171" t="str">
        <f t="shared" ref="C78:C82" si="43">C67</f>
        <v>Circuit Length (km)</v>
      </c>
      <c r="D78" s="124" t="s">
        <v>92</v>
      </c>
      <c r="E78" s="124" t="s">
        <v>18</v>
      </c>
      <c r="F78" s="124" t="s">
        <v>36</v>
      </c>
      <c r="G78" s="125"/>
      <c r="H78" s="125"/>
      <c r="I78" s="124"/>
      <c r="J78" s="175" t="str">
        <f t="shared" ref="J78:U78" si="44">IF(ISBLANK(I67),"",IF(ISBLANK(J67),"",LN(J67)-LN(I67)))</f>
        <v/>
      </c>
      <c r="K78" s="175" t="str">
        <f t="shared" si="44"/>
        <v/>
      </c>
      <c r="L78" s="175" t="str">
        <f t="shared" si="44"/>
        <v/>
      </c>
      <c r="M78" s="175" t="str">
        <f t="shared" si="44"/>
        <v/>
      </c>
      <c r="N78" s="175" t="str">
        <f t="shared" si="44"/>
        <v/>
      </c>
      <c r="O78" s="175" t="str">
        <f t="shared" si="44"/>
        <v/>
      </c>
      <c r="P78" s="175">
        <f t="shared" si="44"/>
        <v>1.0762895388808147E-2</v>
      </c>
      <c r="Q78" s="175">
        <f t="shared" si="44"/>
        <v>1.064828788566885E-2</v>
      </c>
      <c r="R78" s="175">
        <f t="shared" si="44"/>
        <v>1.0702443292819552E-2</v>
      </c>
      <c r="S78" s="175">
        <f t="shared" si="44"/>
        <v>1.0589112842797732E-2</v>
      </c>
      <c r="T78" s="175">
        <f t="shared" si="44"/>
        <v>1.0803837285104478E-2</v>
      </c>
      <c r="U78" s="175" t="str">
        <f t="shared" si="44"/>
        <v/>
      </c>
      <c r="V78" s="123"/>
      <c r="W78" s="123"/>
    </row>
    <row r="79" spans="1:24" outlineLevel="1">
      <c r="A79" s="123"/>
      <c r="B79" s="123"/>
      <c r="C79" s="171" t="str">
        <f t="shared" si="43"/>
        <v xml:space="preserve">Ratcheted maximum demand </v>
      </c>
      <c r="D79" s="124" t="s">
        <v>92</v>
      </c>
      <c r="E79" s="124" t="s">
        <v>18</v>
      </c>
      <c r="F79" s="124" t="s">
        <v>36</v>
      </c>
      <c r="G79" s="125"/>
      <c r="H79" s="125"/>
      <c r="I79" s="124"/>
      <c r="J79" s="175" t="str">
        <f t="shared" ref="J79:U79" si="45">IF(ISBLANK(I68),"",IF(ISBLANK(J68),"",LN(J68)-LN(I68)))</f>
        <v/>
      </c>
      <c r="K79" s="175" t="str">
        <f t="shared" si="45"/>
        <v/>
      </c>
      <c r="L79" s="175" t="str">
        <f t="shared" si="45"/>
        <v/>
      </c>
      <c r="M79" s="175" t="str">
        <f t="shared" si="45"/>
        <v/>
      </c>
      <c r="N79" s="175" t="str">
        <f t="shared" si="45"/>
        <v/>
      </c>
      <c r="O79" s="175" t="str">
        <f t="shared" si="45"/>
        <v/>
      </c>
      <c r="P79" s="175">
        <f t="shared" si="45"/>
        <v>0</v>
      </c>
      <c r="Q79" s="175">
        <f t="shared" si="45"/>
        <v>0</v>
      </c>
      <c r="R79" s="175">
        <f t="shared" si="45"/>
        <v>0</v>
      </c>
      <c r="S79" s="175">
        <f t="shared" si="45"/>
        <v>0</v>
      </c>
      <c r="T79" s="175">
        <f t="shared" si="45"/>
        <v>0</v>
      </c>
      <c r="U79" s="175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92</v>
      </c>
      <c r="E80" s="124" t="s">
        <v>18</v>
      </c>
      <c r="F80" s="124" t="s">
        <v>36</v>
      </c>
      <c r="G80" s="125"/>
      <c r="H80" s="125"/>
      <c r="I80" s="124"/>
      <c r="J80" s="175" t="str">
        <f t="shared" ref="J80:U80" si="46">IF(ISBLANK(I69),"",IF(ISBLANK(J69),"",LN(J69)-LN(I69)))</f>
        <v/>
      </c>
      <c r="K80" s="175" t="str">
        <f t="shared" si="46"/>
        <v/>
      </c>
      <c r="L80" s="175" t="str">
        <f t="shared" si="46"/>
        <v/>
      </c>
      <c r="M80" s="175" t="str">
        <f t="shared" si="46"/>
        <v/>
      </c>
      <c r="N80" s="175" t="str">
        <f t="shared" si="46"/>
        <v/>
      </c>
      <c r="O80" s="175" t="str">
        <f t="shared" si="46"/>
        <v/>
      </c>
      <c r="P80" s="175" t="str">
        <f t="shared" si="46"/>
        <v/>
      </c>
      <c r="Q80" s="175" t="str">
        <f t="shared" si="46"/>
        <v/>
      </c>
      <c r="R80" s="175" t="str">
        <f t="shared" si="46"/>
        <v/>
      </c>
      <c r="S80" s="175" t="str">
        <f t="shared" si="46"/>
        <v/>
      </c>
      <c r="T80" s="175" t="str">
        <f t="shared" si="46"/>
        <v/>
      </c>
      <c r="U80" s="175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92</v>
      </c>
      <c r="E81" s="124" t="s">
        <v>18</v>
      </c>
      <c r="F81" s="124" t="s">
        <v>36</v>
      </c>
      <c r="G81" s="125"/>
      <c r="H81" s="125"/>
      <c r="I81" s="124"/>
      <c r="J81" s="175" t="str">
        <f t="shared" ref="J81:T81" si="47">IF(ISBLANK(I70),"",IF(ISBLANK(J70),"",LN(J70)-LN(I70)))</f>
        <v/>
      </c>
      <c r="K81" s="175" t="str">
        <f t="shared" si="47"/>
        <v/>
      </c>
      <c r="L81" s="175" t="str">
        <f t="shared" si="47"/>
        <v/>
      </c>
      <c r="M81" s="175" t="str">
        <f t="shared" si="47"/>
        <v/>
      </c>
      <c r="N81" s="175" t="str">
        <f t="shared" si="47"/>
        <v/>
      </c>
      <c r="O81" s="175" t="str">
        <f t="shared" si="47"/>
        <v/>
      </c>
      <c r="P81" s="175" t="str">
        <f t="shared" si="47"/>
        <v/>
      </c>
      <c r="Q81" s="175" t="str">
        <f t="shared" si="47"/>
        <v/>
      </c>
      <c r="R81" s="175" t="str">
        <f t="shared" si="47"/>
        <v/>
      </c>
      <c r="S81" s="175" t="str">
        <f t="shared" si="47"/>
        <v/>
      </c>
      <c r="T81" s="175" t="str">
        <f t="shared" si="47"/>
        <v/>
      </c>
      <c r="U81" s="175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92</v>
      </c>
      <c r="E82" s="124" t="s">
        <v>18</v>
      </c>
      <c r="F82" s="124" t="s">
        <v>36</v>
      </c>
      <c r="G82" s="125"/>
      <c r="H82" s="125"/>
      <c r="I82" s="124"/>
      <c r="J82" s="175" t="str">
        <f t="shared" ref="J82:T82" si="48">IF(ISBLANK(I71),"",IF(ISBLANK(J71),"",LN(J71)-LN(I71)))</f>
        <v/>
      </c>
      <c r="K82" s="175" t="str">
        <f t="shared" si="48"/>
        <v/>
      </c>
      <c r="L82" s="175" t="str">
        <f t="shared" si="48"/>
        <v/>
      </c>
      <c r="M82" s="175" t="str">
        <f t="shared" si="48"/>
        <v/>
      </c>
      <c r="N82" s="175" t="str">
        <f t="shared" si="48"/>
        <v/>
      </c>
      <c r="O82" s="175" t="str">
        <f t="shared" si="48"/>
        <v/>
      </c>
      <c r="P82" s="175" t="str">
        <f t="shared" si="48"/>
        <v/>
      </c>
      <c r="Q82" s="175" t="str">
        <f t="shared" si="48"/>
        <v/>
      </c>
      <c r="R82" s="175" t="str">
        <f t="shared" si="48"/>
        <v/>
      </c>
      <c r="S82" s="175" t="str">
        <f t="shared" si="48"/>
        <v/>
      </c>
      <c r="T82" s="175" t="str">
        <f t="shared" si="48"/>
        <v/>
      </c>
      <c r="U82" s="175"/>
      <c r="V82" s="123"/>
      <c r="W82" s="123"/>
    </row>
    <row r="83" spans="1:24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outlineLevel="1">
      <c r="A84" s="123"/>
      <c r="B84" s="123"/>
      <c r="C84" s="126" t="s">
        <v>193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6" t="s">
        <v>186</v>
      </c>
      <c r="K84" s="176" t="s">
        <v>187</v>
      </c>
      <c r="L84" s="176" t="s">
        <v>188</v>
      </c>
      <c r="M84" s="176" t="s">
        <v>189</v>
      </c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outlineLevel="1">
      <c r="A86" s="123"/>
      <c r="B86" s="123"/>
      <c r="C86" s="171" t="str">
        <f>C66</f>
        <v>Customer numbers (#)</v>
      </c>
      <c r="D86" s="124" t="s">
        <v>95</v>
      </c>
      <c r="E86" s="124" t="s">
        <v>18</v>
      </c>
      <c r="F86" s="124" t="s">
        <v>36</v>
      </c>
      <c r="G86" s="125"/>
      <c r="H86" s="125"/>
      <c r="I86" s="124"/>
      <c r="J86" s="177">
        <v>0.376</v>
      </c>
      <c r="K86" s="177">
        <v>0.56100000000000005</v>
      </c>
      <c r="L86" s="177">
        <v>0.40300000000000002</v>
      </c>
      <c r="M86" s="177">
        <v>0.39500000000000002</v>
      </c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outlineLevel="1">
      <c r="A87" s="123"/>
      <c r="B87" s="123"/>
      <c r="C87" s="171" t="str">
        <f t="shared" ref="C87:C91" si="49">C67</f>
        <v>Circuit Length (km)</v>
      </c>
      <c r="D87" s="124" t="s">
        <v>95</v>
      </c>
      <c r="E87" s="124" t="s">
        <v>18</v>
      </c>
      <c r="F87" s="124" t="s">
        <v>36</v>
      </c>
      <c r="G87" s="125"/>
      <c r="H87" s="125"/>
      <c r="I87" s="124"/>
      <c r="J87" s="177">
        <v>0.123</v>
      </c>
      <c r="K87" s="177">
        <v>0.17199999999999999</v>
      </c>
      <c r="L87" s="177">
        <v>0.183</v>
      </c>
      <c r="M87" s="177">
        <v>9.0999999999999998E-2</v>
      </c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outlineLevel="1">
      <c r="A88" s="123"/>
      <c r="B88" s="123"/>
      <c r="C88" s="171" t="str">
        <f t="shared" si="49"/>
        <v xml:space="preserve">Ratcheted maximum demand </v>
      </c>
      <c r="D88" s="124" t="s">
        <v>95</v>
      </c>
      <c r="E88" s="124" t="s">
        <v>18</v>
      </c>
      <c r="F88" s="124" t="s">
        <v>36</v>
      </c>
      <c r="G88" s="125"/>
      <c r="H88" s="125"/>
      <c r="I88" s="124"/>
      <c r="J88" s="177">
        <v>0.46700000000000003</v>
      </c>
      <c r="K88" s="177">
        <v>0.24</v>
      </c>
      <c r="L88" s="177">
        <v>0.37</v>
      </c>
      <c r="M88" s="177">
        <v>0.42899999999999999</v>
      </c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outlineLevel="1">
      <c r="A89" s="123"/>
      <c r="B89" s="123"/>
      <c r="C89" s="171">
        <f t="shared" si="49"/>
        <v>0</v>
      </c>
      <c r="D89" s="124" t="s">
        <v>95</v>
      </c>
      <c r="E89" s="124" t="s">
        <v>18</v>
      </c>
      <c r="F89" s="124" t="s">
        <v>36</v>
      </c>
      <c r="G89" s="125"/>
      <c r="H89" s="125"/>
      <c r="I89" s="124"/>
      <c r="J89" s="177"/>
      <c r="K89" s="178"/>
      <c r="L89" s="178"/>
      <c r="M89" s="177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outlineLevel="1">
      <c r="A90" s="123"/>
      <c r="B90" s="123"/>
      <c r="C90" s="171">
        <f t="shared" si="49"/>
        <v>0</v>
      </c>
      <c r="D90" s="124" t="s">
        <v>95</v>
      </c>
      <c r="E90" s="124" t="s">
        <v>18</v>
      </c>
      <c r="F90" s="124" t="s">
        <v>36</v>
      </c>
      <c r="G90" s="125"/>
      <c r="H90" s="125"/>
      <c r="I90" s="124"/>
      <c r="J90" s="178"/>
      <c r="K90" s="178"/>
      <c r="L90" s="178"/>
      <c r="M90" s="178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outlineLevel="1">
      <c r="A91" s="123"/>
      <c r="B91" s="123"/>
      <c r="C91" s="171">
        <f t="shared" si="49"/>
        <v>0</v>
      </c>
      <c r="D91" s="124" t="s">
        <v>95</v>
      </c>
      <c r="E91" s="124" t="s">
        <v>18</v>
      </c>
      <c r="F91" s="124" t="s">
        <v>36</v>
      </c>
      <c r="G91" s="125"/>
      <c r="H91" s="125"/>
      <c r="I91" s="124"/>
      <c r="J91" s="178"/>
      <c r="K91" s="178"/>
      <c r="L91" s="178"/>
      <c r="M91" s="178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outlineLevel="1">
      <c r="A93" s="123"/>
      <c r="B93" s="123"/>
      <c r="C93" s="123" t="s">
        <v>40</v>
      </c>
      <c r="D93" s="124" t="s">
        <v>92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outlineLevel="1">
      <c r="A95" s="123"/>
      <c r="B95" s="123"/>
      <c r="C95" s="126" t="s">
        <v>151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9" t="str">
        <f>J84</f>
        <v>SFA CD</v>
      </c>
      <c r="K95" s="209" t="str">
        <f>K84</f>
        <v>LSE CD</v>
      </c>
      <c r="L95" s="209" t="str">
        <f>L84</f>
        <v>LSE TLG</v>
      </c>
      <c r="M95" s="209" t="str">
        <f>M84</f>
        <v>SFA TLG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10"/>
      <c r="K96" s="130"/>
      <c r="L96" s="130"/>
      <c r="M96" s="130"/>
      <c r="N96" s="130"/>
      <c r="O96" s="179"/>
      <c r="P96" s="179"/>
      <c r="Q96" s="179"/>
      <c r="R96" s="179"/>
      <c r="S96" s="179"/>
      <c r="T96" s="179"/>
      <c r="U96" s="179"/>
      <c r="V96" s="123"/>
      <c r="W96" s="123"/>
    </row>
    <row r="97" spans="1:34" outlineLevel="1">
      <c r="A97" s="123"/>
      <c r="B97" s="123"/>
      <c r="C97" s="171" t="str">
        <f t="shared" ref="C97:C102" si="51">C66</f>
        <v>Customer numbers (#)</v>
      </c>
      <c r="D97" s="124" t="s">
        <v>92</v>
      </c>
      <c r="E97" s="124" t="str">
        <f t="shared" ref="E97:E102" si="52">percent</f>
        <v>Per cent</v>
      </c>
      <c r="F97" s="124" t="s">
        <v>36</v>
      </c>
      <c r="G97" s="125"/>
      <c r="H97" s="125"/>
      <c r="I97" s="124"/>
      <c r="J97" s="211">
        <f t="shared" ref="J97:M102" si="53">J86/SUM(J$86:J$91)</f>
        <v>0.38923395445134579</v>
      </c>
      <c r="K97" s="211">
        <f t="shared" si="53"/>
        <v>0.57656731757451185</v>
      </c>
      <c r="L97" s="211">
        <f t="shared" si="53"/>
        <v>0.42154811715481172</v>
      </c>
      <c r="M97" s="211">
        <f t="shared" si="53"/>
        <v>0.43169398907103823</v>
      </c>
      <c r="N97" s="180"/>
      <c r="O97" s="180"/>
      <c r="P97" s="180"/>
      <c r="Q97" s="180"/>
      <c r="R97" s="180"/>
      <c r="S97" s="180"/>
      <c r="T97" s="180"/>
      <c r="U97" s="180"/>
      <c r="V97" s="123"/>
      <c r="W97" s="123"/>
    </row>
    <row r="98" spans="1:34" outlineLevel="1">
      <c r="A98" s="123"/>
      <c r="B98" s="123"/>
      <c r="C98" s="171" t="str">
        <f t="shared" si="51"/>
        <v>Circuit Length (km)</v>
      </c>
      <c r="D98" s="124" t="s">
        <v>92</v>
      </c>
      <c r="E98" s="124" t="str">
        <f t="shared" si="52"/>
        <v>Per cent</v>
      </c>
      <c r="F98" s="124" t="s">
        <v>36</v>
      </c>
      <c r="G98" s="125"/>
      <c r="H98" s="125"/>
      <c r="I98" s="124"/>
      <c r="J98" s="211">
        <f t="shared" si="53"/>
        <v>0.12732919254658384</v>
      </c>
      <c r="K98" s="211">
        <f t="shared" si="53"/>
        <v>0.17677286742034939</v>
      </c>
      <c r="L98" s="211">
        <f t="shared" si="53"/>
        <v>0.1914225941422594</v>
      </c>
      <c r="M98" s="211">
        <f t="shared" si="53"/>
        <v>9.94535519125683E-2</v>
      </c>
      <c r="N98" s="180"/>
      <c r="O98" s="180"/>
      <c r="P98" s="180"/>
      <c r="Q98" s="180"/>
      <c r="R98" s="180"/>
      <c r="S98" s="180"/>
      <c r="T98" s="180"/>
      <c r="U98" s="180"/>
      <c r="V98" s="123"/>
      <c r="W98" s="123"/>
    </row>
    <row r="99" spans="1:34" outlineLevel="1">
      <c r="A99" s="123"/>
      <c r="B99" s="123"/>
      <c r="C99" s="171" t="str">
        <f t="shared" si="51"/>
        <v xml:space="preserve">Ratcheted maximum demand </v>
      </c>
      <c r="D99" s="124" t="s">
        <v>92</v>
      </c>
      <c r="E99" s="124" t="str">
        <f t="shared" si="52"/>
        <v>Per cent</v>
      </c>
      <c r="F99" s="124" t="s">
        <v>36</v>
      </c>
      <c r="G99" s="125"/>
      <c r="H99" s="125"/>
      <c r="I99" s="124"/>
      <c r="J99" s="211">
        <f t="shared" si="53"/>
        <v>0.48343685300207045</v>
      </c>
      <c r="K99" s="211">
        <f t="shared" si="53"/>
        <v>0.24665981500513873</v>
      </c>
      <c r="L99" s="211">
        <f t="shared" si="53"/>
        <v>0.38702928870292885</v>
      </c>
      <c r="M99" s="211">
        <f t="shared" si="53"/>
        <v>0.46885245901639344</v>
      </c>
      <c r="N99" s="180"/>
      <c r="O99" s="180"/>
      <c r="P99" s="180"/>
      <c r="Q99" s="180"/>
      <c r="R99" s="180"/>
      <c r="S99" s="180"/>
      <c r="T99" s="180"/>
      <c r="U99" s="180"/>
      <c r="V99" s="123"/>
      <c r="W99" s="123"/>
    </row>
    <row r="100" spans="1:34" outlineLevel="1">
      <c r="A100" s="123"/>
      <c r="B100" s="123"/>
      <c r="C100" s="171">
        <f t="shared" si="51"/>
        <v>0</v>
      </c>
      <c r="D100" s="124" t="s">
        <v>92</v>
      </c>
      <c r="E100" s="124" t="str">
        <f t="shared" si="52"/>
        <v>Per cent</v>
      </c>
      <c r="F100" s="124" t="s">
        <v>36</v>
      </c>
      <c r="G100" s="125"/>
      <c r="H100" s="125"/>
      <c r="I100" s="124"/>
      <c r="J100" s="211">
        <f t="shared" si="53"/>
        <v>0</v>
      </c>
      <c r="K100" s="211">
        <f t="shared" si="53"/>
        <v>0</v>
      </c>
      <c r="L100" s="211">
        <f t="shared" si="53"/>
        <v>0</v>
      </c>
      <c r="M100" s="211">
        <f t="shared" si="53"/>
        <v>0</v>
      </c>
      <c r="N100" s="180"/>
      <c r="O100" s="180"/>
      <c r="P100" s="180"/>
      <c r="Q100" s="180"/>
      <c r="R100" s="180"/>
      <c r="S100" s="180"/>
      <c r="T100" s="180"/>
      <c r="U100" s="180"/>
      <c r="V100" s="123"/>
      <c r="W100" s="123"/>
    </row>
    <row r="101" spans="1:34" outlineLevel="1">
      <c r="A101" s="123"/>
      <c r="B101" s="123"/>
      <c r="C101" s="171">
        <f t="shared" si="51"/>
        <v>0</v>
      </c>
      <c r="D101" s="124" t="s">
        <v>92</v>
      </c>
      <c r="E101" s="124" t="str">
        <f t="shared" si="52"/>
        <v>Per cent</v>
      </c>
      <c r="F101" s="124" t="s">
        <v>36</v>
      </c>
      <c r="G101" s="125"/>
      <c r="H101" s="125"/>
      <c r="I101" s="124"/>
      <c r="J101" s="211">
        <f t="shared" si="53"/>
        <v>0</v>
      </c>
      <c r="K101" s="211">
        <f t="shared" si="53"/>
        <v>0</v>
      </c>
      <c r="L101" s="211">
        <f t="shared" si="53"/>
        <v>0</v>
      </c>
      <c r="M101" s="211">
        <f t="shared" si="53"/>
        <v>0</v>
      </c>
      <c r="N101" s="180"/>
      <c r="O101" s="180"/>
      <c r="P101" s="180"/>
      <c r="Q101" s="180"/>
      <c r="R101" s="180"/>
      <c r="S101" s="180"/>
      <c r="T101" s="180"/>
      <c r="U101" s="180"/>
      <c r="V101" s="123"/>
      <c r="W101" s="123"/>
    </row>
    <row r="102" spans="1:34" outlineLevel="1">
      <c r="A102" s="123"/>
      <c r="B102" s="123"/>
      <c r="C102" s="171">
        <f t="shared" si="51"/>
        <v>0</v>
      </c>
      <c r="D102" s="124" t="s">
        <v>92</v>
      </c>
      <c r="E102" s="124" t="str">
        <f t="shared" si="52"/>
        <v>Per cent</v>
      </c>
      <c r="F102" s="124" t="s">
        <v>36</v>
      </c>
      <c r="G102" s="125"/>
      <c r="H102" s="125"/>
      <c r="I102" s="124"/>
      <c r="J102" s="211">
        <f t="shared" si="53"/>
        <v>0</v>
      </c>
      <c r="K102" s="211">
        <f t="shared" si="53"/>
        <v>0</v>
      </c>
      <c r="L102" s="211">
        <f t="shared" si="53"/>
        <v>0</v>
      </c>
      <c r="M102" s="211">
        <f t="shared" si="53"/>
        <v>0</v>
      </c>
      <c r="N102" s="180"/>
      <c r="O102" s="180"/>
      <c r="P102" s="180"/>
      <c r="Q102" s="180"/>
      <c r="R102" s="180"/>
      <c r="S102" s="180"/>
      <c r="T102" s="180"/>
      <c r="U102" s="180"/>
      <c r="V102" s="123"/>
      <c r="W102" s="123"/>
    </row>
    <row r="103" spans="1:34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outlineLevel="1">
      <c r="A104" s="123"/>
      <c r="B104" s="123"/>
      <c r="C104" s="126" t="s">
        <v>152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4">IF(YEAR(J$4)&gt;=FPFirstYear,IF(YEAR(J$4)&lt;=FPLastYear,J$4,""),"")</f>
        <v/>
      </c>
      <c r="K104" s="142" t="str">
        <f t="shared" si="54"/>
        <v/>
      </c>
      <c r="L104" s="142" t="str">
        <f t="shared" si="54"/>
        <v/>
      </c>
      <c r="M104" s="142" t="str">
        <f t="shared" si="54"/>
        <v/>
      </c>
      <c r="N104" s="142" t="str">
        <f t="shared" si="54"/>
        <v/>
      </c>
      <c r="O104" s="142" t="str">
        <f t="shared" si="54"/>
        <v/>
      </c>
      <c r="P104" s="142">
        <f t="shared" si="54"/>
        <v>45809</v>
      </c>
      <c r="Q104" s="142">
        <f t="shared" si="54"/>
        <v>46174</v>
      </c>
      <c r="R104" s="142">
        <f t="shared" si="54"/>
        <v>46539</v>
      </c>
      <c r="S104" s="142">
        <f t="shared" si="54"/>
        <v>46905</v>
      </c>
      <c r="T104" s="142">
        <f t="shared" si="54"/>
        <v>47270</v>
      </c>
      <c r="U104" s="142" t="str">
        <f t="shared" si="54"/>
        <v/>
      </c>
      <c r="V104" s="170"/>
      <c r="W104" s="123"/>
      <c r="X104" s="82"/>
    </row>
    <row r="105" spans="1:34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outlineLevel="1">
      <c r="A106" s="123"/>
      <c r="B106" s="123"/>
      <c r="C106" s="171" t="str">
        <f t="array" ref="C106:C109">TRANSPOSE(J95:M95)</f>
        <v>SFA CD</v>
      </c>
      <c r="D106" s="124" t="s">
        <v>92</v>
      </c>
      <c r="E106" s="124" t="s">
        <v>18</v>
      </c>
      <c r="F106" s="124" t="s">
        <v>36</v>
      </c>
      <c r="G106" s="124"/>
      <c r="H106" s="124"/>
      <c r="I106" s="124"/>
      <c r="J106" s="175" t="str">
        <f t="shared" ref="J106:U106" si="55">IF(J$104=J$4,SUMPRODUCT(J$77:J$82,$J$97:$J$102),"")</f>
        <v/>
      </c>
      <c r="K106" s="175" t="str">
        <f t="shared" si="55"/>
        <v/>
      </c>
      <c r="L106" s="175" t="str">
        <f t="shared" si="55"/>
        <v/>
      </c>
      <c r="M106" s="175" t="str">
        <f t="shared" si="55"/>
        <v/>
      </c>
      <c r="N106" s="175" t="str">
        <f t="shared" si="55"/>
        <v/>
      </c>
      <c r="O106" s="175" t="str">
        <f t="shared" si="55"/>
        <v/>
      </c>
      <c r="P106" s="175">
        <f t="shared" si="55"/>
        <v>6.2972521310836697E-3</v>
      </c>
      <c r="Q106" s="175">
        <f t="shared" si="55"/>
        <v>6.1808816333101839E-3</v>
      </c>
      <c r="R106" s="175">
        <f t="shared" si="55"/>
        <v>6.073354054592927E-3</v>
      </c>
      <c r="S106" s="175">
        <f t="shared" si="55"/>
        <v>5.9580889632038087E-3</v>
      </c>
      <c r="T106" s="175">
        <f t="shared" si="55"/>
        <v>5.9305770890573199E-3</v>
      </c>
      <c r="U106" s="175" t="str">
        <f t="shared" si="55"/>
        <v/>
      </c>
      <c r="V106" s="170"/>
      <c r="W106" s="123"/>
      <c r="X106" s="82"/>
    </row>
    <row r="107" spans="1:34" outlineLevel="1">
      <c r="A107" s="123"/>
      <c r="B107" s="123"/>
      <c r="C107" s="171" t="str">
        <v>LSE CD</v>
      </c>
      <c r="D107" s="124" t="s">
        <v>92</v>
      </c>
      <c r="E107" s="124" t="s">
        <v>18</v>
      </c>
      <c r="F107" s="124" t="s">
        <v>36</v>
      </c>
      <c r="G107" s="124"/>
      <c r="H107" s="124"/>
      <c r="I107" s="124"/>
      <c r="J107" s="175" t="str">
        <f t="shared" ref="J107:U107" si="56">IF(J$104=J$4,SUMPRODUCT(J$77:J$82,$K$97:$K$102),"")</f>
        <v/>
      </c>
      <c r="K107" s="175" t="str">
        <f t="shared" si="56"/>
        <v/>
      </c>
      <c r="L107" s="175" t="str">
        <f t="shared" si="56"/>
        <v/>
      </c>
      <c r="M107" s="175" t="str">
        <f t="shared" si="56"/>
        <v/>
      </c>
      <c r="N107" s="175" t="str">
        <f t="shared" si="56"/>
        <v/>
      </c>
      <c r="O107" s="175" t="str">
        <f t="shared" si="56"/>
        <v/>
      </c>
      <c r="P107" s="175">
        <f t="shared" si="56"/>
        <v>9.2006258294721321E-3</v>
      </c>
      <c r="Q107" s="175">
        <f t="shared" si="56"/>
        <v>9.0296044400418277E-3</v>
      </c>
      <c r="R107" s="175">
        <f t="shared" si="56"/>
        <v>8.8696840969149076E-3</v>
      </c>
      <c r="S107" s="175">
        <f t="shared" si="56"/>
        <v>8.700285013861029E-3</v>
      </c>
      <c r="T107" s="175">
        <f t="shared" si="56"/>
        <v>8.6569900622189798E-3</v>
      </c>
      <c r="U107" s="175" t="str">
        <f t="shared" si="56"/>
        <v/>
      </c>
      <c r="V107" s="170"/>
      <c r="W107" s="123"/>
      <c r="X107" s="82"/>
    </row>
    <row r="108" spans="1:34" outlineLevel="1">
      <c r="A108" s="123"/>
      <c r="B108" s="123"/>
      <c r="C108" s="171" t="str">
        <v>LSE TLG</v>
      </c>
      <c r="D108" s="124" t="s">
        <v>92</v>
      </c>
      <c r="E108" s="124" t="s">
        <v>18</v>
      </c>
      <c r="F108" s="124" t="s">
        <v>36</v>
      </c>
      <c r="G108" s="124"/>
      <c r="H108" s="124"/>
      <c r="I108" s="124"/>
      <c r="J108" s="175" t="str">
        <f t="shared" ref="J108:U108" si="57">IF(J$104=J$4,SUMPRODUCT(J$77:J$82,$L$97:$L$102),"")</f>
        <v/>
      </c>
      <c r="K108" s="175" t="str">
        <f t="shared" si="57"/>
        <v/>
      </c>
      <c r="L108" s="175" t="str">
        <f t="shared" si="57"/>
        <v/>
      </c>
      <c r="M108" s="175" t="str">
        <f t="shared" si="57"/>
        <v/>
      </c>
      <c r="N108" s="175" t="str">
        <f t="shared" si="57"/>
        <v/>
      </c>
      <c r="O108" s="175" t="str">
        <f t="shared" si="57"/>
        <v/>
      </c>
      <c r="P108" s="175">
        <f t="shared" si="57"/>
        <v>7.3961069074153455E-3</v>
      </c>
      <c r="Q108" s="175">
        <f t="shared" si="57"/>
        <v>7.2639412576692864E-3</v>
      </c>
      <c r="R108" s="175">
        <f t="shared" si="57"/>
        <v>7.1503852856969214E-3</v>
      </c>
      <c r="S108" s="175">
        <f t="shared" si="57"/>
        <v>7.0194851641922837E-3</v>
      </c>
      <c r="T108" s="175">
        <f t="shared" si="57"/>
        <v>7.0011818557597066E-3</v>
      </c>
      <c r="U108" s="175" t="str">
        <f t="shared" si="57"/>
        <v/>
      </c>
      <c r="V108" s="170"/>
      <c r="W108" s="123"/>
      <c r="X108" s="82"/>
    </row>
    <row r="109" spans="1:34" outlineLevel="1">
      <c r="A109" s="123"/>
      <c r="B109" s="123"/>
      <c r="C109" s="171" t="str">
        <v>SFA TLG</v>
      </c>
      <c r="D109" s="124" t="s">
        <v>92</v>
      </c>
      <c r="E109" s="124" t="s">
        <v>18</v>
      </c>
      <c r="F109" s="124" t="s">
        <v>36</v>
      </c>
      <c r="G109" s="124"/>
      <c r="H109" s="124"/>
      <c r="I109" s="124"/>
      <c r="J109" s="175" t="str">
        <f t="shared" ref="J109:U109" si="58">IF(J$104=J$4,SUMPRODUCT(J$77:J$82,$M$97:$M$102),"")</f>
        <v/>
      </c>
      <c r="K109" s="175" t="str">
        <f t="shared" si="58"/>
        <v/>
      </c>
      <c r="L109" s="175" t="str">
        <f t="shared" si="58"/>
        <v/>
      </c>
      <c r="M109" s="175" t="str">
        <f t="shared" si="58"/>
        <v/>
      </c>
      <c r="N109" s="175" t="str">
        <f t="shared" si="58"/>
        <v/>
      </c>
      <c r="O109" s="175" t="str">
        <f t="shared" si="58"/>
        <v/>
      </c>
      <c r="P109" s="175">
        <f t="shared" si="58"/>
        <v>6.5346775137071602E-3</v>
      </c>
      <c r="Q109" s="175">
        <f t="shared" si="58"/>
        <v>6.410399244834877E-3</v>
      </c>
      <c r="R109" s="175">
        <f t="shared" si="58"/>
        <v>6.2888800689934275E-3</v>
      </c>
      <c r="S109" s="175">
        <f t="shared" si="58"/>
        <v>6.1657744542829799E-3</v>
      </c>
      <c r="T109" s="175">
        <f t="shared" si="58"/>
        <v>6.1262933435703264E-3</v>
      </c>
      <c r="U109" s="175" t="str">
        <f t="shared" si="58"/>
        <v/>
      </c>
      <c r="V109" s="170"/>
      <c r="W109" s="123"/>
      <c r="X109" s="82"/>
    </row>
    <row r="110" spans="1:34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2.75">
      <c r="A111" s="119"/>
      <c r="B111" s="38" t="s">
        <v>72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outlineLevel="1">
      <c r="A113" s="123"/>
      <c r="B113" s="123"/>
      <c r="C113" s="126" t="s">
        <v>46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59">IF(YEAR(J$4)&gt;=FPFirstYear,IF(YEAR(J$4)&lt;=FPLastYear,J$4,""),"")</f>
        <v/>
      </c>
      <c r="K113" s="142" t="str">
        <f t="shared" si="59"/>
        <v/>
      </c>
      <c r="L113" s="142" t="str">
        <f t="shared" si="59"/>
        <v/>
      </c>
      <c r="M113" s="142" t="str">
        <f t="shared" si="59"/>
        <v/>
      </c>
      <c r="N113" s="142" t="str">
        <f t="shared" si="59"/>
        <v/>
      </c>
      <c r="O113" s="142" t="str">
        <f t="shared" si="59"/>
        <v/>
      </c>
      <c r="P113" s="142">
        <f t="shared" si="59"/>
        <v>45809</v>
      </c>
      <c r="Q113" s="142">
        <f t="shared" si="59"/>
        <v>46174</v>
      </c>
      <c r="R113" s="142">
        <f t="shared" si="59"/>
        <v>46539</v>
      </c>
      <c r="S113" s="142">
        <f t="shared" si="59"/>
        <v>46905</v>
      </c>
      <c r="T113" s="142">
        <f t="shared" si="59"/>
        <v>47270</v>
      </c>
      <c r="U113" s="142" t="str">
        <f t="shared" si="59"/>
        <v/>
      </c>
      <c r="V113" s="123"/>
      <c r="W113" s="123"/>
    </row>
    <row r="114" spans="1:34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outlineLevel="1">
      <c r="A115" s="123"/>
      <c r="B115" s="123"/>
      <c r="C115" s="129" t="s">
        <v>46</v>
      </c>
      <c r="D115" s="124" t="s">
        <v>95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2"/>
      <c r="L115" s="182"/>
      <c r="M115" s="182"/>
      <c r="N115" s="182"/>
      <c r="O115" s="172"/>
      <c r="P115" s="172">
        <v>5.0000000000000001E-3</v>
      </c>
      <c r="Q115" s="172">
        <f>$P$115</f>
        <v>5.0000000000000001E-3</v>
      </c>
      <c r="R115" s="172">
        <f t="shared" ref="R115:T115" si="60">$P$115</f>
        <v>5.0000000000000001E-3</v>
      </c>
      <c r="S115" s="172">
        <f t="shared" si="60"/>
        <v>5.0000000000000001E-3</v>
      </c>
      <c r="T115" s="172">
        <f t="shared" si="60"/>
        <v>5.0000000000000001E-3</v>
      </c>
      <c r="U115" s="172"/>
      <c r="V115" s="123"/>
      <c r="W115" s="123"/>
    </row>
    <row r="116" spans="1:34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3"/>
      <c r="Q116" s="183"/>
      <c r="R116" s="183"/>
      <c r="S116" s="183"/>
      <c r="T116" s="183"/>
      <c r="U116" s="183"/>
      <c r="V116" s="123"/>
      <c r="W116" s="123"/>
    </row>
    <row r="117" spans="1:34" outlineLevel="1">
      <c r="A117" s="123"/>
      <c r="B117" s="123"/>
      <c r="C117" s="123" t="s">
        <v>40</v>
      </c>
      <c r="D117" s="124" t="s">
        <v>92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1">IF(J113=J$4,IF(ISBLANK(J115),"Check","Ok"),"")</f>
        <v/>
      </c>
      <c r="K117" s="169" t="str">
        <f t="shared" si="61"/>
        <v/>
      </c>
      <c r="L117" s="169" t="str">
        <f t="shared" si="61"/>
        <v/>
      </c>
      <c r="M117" s="169" t="str">
        <f t="shared" si="61"/>
        <v/>
      </c>
      <c r="N117" s="169" t="str">
        <f t="shared" si="61"/>
        <v/>
      </c>
      <c r="O117" s="169" t="str">
        <f t="shared" si="61"/>
        <v/>
      </c>
      <c r="P117" s="169" t="str">
        <f t="shared" si="61"/>
        <v>Ok</v>
      </c>
      <c r="Q117" s="169" t="str">
        <f t="shared" si="61"/>
        <v>Ok</v>
      </c>
      <c r="R117" s="169" t="str">
        <f t="shared" si="61"/>
        <v>Ok</v>
      </c>
      <c r="S117" s="169" t="str">
        <f t="shared" si="61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2.75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X1 X104:X109">
    <cfRule type="cellIs" dxfId="181" priority="121" operator="equal">
      <formula>"Check"</formula>
    </cfRule>
    <cfRule type="cellIs" dxfId="180" priority="122" operator="equal">
      <formula>"Ok"</formula>
    </cfRule>
  </conditionalFormatting>
  <conditionalFormatting sqref="T1:U1">
    <cfRule type="cellIs" dxfId="179" priority="85" operator="equal">
      <formula>"Check"</formula>
    </cfRule>
    <cfRule type="cellIs" dxfId="178" priority="86" operator="equal">
      <formula>"Ok"</formula>
    </cfRule>
  </conditionalFormatting>
  <conditionalFormatting sqref="X60">
    <cfRule type="cellIs" dxfId="177" priority="73" operator="equal">
      <formula>"Check"</formula>
    </cfRule>
    <cfRule type="cellIs" dxfId="176" priority="74" operator="equal">
      <formula>"Ok"</formula>
    </cfRule>
  </conditionalFormatting>
  <conditionalFormatting sqref="J60:U60">
    <cfRule type="cellIs" dxfId="175" priority="65" operator="equal">
      <formula>"Check"</formula>
    </cfRule>
    <cfRule type="cellIs" dxfId="174" priority="66" operator="equal">
      <formula>"Ok"</formula>
    </cfRule>
  </conditionalFormatting>
  <conditionalFormatting sqref="J36:U36">
    <cfRule type="expression" dxfId="173" priority="56">
      <formula>J$36=J$4</formula>
    </cfRule>
  </conditionalFormatting>
  <conditionalFormatting sqref="J39:T40 J41:U45 J38:O38 T38 P39:T45">
    <cfRule type="expression" dxfId="172" priority="54">
      <formula>J$36=J$4</formula>
    </cfRule>
  </conditionalFormatting>
  <conditionalFormatting sqref="J51:T54 J55:O55 J56:T58">
    <cfRule type="expression" dxfId="171" priority="53">
      <formula>J$49=J$4</formula>
    </cfRule>
  </conditionalFormatting>
  <conditionalFormatting sqref="X117">
    <cfRule type="cellIs" dxfId="170" priority="47" operator="equal">
      <formula>"Check"</formula>
    </cfRule>
    <cfRule type="cellIs" dxfId="169" priority="48" operator="equal">
      <formula>"Ok"</formula>
    </cfRule>
  </conditionalFormatting>
  <conditionalFormatting sqref="J117:U117">
    <cfRule type="cellIs" dxfId="168" priority="45" operator="equal">
      <formula>"Check"</formula>
    </cfRule>
    <cfRule type="cellIs" dxfId="167" priority="46" operator="equal">
      <formula>"Ok"</formula>
    </cfRule>
  </conditionalFormatting>
  <conditionalFormatting sqref="X47">
    <cfRule type="cellIs" dxfId="166" priority="43" operator="equal">
      <formula>"Check"</formula>
    </cfRule>
    <cfRule type="cellIs" dxfId="165" priority="44" operator="equal">
      <formula>"Ok"</formula>
    </cfRule>
  </conditionalFormatting>
  <conditionalFormatting sqref="J47:U47">
    <cfRule type="cellIs" dxfId="164" priority="41" operator="equal">
      <formula>"Check"</formula>
    </cfRule>
    <cfRule type="cellIs" dxfId="163" priority="42" operator="equal">
      <formula>"Ok"</formula>
    </cfRule>
  </conditionalFormatting>
  <conditionalFormatting sqref="X73">
    <cfRule type="cellIs" dxfId="162" priority="39" operator="equal">
      <formula>"Check"</formula>
    </cfRule>
    <cfRule type="cellIs" dxfId="161" priority="40" operator="equal">
      <formula>"Ok"</formula>
    </cfRule>
  </conditionalFormatting>
  <conditionalFormatting sqref="J73:U73">
    <cfRule type="cellIs" dxfId="160" priority="37" operator="equal">
      <formula>"Check"</formula>
    </cfRule>
    <cfRule type="cellIs" dxfId="159" priority="38" operator="equal">
      <formula>"Ok"</formula>
    </cfRule>
  </conditionalFormatting>
  <conditionalFormatting sqref="J64:U64">
    <cfRule type="expression" dxfId="158" priority="31">
      <formula>J$64=J$4</formula>
    </cfRule>
  </conditionalFormatting>
  <conditionalFormatting sqref="J66:U71">
    <cfRule type="expression" dxfId="157" priority="29">
      <formula>J$64=J$4</formula>
    </cfRule>
  </conditionalFormatting>
  <conditionalFormatting sqref="J49:U49">
    <cfRule type="expression" dxfId="156" priority="26">
      <formula>J$36=J$4</formula>
    </cfRule>
  </conditionalFormatting>
  <conditionalFormatting sqref="J75:U75">
    <cfRule type="expression" dxfId="155" priority="25">
      <formula>J$36=J$4</formula>
    </cfRule>
  </conditionalFormatting>
  <conditionalFormatting sqref="J113:U113">
    <cfRule type="expression" dxfId="154" priority="24">
      <formula>J$36=J$4</formula>
    </cfRule>
  </conditionalFormatting>
  <conditionalFormatting sqref="J26:U32">
    <cfRule type="cellIs" dxfId="153" priority="22" operator="equal">
      <formula>0</formula>
    </cfRule>
  </conditionalFormatting>
  <conditionalFormatting sqref="J16:U22">
    <cfRule type="cellIs" dxfId="152" priority="21" operator="equal">
      <formula>0</formula>
    </cfRule>
  </conditionalFormatting>
  <conditionalFormatting sqref="J105:U105">
    <cfRule type="cellIs" dxfId="151" priority="14" operator="equal">
      <formula>"Check"</formula>
    </cfRule>
    <cfRule type="cellIs" dxfId="150" priority="15" operator="equal">
      <formula>"Ok"</formula>
    </cfRule>
  </conditionalFormatting>
  <conditionalFormatting sqref="U51:U58">
    <cfRule type="expression" dxfId="149" priority="10">
      <formula>U$49=U$4</formula>
    </cfRule>
  </conditionalFormatting>
  <conditionalFormatting sqref="P38:T38">
    <cfRule type="expression" dxfId="148" priority="9">
      <formula>P$36=P$4</formula>
    </cfRule>
  </conditionalFormatting>
  <conditionalFormatting sqref="P55:T55">
    <cfRule type="expression" dxfId="147" priority="8">
      <formula>P$49=P$4</formula>
    </cfRule>
  </conditionalFormatting>
  <conditionalFormatting sqref="T55">
    <cfRule type="expression" dxfId="146" priority="7">
      <formula>T$49=T$4</formula>
    </cfRule>
  </conditionalFormatting>
  <conditionalFormatting sqref="L86:M88 K89:M91">
    <cfRule type="expression" dxfId="145" priority="173">
      <formula>K$95=K$4</formula>
    </cfRule>
  </conditionalFormatting>
  <conditionalFormatting sqref="X93">
    <cfRule type="cellIs" dxfId="144" priority="3" operator="equal">
      <formula>"Check"</formula>
    </cfRule>
    <cfRule type="cellIs" dxfId="143" priority="4" operator="equal">
      <formula>"Ok"</formula>
    </cfRule>
  </conditionalFormatting>
  <conditionalFormatting sqref="J93:U93">
    <cfRule type="cellIs" dxfId="142" priority="1" operator="equal">
      <formula>"Check"</formula>
    </cfRule>
    <cfRule type="cellIs" dxfId="141" priority="2" operator="equal">
      <formula>"Ok"</formula>
    </cfRule>
  </conditionalFormatting>
  <conditionalFormatting sqref="J104:U104">
    <cfRule type="expression" dxfId="140" priority="176">
      <formula>J$104=J$4</formula>
    </cfRule>
  </conditionalFormatting>
  <conditionalFormatting sqref="J115:U115">
    <cfRule type="expression" dxfId="139" priority="177">
      <formula>J$113=J$4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C10" sqref="C10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76</v>
      </c>
      <c r="S1" s="29" t="str">
        <f>IF(COUNTA($W$8:$W$237)=COUNTIF($W$8:$W$237,"OK"),"OK","Check")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108</v>
      </c>
      <c r="K3" s="100"/>
      <c r="L3" s="100"/>
      <c r="M3" s="105"/>
      <c r="N3" s="225"/>
      <c r="O3" s="225"/>
      <c r="P3" s="225"/>
      <c r="Q3" s="225"/>
      <c r="R3" s="225"/>
      <c r="S3" s="225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184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2.75">
      <c r="A8" s="119"/>
      <c r="B8" s="38" t="s">
        <v>48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outlineLevel="1">
      <c r="A10" s="123"/>
      <c r="B10" s="123"/>
      <c r="C10" s="126" t="s">
        <v>73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45809</v>
      </c>
      <c r="P10" s="142">
        <f t="shared" si="0"/>
        <v>46174</v>
      </c>
      <c r="Q10" s="142">
        <f t="shared" si="0"/>
        <v>46539</v>
      </c>
      <c r="R10" s="142">
        <f t="shared" si="0"/>
        <v>46905</v>
      </c>
      <c r="S10" s="142">
        <f t="shared" si="0"/>
        <v>47270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outlineLevel="1">
      <c r="A12" s="123"/>
      <c r="B12" s="123"/>
      <c r="C12" s="131" t="s">
        <v>234</v>
      </c>
      <c r="D12" s="124" t="s">
        <v>63</v>
      </c>
      <c r="E12" s="124" t="str">
        <f t="shared" ref="E12:E20" si="1">units</f>
        <v>$millions</v>
      </c>
      <c r="F12" s="143">
        <f t="shared" ref="F12:F20" si="2">DATE(PPLastYear,MONTH(month),1)</f>
        <v>45444</v>
      </c>
      <c r="G12" s="125"/>
      <c r="H12" s="125"/>
      <c r="I12" s="124"/>
      <c r="J12" s="162"/>
      <c r="K12" s="162"/>
      <c r="L12" s="162"/>
      <c r="M12" s="162"/>
      <c r="N12" s="162"/>
      <c r="O12" s="185">
        <v>0.65947285271797185</v>
      </c>
      <c r="P12" s="185">
        <v>0.87098092293208229</v>
      </c>
      <c r="Q12" s="185">
        <v>1.040196439920493</v>
      </c>
      <c r="R12" s="185">
        <v>1.1706429446778921</v>
      </c>
      <c r="S12" s="185">
        <v>1.2791804322645386</v>
      </c>
      <c r="T12" s="185"/>
      <c r="U12" s="123"/>
      <c r="V12" s="123"/>
      <c r="W12" s="81" t="str">
        <f>IF(ISBLANK(C12),IF(COUNT(J12:T12)=0,"Ok","Check"),IF(COUNT(J12:T12)=COUNT(J$10:T$10),"Ok","Check"))</f>
        <v>Ok</v>
      </c>
    </row>
    <row r="13" spans="1:30" outlineLevel="1">
      <c r="A13" s="123"/>
      <c r="B13" s="123"/>
      <c r="C13" s="131" t="s">
        <v>235</v>
      </c>
      <c r="D13" s="124" t="s">
        <v>63</v>
      </c>
      <c r="E13" s="124" t="str">
        <f t="shared" si="1"/>
        <v>$millions</v>
      </c>
      <c r="F13" s="143">
        <f t="shared" si="2"/>
        <v>45444</v>
      </c>
      <c r="G13" s="125"/>
      <c r="H13" s="125"/>
      <c r="I13" s="124"/>
      <c r="J13" s="162"/>
      <c r="K13" s="162"/>
      <c r="L13" s="162"/>
      <c r="M13" s="162"/>
      <c r="N13" s="162"/>
      <c r="O13" s="185">
        <v>3.1636816231679963</v>
      </c>
      <c r="P13" s="185">
        <v>3.0255093272385083</v>
      </c>
      <c r="Q13" s="185">
        <v>2.9264812154445581</v>
      </c>
      <c r="R13" s="185">
        <v>2.9298646481815012</v>
      </c>
      <c r="S13" s="185">
        <v>2.9487310207085096</v>
      </c>
      <c r="T13" s="185"/>
      <c r="U13" s="123"/>
      <c r="V13" s="123"/>
      <c r="W13" s="81" t="str">
        <f t="shared" ref="W13:W20" si="3">IF(ISBLANK(C13),IF(COUNT(J13:T13)=0,"Ok","Check"),IF(COUNT(J13:T13)=COUNT(J$10:T$10),"Ok","Check"))</f>
        <v>Ok</v>
      </c>
    </row>
    <row r="14" spans="1:30" outlineLevel="1">
      <c r="A14" s="123"/>
      <c r="B14" s="123"/>
      <c r="C14" s="131" t="s">
        <v>236</v>
      </c>
      <c r="D14" s="124" t="s">
        <v>63</v>
      </c>
      <c r="E14" s="124" t="str">
        <f t="shared" si="1"/>
        <v>$millions</v>
      </c>
      <c r="F14" s="143">
        <f t="shared" si="2"/>
        <v>45444</v>
      </c>
      <c r="G14" s="125"/>
      <c r="H14" s="125"/>
      <c r="I14" s="124"/>
      <c r="J14" s="162"/>
      <c r="K14" s="162"/>
      <c r="L14" s="162"/>
      <c r="M14" s="162"/>
      <c r="N14" s="162"/>
      <c r="O14" s="185">
        <v>1.97</v>
      </c>
      <c r="P14" s="185">
        <v>1.97</v>
      </c>
      <c r="Q14" s="185">
        <v>1.97</v>
      </c>
      <c r="R14" s="185">
        <v>1.97</v>
      </c>
      <c r="S14" s="185">
        <v>1.97</v>
      </c>
      <c r="T14" s="185"/>
      <c r="U14" s="123"/>
      <c r="V14" s="123"/>
      <c r="W14" s="81" t="str">
        <f t="shared" si="3"/>
        <v>Ok</v>
      </c>
    </row>
    <row r="15" spans="1:30" outlineLevel="1">
      <c r="A15" s="123"/>
      <c r="B15" s="123"/>
      <c r="C15" s="131" t="s">
        <v>237</v>
      </c>
      <c r="D15" s="124" t="s">
        <v>63</v>
      </c>
      <c r="E15" s="124" t="str">
        <f t="shared" si="1"/>
        <v>$millions</v>
      </c>
      <c r="F15" s="143">
        <f t="shared" si="2"/>
        <v>45444</v>
      </c>
      <c r="G15" s="125"/>
      <c r="H15" s="125"/>
      <c r="I15" s="124"/>
      <c r="J15" s="162"/>
      <c r="K15" s="162"/>
      <c r="L15" s="162"/>
      <c r="M15" s="162"/>
      <c r="N15" s="162"/>
      <c r="O15" s="185">
        <v>1.444305734915045</v>
      </c>
      <c r="P15" s="185">
        <v>1.3758713481140303</v>
      </c>
      <c r="Q15" s="185">
        <v>0.94077059449527112</v>
      </c>
      <c r="R15" s="185">
        <v>0.80494309390543661</v>
      </c>
      <c r="S15" s="185">
        <v>0.83537554431716721</v>
      </c>
      <c r="T15" s="185"/>
      <c r="U15" s="123"/>
      <c r="V15" s="123"/>
      <c r="W15" s="81" t="str">
        <f t="shared" si="3"/>
        <v>Ok</v>
      </c>
    </row>
    <row r="16" spans="1:30" outlineLevel="1">
      <c r="A16" s="123"/>
      <c r="B16" s="123"/>
      <c r="C16" s="131"/>
      <c r="D16" s="124" t="s">
        <v>63</v>
      </c>
      <c r="E16" s="124" t="str">
        <f t="shared" si="1"/>
        <v>$millions</v>
      </c>
      <c r="F16" s="143">
        <f t="shared" si="2"/>
        <v>45444</v>
      </c>
      <c r="G16" s="125"/>
      <c r="H16" s="125"/>
      <c r="I16" s="124"/>
      <c r="J16" s="162"/>
      <c r="K16" s="162"/>
      <c r="L16" s="162"/>
      <c r="M16" s="162"/>
      <c r="N16" s="162"/>
      <c r="O16" s="186"/>
      <c r="P16" s="186"/>
      <c r="Q16" s="186"/>
      <c r="R16" s="186"/>
      <c r="S16" s="186"/>
      <c r="T16" s="185"/>
      <c r="U16" s="123"/>
      <c r="V16" s="123"/>
      <c r="W16" s="81" t="str">
        <f t="shared" si="3"/>
        <v>Ok</v>
      </c>
    </row>
    <row r="17" spans="1:30" outlineLevel="1">
      <c r="A17" s="123"/>
      <c r="B17" s="123"/>
      <c r="C17" s="131"/>
      <c r="D17" s="124" t="s">
        <v>63</v>
      </c>
      <c r="E17" s="124" t="str">
        <f t="shared" si="1"/>
        <v>$millions</v>
      </c>
      <c r="F17" s="143">
        <f t="shared" si="2"/>
        <v>45444</v>
      </c>
      <c r="G17" s="125"/>
      <c r="H17" s="125"/>
      <c r="I17" s="124"/>
      <c r="J17" s="162"/>
      <c r="K17" s="162"/>
      <c r="L17" s="162"/>
      <c r="M17" s="162"/>
      <c r="N17" s="162"/>
      <c r="O17" s="185"/>
      <c r="P17" s="185"/>
      <c r="Q17" s="185"/>
      <c r="R17" s="185"/>
      <c r="S17" s="185"/>
      <c r="T17" s="185"/>
      <c r="U17" s="123"/>
      <c r="V17" s="123"/>
      <c r="W17" s="81" t="str">
        <f t="shared" si="3"/>
        <v>Ok</v>
      </c>
    </row>
    <row r="18" spans="1:30" outlineLevel="1">
      <c r="A18" s="123"/>
      <c r="B18" s="123"/>
      <c r="C18" s="131"/>
      <c r="D18" s="124" t="s">
        <v>63</v>
      </c>
      <c r="E18" s="124" t="str">
        <f t="shared" si="1"/>
        <v>$millions</v>
      </c>
      <c r="F18" s="143">
        <f t="shared" si="2"/>
        <v>45444</v>
      </c>
      <c r="G18" s="125"/>
      <c r="H18" s="125"/>
      <c r="I18" s="124"/>
      <c r="J18" s="162"/>
      <c r="K18" s="162"/>
      <c r="L18" s="162"/>
      <c r="M18" s="162"/>
      <c r="N18" s="162"/>
      <c r="O18" s="185"/>
      <c r="P18" s="185"/>
      <c r="Q18" s="185"/>
      <c r="R18" s="185"/>
      <c r="S18" s="185"/>
      <c r="T18" s="185"/>
      <c r="U18" s="123"/>
      <c r="V18" s="123"/>
      <c r="W18" s="81" t="str">
        <f t="shared" si="3"/>
        <v>Ok</v>
      </c>
    </row>
    <row r="19" spans="1:30" outlineLevel="1">
      <c r="A19" s="123"/>
      <c r="B19" s="123"/>
      <c r="C19" s="131"/>
      <c r="D19" s="124" t="s">
        <v>63</v>
      </c>
      <c r="E19" s="124" t="str">
        <f t="shared" si="1"/>
        <v>$millions</v>
      </c>
      <c r="F19" s="143">
        <f t="shared" si="2"/>
        <v>45444</v>
      </c>
      <c r="G19" s="125"/>
      <c r="H19" s="125"/>
      <c r="I19" s="124"/>
      <c r="J19" s="162"/>
      <c r="K19" s="162"/>
      <c r="L19" s="162"/>
      <c r="M19" s="162"/>
      <c r="N19" s="162"/>
      <c r="O19" s="185"/>
      <c r="P19" s="185"/>
      <c r="Q19" s="185"/>
      <c r="R19" s="185"/>
      <c r="S19" s="185"/>
      <c r="T19" s="185"/>
      <c r="U19" s="123"/>
      <c r="V19" s="123"/>
      <c r="W19" s="81" t="str">
        <f t="shared" si="3"/>
        <v>Ok</v>
      </c>
    </row>
    <row r="20" spans="1:30" outlineLevel="1">
      <c r="A20" s="123"/>
      <c r="B20" s="123"/>
      <c r="C20" s="131"/>
      <c r="D20" s="124" t="s">
        <v>63</v>
      </c>
      <c r="E20" s="124" t="str">
        <f t="shared" si="1"/>
        <v>$millions</v>
      </c>
      <c r="F20" s="143">
        <f t="shared" si="2"/>
        <v>45444</v>
      </c>
      <c r="G20" s="125"/>
      <c r="H20" s="125"/>
      <c r="I20" s="124"/>
      <c r="J20" s="162"/>
      <c r="K20" s="162"/>
      <c r="L20" s="162"/>
      <c r="M20" s="162"/>
      <c r="N20" s="162"/>
      <c r="O20" s="185"/>
      <c r="P20" s="185"/>
      <c r="Q20" s="185"/>
      <c r="R20" s="185"/>
      <c r="S20" s="185"/>
      <c r="T20" s="185"/>
      <c r="U20" s="123"/>
      <c r="V20" s="123"/>
      <c r="W20" s="81" t="str">
        <f t="shared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outlineLevel="1">
      <c r="A22" s="123"/>
      <c r="B22" s="123"/>
      <c r="C22" s="123" t="s">
        <v>40</v>
      </c>
      <c r="D22" s="124" t="s">
        <v>92</v>
      </c>
      <c r="E22" s="124" t="s">
        <v>28</v>
      </c>
      <c r="F22" s="124" t="s">
        <v>36</v>
      </c>
      <c r="G22" s="124"/>
      <c r="H22" s="124"/>
      <c r="I22" s="124"/>
      <c r="J22" s="169" t="str">
        <f t="shared" ref="J22:S22" si="4">IF(J10=J4,IF(COUNTA($C12:$C20)=COUNT(J12:J20),"Ok","Check"),"")</f>
        <v/>
      </c>
      <c r="K22" s="169" t="str">
        <f t="shared" si="4"/>
        <v/>
      </c>
      <c r="L22" s="169" t="str">
        <f t="shared" si="4"/>
        <v/>
      </c>
      <c r="M22" s="169" t="str">
        <f t="shared" si="4"/>
        <v/>
      </c>
      <c r="N22" s="169" t="str">
        <f t="shared" si="4"/>
        <v/>
      </c>
      <c r="O22" s="169" t="str">
        <f t="shared" si="4"/>
        <v>Ok</v>
      </c>
      <c r="P22" s="169" t="str">
        <f t="shared" si="4"/>
        <v>Ok</v>
      </c>
      <c r="Q22" s="169" t="str">
        <f t="shared" si="4"/>
        <v>Ok</v>
      </c>
      <c r="R22" s="169" t="str">
        <f t="shared" si="4"/>
        <v>Ok</v>
      </c>
      <c r="S22" s="169" t="str">
        <f t="shared" si="4"/>
        <v>Ok</v>
      </c>
      <c r="T22" s="169" t="str">
        <f t="shared" ref="T22" si="5">IF(T10=T4,IF(COUNTA($C12:$C20)=COUNT(T12:T20),"Ok","Check"),"")</f>
        <v/>
      </c>
      <c r="U22" s="170"/>
      <c r="V22" s="123"/>
      <c r="W22" s="81" t="str">
        <f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30" customFormat="1" ht="12.75">
      <c r="A24" s="119"/>
      <c r="B24" s="38" t="s">
        <v>105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outlineLevel="1">
      <c r="A26" s="123"/>
      <c r="B26" s="123"/>
      <c r="C26" s="126" t="s">
        <v>101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45809</v>
      </c>
      <c r="P26" s="142">
        <f t="shared" si="6"/>
        <v>46174</v>
      </c>
      <c r="Q26" s="142">
        <f t="shared" si="6"/>
        <v>46539</v>
      </c>
      <c r="R26" s="142">
        <f t="shared" si="6"/>
        <v>46905</v>
      </c>
      <c r="S26" s="142">
        <f t="shared" si="6"/>
        <v>47270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outlineLevel="1">
      <c r="A28" s="123"/>
      <c r="B28" s="123"/>
      <c r="C28" s="187"/>
      <c r="D28" s="124" t="s">
        <v>63</v>
      </c>
      <c r="E28" s="124" t="str">
        <f>units</f>
        <v>$millions</v>
      </c>
      <c r="F28" s="143">
        <f>DATE(PPLastYear,MONTH(month),1)</f>
        <v>45444</v>
      </c>
      <c r="G28" s="125"/>
      <c r="H28" s="125"/>
      <c r="I28" s="124"/>
      <c r="J28" s="162"/>
      <c r="K28" s="162"/>
      <c r="L28" s="162"/>
      <c r="M28" s="162"/>
      <c r="N28" s="185"/>
      <c r="O28" s="185"/>
      <c r="P28" s="185"/>
      <c r="Q28" s="185"/>
      <c r="R28" s="185"/>
      <c r="S28" s="185"/>
      <c r="T28" s="185"/>
      <c r="U28" s="123"/>
      <c r="V28" s="123"/>
      <c r="W28" s="81" t="str">
        <f>IF(ISBLANK(C28),IF(COUNT(J28:T28)=0,"Ok","Check"),IF(COUNT(J28:T28)=COUNT(J$10:T$10),"Ok","Check"))</f>
        <v>Ok</v>
      </c>
    </row>
    <row r="29" spans="1:30" outlineLevel="1">
      <c r="A29" s="123"/>
      <c r="B29" s="123"/>
      <c r="C29" s="187"/>
      <c r="D29" s="124" t="s">
        <v>63</v>
      </c>
      <c r="E29" s="124" t="str">
        <f>units</f>
        <v>$millions</v>
      </c>
      <c r="F29" s="143">
        <f>DATE(PPLastYear,MONTH(month),1)</f>
        <v>45444</v>
      </c>
      <c r="G29" s="125"/>
      <c r="H29" s="125"/>
      <c r="I29" s="124"/>
      <c r="J29" s="162"/>
      <c r="K29" s="162"/>
      <c r="L29" s="162"/>
      <c r="M29" s="162"/>
      <c r="N29" s="185"/>
      <c r="O29" s="185"/>
      <c r="P29" s="185"/>
      <c r="Q29" s="185"/>
      <c r="R29" s="185"/>
      <c r="S29" s="185"/>
      <c r="T29" s="185"/>
      <c r="U29" s="123"/>
      <c r="V29" s="123"/>
      <c r="W29" s="81" t="str">
        <f>IF(ISBLANK(C29),IF(COUNT(J29:T29)=0,"Ok","Check"),IF(COUNT(J29:T29)=COUNT(J$10:T$10),"Ok","Check"))</f>
        <v>Ok</v>
      </c>
    </row>
    <row r="30" spans="1:30" outlineLevel="1">
      <c r="A30" s="123"/>
      <c r="B30" s="123"/>
      <c r="C30" s="187"/>
      <c r="D30" s="124" t="s">
        <v>63</v>
      </c>
      <c r="E30" s="124" t="str">
        <f>units</f>
        <v>$millions</v>
      </c>
      <c r="F30" s="143">
        <f>DATE(PPLastYear,MONTH(month),1)</f>
        <v>45444</v>
      </c>
      <c r="G30" s="125"/>
      <c r="H30" s="125"/>
      <c r="I30" s="124"/>
      <c r="J30" s="162"/>
      <c r="K30" s="162"/>
      <c r="L30" s="162"/>
      <c r="M30" s="162"/>
      <c r="N30" s="185"/>
      <c r="O30" s="185"/>
      <c r="P30" s="185"/>
      <c r="Q30" s="185"/>
      <c r="R30" s="185"/>
      <c r="S30" s="185"/>
      <c r="T30" s="185"/>
      <c r="U30" s="123"/>
      <c r="V30" s="123"/>
      <c r="W30" s="81" t="str">
        <f>IF(ISBLANK(C30),IF(COUNT(J30:T30)=0,"Ok","Check"),IF(COUNT(J30:T30)=COUNT(J$10:T$10),"Ok","Check"))</f>
        <v>Ok</v>
      </c>
    </row>
    <row r="31" spans="1:30" outlineLevel="1">
      <c r="A31" s="123"/>
      <c r="B31" s="123"/>
      <c r="C31" s="188"/>
      <c r="D31" s="124" t="s">
        <v>63</v>
      </c>
      <c r="E31" s="124" t="str">
        <f>units</f>
        <v>$millions</v>
      </c>
      <c r="F31" s="143">
        <f>DATE(PPLastYear,MONTH(month),1)</f>
        <v>45444</v>
      </c>
      <c r="G31" s="125"/>
      <c r="H31" s="125"/>
      <c r="I31" s="124"/>
      <c r="J31" s="162"/>
      <c r="K31" s="162"/>
      <c r="L31" s="162"/>
      <c r="M31" s="162"/>
      <c r="N31" s="185"/>
      <c r="O31" s="185"/>
      <c r="P31" s="185"/>
      <c r="Q31" s="185"/>
      <c r="R31" s="185"/>
      <c r="S31" s="185"/>
      <c r="T31" s="185"/>
      <c r="U31" s="123"/>
      <c r="V31" s="123"/>
      <c r="W31" s="81" t="str">
        <f>IF(ISBLANK(C31),IF(COUNT(J31:T31)=0,"Ok","Check"),IF(COUNT(J31:T31)=COUNT(J$10:T$10),"Ok","Check"))</f>
        <v>Ok</v>
      </c>
    </row>
    <row r="32" spans="1:30" outlineLevel="1">
      <c r="A32" s="123"/>
      <c r="B32" s="123"/>
      <c r="C32" s="131"/>
      <c r="D32" s="124" t="s">
        <v>63</v>
      </c>
      <c r="E32" s="124" t="str">
        <f>units</f>
        <v>$millions</v>
      </c>
      <c r="F32" s="143">
        <f>DATE(PPLastYear,MONTH(month),1)</f>
        <v>45444</v>
      </c>
      <c r="G32" s="125"/>
      <c r="H32" s="125"/>
      <c r="I32" s="124"/>
      <c r="J32" s="162"/>
      <c r="K32" s="162"/>
      <c r="L32" s="162"/>
      <c r="M32" s="162"/>
      <c r="N32" s="185"/>
      <c r="O32" s="185"/>
      <c r="P32" s="185"/>
      <c r="Q32" s="185"/>
      <c r="R32" s="185"/>
      <c r="S32" s="185"/>
      <c r="T32" s="185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outlineLevel="1">
      <c r="A34" s="123"/>
      <c r="B34" s="123"/>
      <c r="C34" s="123" t="s">
        <v>40</v>
      </c>
      <c r="D34" s="124" t="s">
        <v>92</v>
      </c>
      <c r="E34" s="124" t="s">
        <v>28</v>
      </c>
      <c r="F34" s="124" t="s">
        <v>36</v>
      </c>
      <c r="G34" s="124"/>
      <c r="H34" s="124"/>
      <c r="I34" s="124"/>
      <c r="J34" s="169" t="str">
        <f t="shared" ref="J34:T34" si="7">IF(J26=J4,IF(COUNTA($C28:$C32)=COUNT(J28:J32),"Ok","Check"),"")</f>
        <v/>
      </c>
      <c r="K34" s="169" t="str">
        <f t="shared" si="7"/>
        <v/>
      </c>
      <c r="L34" s="169" t="str">
        <f t="shared" si="7"/>
        <v/>
      </c>
      <c r="M34" s="169" t="str">
        <f t="shared" si="7"/>
        <v/>
      </c>
      <c r="N34" s="169" t="str">
        <f t="shared" si="7"/>
        <v/>
      </c>
      <c r="O34" s="169" t="str">
        <f t="shared" si="7"/>
        <v>Ok</v>
      </c>
      <c r="P34" s="169" t="str">
        <f t="shared" si="7"/>
        <v>Ok</v>
      </c>
      <c r="Q34" s="169" t="str">
        <f t="shared" si="7"/>
        <v>Ok</v>
      </c>
      <c r="R34" s="169" t="str">
        <f t="shared" si="7"/>
        <v>Ok</v>
      </c>
      <c r="S34" s="169" t="str">
        <f t="shared" si="7"/>
        <v>Ok</v>
      </c>
      <c r="T34" s="169" t="str">
        <f t="shared" si="7"/>
        <v/>
      </c>
      <c r="U34" s="170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2.75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45809</v>
      </c>
      <c r="P38" s="142">
        <f t="shared" si="8"/>
        <v>46174</v>
      </c>
      <c r="Q38" s="142">
        <f t="shared" si="8"/>
        <v>46539</v>
      </c>
      <c r="R38" s="142">
        <f t="shared" si="8"/>
        <v>46905</v>
      </c>
      <c r="S38" s="142">
        <f t="shared" si="8"/>
        <v>47270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66</v>
      </c>
      <c r="E40" s="124" t="s">
        <v>15</v>
      </c>
      <c r="F40" s="143">
        <f>DATE(PPLastYear,MONTH(month),1)</f>
        <v>45444</v>
      </c>
      <c r="G40" s="125"/>
      <c r="H40" s="125"/>
      <c r="I40" s="125"/>
      <c r="J40" s="185"/>
      <c r="K40" s="185"/>
      <c r="L40" s="185"/>
      <c r="M40" s="185"/>
      <c r="N40" s="185"/>
      <c r="O40" s="185">
        <v>0.59593402651618987</v>
      </c>
      <c r="P40" s="185">
        <v>0.60384365053230238</v>
      </c>
      <c r="Q40" s="185">
        <v>0.61008005848768798</v>
      </c>
      <c r="R40" s="185">
        <v>0.6177783394562234</v>
      </c>
      <c r="S40" s="185">
        <v>0.63038492652865252</v>
      </c>
      <c r="T40" s="185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outlineLevel="1">
      <c r="A42" s="123"/>
      <c r="B42" s="123"/>
      <c r="C42" s="123" t="s">
        <v>40</v>
      </c>
      <c r="D42" s="124" t="s">
        <v>92</v>
      </c>
      <c r="E42" s="124" t="s">
        <v>28</v>
      </c>
      <c r="F42" s="124" t="s">
        <v>36</v>
      </c>
      <c r="G42" s="124"/>
      <c r="H42" s="124"/>
      <c r="I42" s="124"/>
      <c r="J42" s="169" t="str">
        <f t="shared" ref="J42:T42" si="9">IF(J38=J4,IF(ISBLANK(J40),"Check","Ok"),"")</f>
        <v/>
      </c>
      <c r="K42" s="169" t="str">
        <f t="shared" si="9"/>
        <v/>
      </c>
      <c r="L42" s="169" t="str">
        <f t="shared" si="9"/>
        <v/>
      </c>
      <c r="M42" s="169" t="str">
        <f t="shared" si="9"/>
        <v/>
      </c>
      <c r="N42" s="169" t="str">
        <f t="shared" si="9"/>
        <v/>
      </c>
      <c r="O42" s="169" t="str">
        <f t="shared" si="9"/>
        <v>Ok</v>
      </c>
      <c r="P42" s="169" t="str">
        <f t="shared" si="9"/>
        <v>Ok</v>
      </c>
      <c r="Q42" s="169" t="str">
        <f t="shared" si="9"/>
        <v>Ok</v>
      </c>
      <c r="R42" s="169" t="str">
        <f t="shared" si="9"/>
        <v>Ok</v>
      </c>
      <c r="S42" s="169" t="str">
        <f t="shared" si="9"/>
        <v>Ok</v>
      </c>
      <c r="T42" s="169" t="str">
        <f t="shared" si="9"/>
        <v/>
      </c>
      <c r="U42" s="170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2.75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S1">
    <cfRule type="cellIs" dxfId="138" priority="39" operator="equal">
      <formula>"Check"</formula>
    </cfRule>
    <cfRule type="cellIs" dxfId="137" priority="40" operator="equal">
      <formula>"Ok"</formula>
    </cfRule>
  </conditionalFormatting>
  <conditionalFormatting sqref="V1">
    <cfRule type="cellIs" dxfId="136" priority="41" operator="equal">
      <formula>"Check"</formula>
    </cfRule>
    <cfRule type="cellIs" dxfId="135" priority="42" operator="equal">
      <formula>"Ok"</formula>
    </cfRule>
  </conditionalFormatting>
  <conditionalFormatting sqref="J10:T10">
    <cfRule type="expression" dxfId="134" priority="37">
      <formula>J$10=J$4</formula>
    </cfRule>
  </conditionalFormatting>
  <conditionalFormatting sqref="J17:T20 J12:N16 T12:T16">
    <cfRule type="expression" dxfId="133" priority="36">
      <formula>J$10=J$4</formula>
    </cfRule>
  </conditionalFormatting>
  <conditionalFormatting sqref="W22">
    <cfRule type="cellIs" dxfId="132" priority="32" operator="equal">
      <formula>"Check"</formula>
    </cfRule>
    <cfRule type="cellIs" dxfId="131" priority="33" operator="equal">
      <formula>"Ok"</formula>
    </cfRule>
  </conditionalFormatting>
  <conditionalFormatting sqref="J22:T22">
    <cfRule type="cellIs" dxfId="130" priority="30" operator="equal">
      <formula>"Check"</formula>
    </cfRule>
    <cfRule type="cellIs" dxfId="129" priority="31" operator="equal">
      <formula>"Ok"</formula>
    </cfRule>
  </conditionalFormatting>
  <conditionalFormatting sqref="W34">
    <cfRule type="cellIs" dxfId="128" priority="28" operator="equal">
      <formula>"Check"</formula>
    </cfRule>
    <cfRule type="cellIs" dxfId="127" priority="29" operator="equal">
      <formula>"Ok"</formula>
    </cfRule>
  </conditionalFormatting>
  <conditionalFormatting sqref="J34:T34">
    <cfRule type="cellIs" dxfId="126" priority="26" operator="equal">
      <formula>"Check"</formula>
    </cfRule>
    <cfRule type="cellIs" dxfId="125" priority="27" operator="equal">
      <formula>"Ok"</formula>
    </cfRule>
  </conditionalFormatting>
  <conditionalFormatting sqref="J28:M32 O31:O32">
    <cfRule type="expression" dxfId="124" priority="25">
      <formula>J$26=J$4</formula>
    </cfRule>
  </conditionalFormatting>
  <conditionalFormatting sqref="W42">
    <cfRule type="cellIs" dxfId="123" priority="23" operator="equal">
      <formula>"Check"</formula>
    </cfRule>
    <cfRule type="cellIs" dxfId="122" priority="24" operator="equal">
      <formula>"Ok"</formula>
    </cfRule>
  </conditionalFormatting>
  <conditionalFormatting sqref="J42:T42">
    <cfRule type="cellIs" dxfId="121" priority="21" operator="equal">
      <formula>"Check"</formula>
    </cfRule>
    <cfRule type="cellIs" dxfId="120" priority="22" operator="equal">
      <formula>"Ok"</formula>
    </cfRule>
  </conditionalFormatting>
  <conditionalFormatting sqref="P31:T32 O28:T30">
    <cfRule type="expression" dxfId="119" priority="20">
      <formula>O$10=O$4</formula>
    </cfRule>
  </conditionalFormatting>
  <conditionalFormatting sqref="N28:N32">
    <cfRule type="expression" dxfId="118" priority="19">
      <formula>N$10=N$4</formula>
    </cfRule>
  </conditionalFormatting>
  <conditionalFormatting sqref="J40:T40">
    <cfRule type="expression" dxfId="117" priority="16">
      <formula>J$38=J$4</formula>
    </cfRule>
  </conditionalFormatting>
  <conditionalFormatting sqref="J26:T26">
    <cfRule type="expression" dxfId="116" priority="15">
      <formula>J$10=J$4</formula>
    </cfRule>
  </conditionalFormatting>
  <conditionalFormatting sqref="J38:T38">
    <cfRule type="expression" dxfId="115" priority="14">
      <formula>J$10=J$4</formula>
    </cfRule>
  </conditionalFormatting>
  <conditionalFormatting sqref="O12:S16">
    <cfRule type="expression" dxfId="114" priority="13">
      <formula>O$10=O$4</formula>
    </cfRule>
  </conditionalFormatting>
  <conditionalFormatting sqref="W12:W20">
    <cfRule type="cellIs" dxfId="113" priority="11" operator="equal">
      <formula>"Check"</formula>
    </cfRule>
    <cfRule type="cellIs" dxfId="112" priority="12" operator="equal">
      <formula>"Ok"</formula>
    </cfRule>
  </conditionalFormatting>
  <conditionalFormatting sqref="W28">
    <cfRule type="cellIs" dxfId="111" priority="9" operator="equal">
      <formula>"Check"</formula>
    </cfRule>
    <cfRule type="cellIs" dxfId="110" priority="10" operator="equal">
      <formula>"Ok"</formula>
    </cfRule>
  </conditionalFormatting>
  <conditionalFormatting sqref="W29">
    <cfRule type="cellIs" dxfId="109" priority="7" operator="equal">
      <formula>"Check"</formula>
    </cfRule>
    <cfRule type="cellIs" dxfId="108" priority="8" operator="equal">
      <formula>"Ok"</formula>
    </cfRule>
  </conditionalFormatting>
  <conditionalFormatting sqref="W30">
    <cfRule type="cellIs" dxfId="107" priority="5" operator="equal">
      <formula>"Check"</formula>
    </cfRule>
    <cfRule type="cellIs" dxfId="106" priority="6" operator="equal">
      <formula>"Ok"</formula>
    </cfRule>
  </conditionalFormatting>
  <conditionalFormatting sqref="W31">
    <cfRule type="cellIs" dxfId="105" priority="3" operator="equal">
      <formula>"Check"</formula>
    </cfRule>
    <cfRule type="cellIs" dxfId="104" priority="4" operator="equal">
      <formula>"Ok"</formula>
    </cfRule>
  </conditionalFormatting>
  <conditionalFormatting sqref="W32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8"/>
  <sheetViews>
    <sheetView showGridLines="0" showZeros="0" topLeftCell="A88" zoomScale="115" zoomScaleNormal="115" workbookViewId="0">
      <selection activeCell="J3" sqref="J3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76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108</v>
      </c>
      <c r="K3" s="100"/>
      <c r="L3" s="100"/>
      <c r="M3" s="105"/>
      <c r="N3" s="225"/>
      <c r="O3" s="225"/>
      <c r="P3" s="225"/>
      <c r="Q3" s="225"/>
      <c r="R3" s="225"/>
      <c r="S3" s="225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80</v>
      </c>
      <c r="C8" s="32"/>
      <c r="D8" s="32"/>
      <c r="E8" s="51" t="s">
        <v>15</v>
      </c>
      <c r="F8" s="111">
        <f>DATE(PPLastYear,MONTH('Input|General'!$G$9),1)</f>
        <v>45444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43983</v>
      </c>
      <c r="K10" s="99">
        <f t="shared" si="0"/>
        <v>44348</v>
      </c>
      <c r="L10" s="99">
        <f t="shared" si="0"/>
        <v>44713</v>
      </c>
      <c r="M10" s="99">
        <f t="shared" si="0"/>
        <v>45078</v>
      </c>
      <c r="N10" s="99">
        <f t="shared" si="0"/>
        <v>45444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146</v>
      </c>
      <c r="D12" s="65" t="s">
        <v>86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58.375166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146</v>
      </c>
      <c r="D13" s="16" t="s">
        <v>30</v>
      </c>
      <c r="E13" s="16" t="str">
        <f>$E$8</f>
        <v>$millions</v>
      </c>
      <c r="F13" s="98">
        <f>$F$8</f>
        <v>45444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62.092137484874428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226</v>
      </c>
      <c r="D14" s="65" t="s">
        <v>86</v>
      </c>
      <c r="E14" s="16" t="str">
        <f>'Input|Reported opex'!E15</f>
        <v>$millions</v>
      </c>
      <c r="F14" s="98">
        <f>'Input|Reported opex'!F15</f>
        <v>43617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59.78323256445038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226</v>
      </c>
      <c r="D15" s="16" t="s">
        <v>30</v>
      </c>
      <c r="E15" s="16" t="str">
        <f>$E$8</f>
        <v>$millions</v>
      </c>
      <c r="F15" s="98">
        <f>$F$8</f>
        <v>45444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71.923238625998479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227</v>
      </c>
      <c r="D16" s="65" t="s">
        <v>86</v>
      </c>
      <c r="E16" s="16" t="str">
        <f>'Input|Reported opex'!E15</f>
        <v>$millions</v>
      </c>
      <c r="F16" s="98">
        <f>'Input|Reported opex'!F15</f>
        <v>43617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60.341501395935879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227</v>
      </c>
      <c r="D17" s="16" t="s">
        <v>30</v>
      </c>
      <c r="E17" s="16" t="str">
        <f>$E$8</f>
        <v>$millions</v>
      </c>
      <c r="F17" s="98">
        <f>$F$8</f>
        <v>45444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72.594873475136183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147</v>
      </c>
      <c r="D19" s="65" t="s">
        <v>86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147</v>
      </c>
      <c r="D20" s="16" t="s">
        <v>30</v>
      </c>
      <c r="E20" s="16" t="str">
        <f>$E$8</f>
        <v>$millions</v>
      </c>
      <c r="F20" s="98">
        <f>$F$8</f>
        <v>45444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228</v>
      </c>
      <c r="D21" s="65" t="s">
        <v>86</v>
      </c>
      <c r="E21" s="16" t="str">
        <f>'Input|Reported opex'!E22</f>
        <v>$millions</v>
      </c>
      <c r="F21" s="98">
        <f>'Input|Reported opex'!F29</f>
        <v>43617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0.49489199190388405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228</v>
      </c>
      <c r="D22" s="16" t="s">
        <v>30</v>
      </c>
      <c r="E22" s="16" t="str">
        <f>$E$8</f>
        <v>$millions</v>
      </c>
      <c r="F22" s="98">
        <f>$F$8</f>
        <v>45444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0.59538826023543923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229</v>
      </c>
      <c r="D23" s="65" t="s">
        <v>86</v>
      </c>
      <c r="E23" s="16" t="str">
        <f>'Input|Reported opex'!E22</f>
        <v>$millions</v>
      </c>
      <c r="F23" s="98">
        <f>'Input|Reported opex'!F29</f>
        <v>43617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0.49108710358544105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229</v>
      </c>
      <c r="D24" s="16" t="s">
        <v>30</v>
      </c>
      <c r="E24" s="16" t="str">
        <f>$E$8</f>
        <v>$millions</v>
      </c>
      <c r="F24" s="98">
        <f>$F$8</f>
        <v>45444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0.59081072438242832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125</v>
      </c>
      <c r="D26" s="69" t="s">
        <v>30</v>
      </c>
      <c r="E26" s="69" t="str">
        <f>$E$8</f>
        <v>$millions</v>
      </c>
      <c r="F26" s="98">
        <f>$F$8</f>
        <v>45444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62.092137484874428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145</v>
      </c>
      <c r="D28" s="65" t="s">
        <v>86</v>
      </c>
      <c r="E28" s="16" t="str">
        <f>'Input|Reported opex'!E69</f>
        <v>$millions</v>
      </c>
      <c r="F28" s="98">
        <f>'Input|Reported opex'!F69</f>
        <v>45444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45444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143</v>
      </c>
      <c r="D31" s="16" t="s">
        <v>30</v>
      </c>
      <c r="E31" s="16" t="str">
        <f>$E$8</f>
        <v>$millions</v>
      </c>
      <c r="F31" s="98">
        <f>$F$8</f>
        <v>45444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0.67163484913770333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98</v>
      </c>
      <c r="D33" s="16" t="s">
        <v>30</v>
      </c>
      <c r="E33" s="16" t="str">
        <f>$E$8</f>
        <v>$millions</v>
      </c>
      <c r="F33" s="98">
        <f>$F$8</f>
        <v>45444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62.763772334012131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148</v>
      </c>
      <c r="D35" s="16" t="s">
        <v>30</v>
      </c>
      <c r="E35" s="16" t="str">
        <f>$E$8</f>
        <v>$millions</v>
      </c>
      <c r="F35" s="98">
        <f>$F$8</f>
        <v>45444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4.5775358530109056E-3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>
        <f>'Input|Reported opex'!$C$63</f>
        <v>0</v>
      </c>
      <c r="D37" s="65" t="s">
        <v>86</v>
      </c>
      <c r="E37" s="16" t="str">
        <f>'Input|Reported opex'!E63</f>
        <v>$millions</v>
      </c>
      <c r="F37" s="98">
        <f>'Input|Reported opex'!F63</f>
        <v>45444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0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>
        <f>C37</f>
        <v>0</v>
      </c>
      <c r="D38" s="16" t="s">
        <v>30</v>
      </c>
      <c r="E38" s="16" t="str">
        <f>$E$8</f>
        <v>$millions</v>
      </c>
      <c r="F38" s="98">
        <f>$F$8</f>
        <v>45444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>
        <f>'Input|Reported opex'!$C$64</f>
        <v>0</v>
      </c>
      <c r="D40" s="65" t="s">
        <v>86</v>
      </c>
      <c r="E40" s="16" t="str">
        <f>'Input|Reported opex'!$E$64</f>
        <v>$millions</v>
      </c>
      <c r="F40" s="98">
        <f>'Input|Reported opex'!$F$64</f>
        <v>45444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45444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86</v>
      </c>
      <c r="E43" s="16" t="str">
        <f>'Input|Reported opex'!$E$65</f>
        <v>$millions</v>
      </c>
      <c r="F43" s="98">
        <f>'Input|Reported opex'!$F$65</f>
        <v>45444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45444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86</v>
      </c>
      <c r="E46" s="16" t="str">
        <f>'Input|Reported opex'!$E$66</f>
        <v>$millions</v>
      </c>
      <c r="F46" s="98">
        <f>'Input|Reported opex'!$F$66</f>
        <v>45444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45444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86</v>
      </c>
      <c r="E49" s="16" t="str">
        <f>'Input|Reported opex'!$E$67</f>
        <v>$millions</v>
      </c>
      <c r="F49" s="98">
        <f>'Input|Reported opex'!$F$67</f>
        <v>45444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45444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83</v>
      </c>
      <c r="D52" s="16" t="s">
        <v>92</v>
      </c>
      <c r="E52" s="16" t="str">
        <f>$E$8</f>
        <v>$millions</v>
      </c>
      <c r="F52" s="98">
        <f>$F$8</f>
        <v>45444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149</v>
      </c>
      <c r="D54" s="67" t="s">
        <v>92</v>
      </c>
      <c r="E54" s="67" t="str">
        <f>$E$8</f>
        <v>$millions</v>
      </c>
      <c r="F54" s="103">
        <f>$F$8</f>
        <v>45444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62.768349869865141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81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45809</v>
      </c>
      <c r="P58" s="99">
        <f>IF(YEAR(P$4)&gt;='Input|General'!$G$13,IF(YEAR(P$4)&lt;='Input|General'!$G$14,P$4,""),"")</f>
        <v>46174</v>
      </c>
      <c r="Q58" s="99">
        <f>IF(YEAR(Q$4)&gt;='Input|General'!$G$13,IF(YEAR(Q$4)&lt;='Input|General'!$G$14,Q$4,""),"")</f>
        <v>46539</v>
      </c>
      <c r="R58" s="99">
        <f>IF(YEAR(R$4)&gt;='Input|General'!$G$13,IF(YEAR(R$4)&lt;='Input|General'!$G$14,R$4,""),"")</f>
        <v>46905</v>
      </c>
      <c r="S58" s="99">
        <f>IF(YEAR(S$4)&gt;='Input|General'!$G$13,IF(YEAR(S$4)&lt;='Input|General'!$G$14,S$4,""),"")</f>
        <v>47270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164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7.3571655954195762E-3</v>
      </c>
      <c r="P61" s="72">
        <f ca="1">IF(P58=P4,AVERAGE(OFFSET('Input|Rate of change'!Q106,0,0,COUNTA('Input|Rate of change'!$J$95:$M$95),1)),0)</f>
        <v>7.2212066439640444E-3</v>
      </c>
      <c r="Q61" s="72">
        <f ca="1">IF(Q58=Q4,AVERAGE(OFFSET('Input|Rate of change'!R106,0,0,COUNTA('Input|Rate of change'!$J$95:$M$95),1)),0)</f>
        <v>7.0955758765495463E-3</v>
      </c>
      <c r="R61" s="72">
        <f ca="1">IF(R58=R4,AVERAGE(OFFSET('Input|Rate of change'!S106,0,0,COUNTA('Input|Rate of change'!$J$95:$M$95),1)),0)</f>
        <v>6.9609083988850257E-3</v>
      </c>
      <c r="S61" s="72">
        <f ca="1">IF(S58=S4,AVERAGE(OFFSET('Input|Rate of change'!T106,0,0,COUNTA('Input|Rate of change'!$J$95:$M$95),1)),0)</f>
        <v>6.9287605876515836E-3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167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7.3571655954196569E-3</v>
      </c>
      <c r="P62" s="72">
        <f t="array" aca="1" ref="P62" ca="1">IF(P$58=P$4,PRODUCT(1+$J61:P61)-1,0)</f>
        <v>1.4631499852462149E-2</v>
      </c>
      <c r="Q62" s="72">
        <f t="array" aca="1" ref="Q62" ca="1">IF(Q$58=Q$4,PRODUCT(1+$J61:Q61)-1,0)</f>
        <v>2.1830894646402754E-2</v>
      </c>
      <c r="R62" s="72">
        <f t="array" aca="1" ref="R62" ca="1">IF(R$58=R$4,PRODUCT(1+$J61:R61)-1,0)</f>
        <v>2.8943765903187257E-2</v>
      </c>
      <c r="S62" s="72">
        <f t="array" aca="1" ref="S62" ca="1">IF(S$58=S$4,PRODUCT(1+$J61:S61)-1,0)</f>
        <v>3.6073070915286998E-2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165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7.2445365330535676E-3</v>
      </c>
      <c r="P64" s="72">
        <f>SUMPRODUCT('Input|Rate of change'!Q38:Q45,'Input|Rate of change'!Q51:Q58)</f>
        <v>8.1201394493373887E-3</v>
      </c>
      <c r="Q64" s="72">
        <f>SUMPRODUCT('Input|Rate of change'!R38:R45,'Input|Rate of change'!R51:R58)</f>
        <v>5.1587798479603882E-3</v>
      </c>
      <c r="R64" s="72">
        <f>SUMPRODUCT('Input|Rate of change'!S38:S45,'Input|Rate of change'!S51:S58)</f>
        <v>5.0014435210478936E-3</v>
      </c>
      <c r="S64" s="72">
        <f>SUMPRODUCT('Input|Rate of change'!T38:T45,'Input|Rate of change'!T51:T58)</f>
        <v>5.8789247606969653E-3</v>
      </c>
      <c r="T64" s="72">
        <f>SUMPRODUCT('Input|Rate of change'!U38:U45,'Input|Rate of change'!U51:U58)</f>
        <v>0</v>
      </c>
    </row>
    <row r="65" spans="1:31" outlineLevel="1">
      <c r="C65" s="15" t="s">
        <v>168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7.2445365330535694E-3</v>
      </c>
      <c r="P65" s="72">
        <f t="array" ref="P65">IF(P$58=P$4,PRODUCT(1+$J64:P64)-1,0)</f>
        <v>1.5423502629285046E-2</v>
      </c>
      <c r="Q65" s="72">
        <f t="array" ref="Q65">IF(Q$58=Q$4,PRODUCT(1+$J64:Q64)-1,0)</f>
        <v>2.0661848931794458E-2</v>
      </c>
      <c r="R65" s="72">
        <f t="array" ref="R65">IF(R$58=R$4,PRODUCT(1+$J64:R64)-1,0)</f>
        <v>2.5766631523315153E-2</v>
      </c>
      <c r="S65" s="72">
        <f t="array" ref="S65">IF(S$58=S$4,PRODUCT(1+$J64:S64)-1,0)</f>
        <v>3.1797036372074317E-2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166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169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126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9.5817263764919058E-3</v>
      </c>
      <c r="P70" s="88">
        <f t="shared" ca="1" si="6"/>
        <v>1.0322983381751527E-2</v>
      </c>
      <c r="Q70" s="88">
        <f t="shared" ca="1" si="6"/>
        <v>7.2295054371598333E-3</v>
      </c>
      <c r="R70" s="88">
        <f t="shared" ca="1" si="6"/>
        <v>6.9371806775946343E-3</v>
      </c>
      <c r="S70" s="88">
        <f t="shared" ca="1" si="6"/>
        <v>7.7841769154756157E-3</v>
      </c>
      <c r="T70" s="88">
        <f t="shared" ref="T70" ca="1" si="7">(1+T61)*(1+T64)*(1-T67)-1</f>
        <v>0</v>
      </c>
    </row>
    <row r="71" spans="1:31" outlineLevel="1">
      <c r="C71" s="9" t="s">
        <v>127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9.5817263764919058E-3</v>
      </c>
      <c r="P71" s="72">
        <f t="array" aca="1" ref="P71" ca="1">IF(P$58=P$4,PRODUCT(1+$J70:P70)-1,"")</f>
        <v>2.0003621760396495E-2</v>
      </c>
      <c r="Q71" s="72">
        <f t="array" aca="1" ref="Q71" ca="1">IF(Q$58=Q$4,PRODUCT(1+$J70:Q70)-1,"")</f>
        <v>2.7377743489835904E-2</v>
      </c>
      <c r="R71" s="72">
        <f t="array" aca="1" ref="R71" ca="1">IF(R$58=R$4,PRODUCT(1+$J70:R70)-1,"")</f>
        <v>3.4504848520564346E-2</v>
      </c>
      <c r="S71" s="72">
        <f t="array" aca="1" ref="S71" ca="1">IF(S$58=S$4,PRODUCT(1+$J70:S70)-1,"")</f>
        <v>4.2557617281365756E-2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84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96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45809</v>
      </c>
      <c r="P75" s="99">
        <f>IF(YEAR(P$4)&gt;='Input|General'!$G$13,IF(YEAR(P$4)&lt;='Input|General'!$G$14,P$4,""),"")</f>
        <v>46174</v>
      </c>
      <c r="Q75" s="99">
        <f>IF(YEAR(Q$4)&gt;='Input|General'!$G$13,IF(YEAR(Q$4)&lt;='Input|General'!$G$14,Q$4,""),"")</f>
        <v>46539</v>
      </c>
      <c r="R75" s="99">
        <f>IF(YEAR(R$4)&gt;='Input|General'!$G$13,IF(YEAR(R$4)&lt;='Input|General'!$G$14,R$4,""),"")</f>
        <v>46905</v>
      </c>
      <c r="S75" s="99">
        <f>IF(YEAR(S$4)&gt;='Input|General'!$G$13,IF(YEAR(S$4)&lt;='Input|General'!$G$14,S$4,""),"")</f>
        <v>47270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Insurance premiums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45444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0.65947285271797185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0.87098092293208229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1.040196439920493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1.1706429446778921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1.2791804322645386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Security of Critical Infrastructure</v>
      </c>
      <c r="D78" s="16" t="s">
        <v>30</v>
      </c>
      <c r="E78" s="16" t="str">
        <f t="shared" si="8"/>
        <v>$millions</v>
      </c>
      <c r="F78" s="98">
        <f t="shared" si="9"/>
        <v>45444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3.1636816231679963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3.0255093272385083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2.9264812154445581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2.9298646481815012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2.9487310207085096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Consumer Energy Resources</v>
      </c>
      <c r="D79" s="16" t="s">
        <v>30</v>
      </c>
      <c r="E79" s="16" t="str">
        <f t="shared" si="8"/>
        <v>$millions</v>
      </c>
      <c r="F79" s="98">
        <f t="shared" si="9"/>
        <v>45444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Smart metering step change</v>
      </c>
      <c r="D80" s="16" t="s">
        <v>30</v>
      </c>
      <c r="E80" s="16" t="str">
        <f t="shared" si="8"/>
        <v>$millions</v>
      </c>
      <c r="F80" s="98">
        <f t="shared" si="9"/>
        <v>45444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1.444305734915045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1.3758713481140303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0.94077059449527112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0.80494309390543661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0.83537554431716721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45444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45444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45444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45444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45444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47</v>
      </c>
      <c r="D87" s="76" t="s">
        <v>30</v>
      </c>
      <c r="E87" s="76" t="str">
        <f>$E$8</f>
        <v>$millions</v>
      </c>
      <c r="F87" s="101">
        <f t="shared" si="9"/>
        <v>45444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7.2374602108010135</v>
      </c>
      <c r="P87" s="80">
        <f t="shared" si="10"/>
        <v>7.2423615982846208</v>
      </c>
      <c r="Q87" s="80">
        <f t="shared" si="10"/>
        <v>6.877448249860322</v>
      </c>
      <c r="R87" s="80">
        <f t="shared" si="10"/>
        <v>6.8754506867648297</v>
      </c>
      <c r="S87" s="80">
        <f t="shared" si="10"/>
        <v>7.0332869972902152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106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101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45809</v>
      </c>
      <c r="P91" s="99">
        <f>IF(YEAR(P$4)&gt;='Input|General'!$G$13,IF(YEAR(P$4)&lt;='Input|General'!$G$14,P$4,""),"")</f>
        <v>46174</v>
      </c>
      <c r="Q91" s="99">
        <f>IF(YEAR(Q$4)&gt;='Input|General'!$G$13,IF(YEAR(Q$4)&lt;='Input|General'!$G$14,Q$4,""),"")</f>
        <v>46539</v>
      </c>
      <c r="R91" s="99">
        <f>IF(YEAR(R$4)&gt;='Input|General'!$G$13,IF(YEAR(R$4)&lt;='Input|General'!$G$14,R$4,""),"")</f>
        <v>46905</v>
      </c>
      <c r="S91" s="99">
        <f>IF(YEAR(S$4)&gt;='Input|General'!$G$13,IF(YEAR(S$4)&lt;='Input|General'!$G$14,S$4,""),"")</f>
        <v>47270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30</v>
      </c>
      <c r="E93" s="16" t="str">
        <f t="shared" si="8"/>
        <v>$millions</v>
      </c>
      <c r="F93" s="98">
        <f t="shared" ref="F93:F97" si="12">$F$8</f>
        <v>45444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8"/>
        <v>$millions</v>
      </c>
      <c r="F94" s="98">
        <f t="shared" si="12"/>
        <v>45444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45444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45444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45444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107</v>
      </c>
      <c r="D99" s="76" t="s">
        <v>30</v>
      </c>
      <c r="E99" s="76" t="str">
        <f>$E$8</f>
        <v>$millions</v>
      </c>
      <c r="F99" s="101">
        <f t="shared" ref="F99" si="13">$F$8</f>
        <v>45444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85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45809</v>
      </c>
      <c r="P103" s="99">
        <f>IF(YEAR(P$4)&gt;='Input|General'!$G$13,IF(YEAR(P$4)&lt;='Input|General'!$G$14,P$4,""),"")</f>
        <v>46174</v>
      </c>
      <c r="Q103" s="99">
        <f>IF(YEAR(Q$4)&gt;='Input|General'!$G$13,IF(YEAR(Q$4)&lt;='Input|General'!$G$14,Q$4,""),"")</f>
        <v>46539</v>
      </c>
      <c r="R103" s="99">
        <f>IF(YEAR(R$4)&gt;='Input|General'!$G$13,IF(YEAR(R$4)&lt;='Input|General'!$G$14,R$4,""),"")</f>
        <v>46905</v>
      </c>
      <c r="S103" s="99">
        <f>IF(YEAR(S$4)&gt;='Input|General'!$G$13,IF(YEAR(S$4)&lt;='Input|General'!$G$14,S$4,""),"")</f>
        <v>47270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123</v>
      </c>
      <c r="D105" s="20" t="s">
        <v>30</v>
      </c>
      <c r="E105" s="20" t="str">
        <f>$E$8</f>
        <v>$millions</v>
      </c>
      <c r="F105" s="101">
        <f t="shared" ref="F105:F111" si="15">$F$8</f>
        <v>45444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70.607239234223115</v>
      </c>
      <c r="P105" s="90">
        <f t="shared" ca="1" si="16"/>
        <v>71.266305797470778</v>
      </c>
      <c r="Q105" s="90">
        <f t="shared" ca="1" si="16"/>
        <v>71.364253901742899</v>
      </c>
      <c r="R105" s="90">
        <f t="shared" ca="1" si="16"/>
        <v>71.809612960775453</v>
      </c>
      <c r="S105" s="90">
        <f t="shared" ca="1" si="16"/>
        <v>72.47290827829994</v>
      </c>
      <c r="T105" s="90" t="str">
        <f t="shared" si="16"/>
        <v/>
      </c>
    </row>
    <row r="106" spans="1:39" outlineLevel="1">
      <c r="C106" s="77" t="s">
        <v>99</v>
      </c>
      <c r="D106" s="20" t="s">
        <v>30</v>
      </c>
      <c r="E106" s="20" t="str">
        <f>$E$8</f>
        <v>$millions</v>
      </c>
      <c r="F106" s="101">
        <f t="shared" si="15"/>
        <v>45444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70.607239234223115</v>
      </c>
      <c r="P106" s="90">
        <f t="shared" ca="1" si="17"/>
        <v>71.266305797470778</v>
      </c>
      <c r="Q106" s="90">
        <f t="shared" ca="1" si="17"/>
        <v>71.364253901742899</v>
      </c>
      <c r="R106" s="90">
        <f t="shared" ca="1" si="17"/>
        <v>71.809612960775453</v>
      </c>
      <c r="S106" s="90">
        <f t="shared" ca="1" si="17"/>
        <v>72.47290827829994</v>
      </c>
      <c r="T106" s="90" t="str">
        <f t="shared" si="17"/>
        <v/>
      </c>
    </row>
    <row r="107" spans="1:39" outlineLevel="1">
      <c r="C107" s="221" t="s">
        <v>244</v>
      </c>
      <c r="D107" s="20" t="s">
        <v>30</v>
      </c>
      <c r="E107" s="20" t="str">
        <f>$E$8</f>
        <v>$millions</v>
      </c>
      <c r="F107" s="101">
        <f t="shared" si="15"/>
        <v>45444</v>
      </c>
      <c r="J107" s="90"/>
      <c r="K107" s="90"/>
      <c r="L107" s="90"/>
      <c r="M107" s="90"/>
      <c r="N107" s="90"/>
      <c r="O107" s="222">
        <f ca="1">IF(YEAR(O$4)&gt;=FPFirstYear,IF(YEAR(O$4)&lt;=FPLastYear,IF(ISBLANK(O103),"",(1+O71)*SUM($J54:$S54)+O87+O99),""),"")*'Input|Dx Tx split'!O11</f>
        <v>59.470279683587087</v>
      </c>
      <c r="P107" s="222">
        <f ca="1">IF(YEAR(P$4)&gt;=FPFirstYear,IF(YEAR(P$4)&lt;=FPLastYear,IF(ISBLANK(P103),"",(1+P71)*SUM($J54:$S54)+P87+P99),""),"")*'Input|Dx Tx split'!P11</f>
        <v>60.025390933814833</v>
      </c>
      <c r="Q107" s="222">
        <f ca="1">IF(YEAR(Q$4)&gt;=FPFirstYear,IF(YEAR(Q$4)&lt;=FPLastYear,IF(ISBLANK(Q103),"",(1+Q71)*SUM($J54:$S54)+Q87+Q99),""),"")*'Input|Dx Tx split'!Q11</f>
        <v>60.107889573029674</v>
      </c>
      <c r="R107" s="222">
        <f ca="1">IF(YEAR(R$4)&gt;=FPFirstYear,IF(YEAR(R$4)&lt;=FPLastYear,IF(ISBLANK(R103),"",(1+R71)*SUM($J54:$S54)+R87+R99),""),"")*'Input|Dx Tx split'!R11</f>
        <v>60.483001644929629</v>
      </c>
      <c r="S107" s="222">
        <f ca="1">IF(YEAR(S$4)&gt;=FPFirstYear,IF(YEAR(S$4)&lt;=FPLastYear,IF(ISBLANK(S103),"",(1+S71)*SUM($J54:$S54)+S87+S99),""),"")*'Input|Dx Tx split'!S11</f>
        <v>61.041674643248413</v>
      </c>
      <c r="T107" s="90"/>
    </row>
    <row r="108" spans="1:39" outlineLevel="1">
      <c r="C108" s="15" t="s">
        <v>245</v>
      </c>
      <c r="D108" s="20" t="s">
        <v>30</v>
      </c>
      <c r="E108" s="20" t="str">
        <f>$E$8</f>
        <v>$millions</v>
      </c>
      <c r="F108" s="101">
        <f t="shared" si="15"/>
        <v>45444</v>
      </c>
      <c r="J108" s="90"/>
      <c r="K108" s="90"/>
      <c r="L108" s="90"/>
      <c r="M108" s="90"/>
      <c r="N108" s="90"/>
      <c r="O108" s="222">
        <f ca="1">IF(YEAR(O$4)&gt;=FPFirstYear,IF(YEAR(O$4)&lt;=FPLastYear,IF(ISBLANK(O103),"",(1+O71)*SUM($J54:$S54)+O87+O99),""),"")*'Input|Dx Tx split'!O10</f>
        <v>11.13695955063603</v>
      </c>
      <c r="P108" s="222">
        <f ca="1">IF(YEAR(P$4)&gt;=FPFirstYear,IF(YEAR(P$4)&lt;=FPLastYear,IF(ISBLANK(P103),"",(1+P71)*SUM($J54:$S54)+P87+P99),""),"")*'Input|Dx Tx split'!P10</f>
        <v>11.240914863655947</v>
      </c>
      <c r="Q108" s="222">
        <f ca="1">IF(YEAR(Q$4)&gt;=FPFirstYear,IF(YEAR(Q$4)&lt;=FPLastYear,IF(ISBLANK(Q103),"",(1+Q71)*SUM($J54:$S54)+Q87+Q99),""),"")*'Input|Dx Tx split'!Q10</f>
        <v>11.256364328713227</v>
      </c>
      <c r="R108" s="222">
        <f ca="1">IF(YEAR(R$4)&gt;=FPFirstYear,IF(YEAR(R$4)&lt;=FPLastYear,IF(ISBLANK(R103),"",(1+R71)*SUM($J54:$S54)+R87+R99),""),"")*'Input|Dx Tx split'!R10</f>
        <v>11.326611315845827</v>
      </c>
      <c r="S108" s="222">
        <f ca="1">IF(YEAR(S$4)&gt;=FPFirstYear,IF(YEAR(S$4)&lt;=FPLastYear,IF(ISBLANK(S103),"",(1+S71)*SUM($J54:$S54)+S87+S99),""),"")*'Input|Dx Tx split'!S10</f>
        <v>11.431233635051532</v>
      </c>
      <c r="T108" s="90"/>
    </row>
    <row r="109" spans="1:39" outlineLevel="1">
      <c r="C109" s="77" t="s">
        <v>100</v>
      </c>
      <c r="D109" s="20" t="s">
        <v>30</v>
      </c>
      <c r="E109" s="20" t="str">
        <f>$E$8</f>
        <v>$millions</v>
      </c>
      <c r="F109" s="101">
        <f t="shared" si="15"/>
        <v>45444</v>
      </c>
      <c r="J109" s="90" t="str">
        <f>IF(YEAR(J$4)&gt;=FPFirstYear,IF(YEAR(J$4)&lt;=FPLastYear,J106+'Input|Step changes'!J40,""),"")</f>
        <v/>
      </c>
      <c r="K109" s="90" t="str">
        <f>IF(YEAR(K$4)&gt;=FPFirstYear,IF(YEAR(K$4)&lt;=FPLastYear,K106+'Input|Step changes'!K40,""),"")</f>
        <v/>
      </c>
      <c r="L109" s="90" t="str">
        <f>IF(YEAR(L$4)&gt;=FPFirstYear,IF(YEAR(L$4)&lt;=FPLastYear,L106+'Input|Step changes'!L40,""),"")</f>
        <v/>
      </c>
      <c r="M109" s="90" t="str">
        <f>IF(YEAR(M$4)&gt;=FPFirstYear,IF(YEAR(M$4)&lt;=FPLastYear,M106+'Input|Step changes'!M40,""),"")</f>
        <v/>
      </c>
      <c r="N109" s="90" t="str">
        <f>IF(YEAR(N$4)&gt;=FPFirstYear,IF(YEAR(N$4)&lt;=FPLastYear,N106+'Input|Step changes'!N40,""),"")</f>
        <v/>
      </c>
      <c r="O109" s="90">
        <f ca="1">IF(YEAR(O$4)&gt;=FPFirstYear,IF(YEAR(O$4)&lt;=FPLastYear,O106+'Input|Step changes'!O40,""),"")</f>
        <v>71.203173260739305</v>
      </c>
      <c r="P109" s="90">
        <f ca="1">IF(YEAR(P$4)&gt;=FPFirstYear,IF(YEAR(P$4)&lt;=FPLastYear,P106+'Input|Step changes'!P40,""),"")</f>
        <v>71.870149448003076</v>
      </c>
      <c r="Q109" s="90">
        <f ca="1">IF(YEAR(Q$4)&gt;=FPFirstYear,IF(YEAR(Q$4)&lt;=FPLastYear,Q106+'Input|Step changes'!Q40,""),"")</f>
        <v>71.974333960230581</v>
      </c>
      <c r="R109" s="90">
        <f ca="1">IF(YEAR(R$4)&gt;=FPFirstYear,IF(YEAR(R$4)&lt;=FPLastYear,R106+'Input|Step changes'!R40,""),"")</f>
        <v>72.427391300231676</v>
      </c>
      <c r="S109" s="90">
        <f ca="1">IF(YEAR(S$4)&gt;=FPFirstYear,IF(YEAR(S$4)&lt;=FPLastYear,S106+'Input|Step changes'!S40,""),"")</f>
        <v>73.103293204828589</v>
      </c>
      <c r="T109" s="90" t="str">
        <f>IF(YEAR(T$4)&gt;=FPFirstYear,IF(YEAR(T$4)&lt;=FPLastYear,T106+'Input|Step changes'!T40,""),"")</f>
        <v/>
      </c>
    </row>
    <row r="110" spans="1:39" outlineLevel="1">
      <c r="C110" s="221" t="s">
        <v>247</v>
      </c>
      <c r="D110" s="20" t="s">
        <v>30</v>
      </c>
      <c r="E110" s="20" t="str">
        <f t="shared" ref="E110:E111" si="18">$E$8</f>
        <v>$millions</v>
      </c>
      <c r="F110" s="101">
        <f t="shared" si="15"/>
        <v>45444</v>
      </c>
      <c r="J110" s="90"/>
      <c r="K110" s="90"/>
      <c r="L110" s="90"/>
      <c r="M110" s="90"/>
      <c r="N110" s="90"/>
      <c r="O110" s="222">
        <f ca="1">IF(YEAR(O$4)&gt;=FPFirstYear,IF(YEAR(O$4)&lt;=FPLastYear,O106+'Input|Step changes'!O40,""),"")*'Input|Dx Tx split'!O11</f>
        <v>59.972216363370286</v>
      </c>
      <c r="P110" s="222">
        <f ca="1">IF(YEAR(P$4)&gt;=FPFirstYear,IF(YEAR(P$4)&lt;=FPLastYear,P106+'Input|Step changes'!P40,""),"")*'Input|Dx Tx split'!P11</f>
        <v>60.533989643689161</v>
      </c>
      <c r="Q110" s="222">
        <f ca="1">IF(YEAR(Q$4)&gt;=FPFirstYear,IF(YEAR(Q$4)&lt;=FPLastYear,Q106+'Input|Step changes'!Q40,""),"")*'Input|Dx Tx split'!Q11</f>
        <v>60.621741015192505</v>
      </c>
      <c r="R110" s="222">
        <f ca="1">IF(YEAR(R$4)&gt;=FPFirstYear,IF(YEAR(R$4)&lt;=FPLastYear,R106+'Input|Step changes'!R40,""),"")*'Input|Dx Tx split'!R11</f>
        <v>61.003337109513495</v>
      </c>
      <c r="S110" s="222">
        <f ca="1">IF(YEAR(S$4)&gt;=FPFirstYear,IF(YEAR(S$4)&lt;=FPLastYear,S106+'Input|Step changes'!S40,""),"")*'Input|Dx Tx split'!S11</f>
        <v>61.572628243694602</v>
      </c>
      <c r="T110" s="90"/>
    </row>
    <row r="111" spans="1:39" outlineLevel="1">
      <c r="C111" s="15" t="s">
        <v>248</v>
      </c>
      <c r="D111" s="20" t="s">
        <v>30</v>
      </c>
      <c r="E111" s="20" t="str">
        <f t="shared" si="18"/>
        <v>$millions</v>
      </c>
      <c r="F111" s="101">
        <f t="shared" si="15"/>
        <v>45444</v>
      </c>
      <c r="J111" s="90"/>
      <c r="K111" s="90"/>
      <c r="L111" s="90"/>
      <c r="M111" s="90"/>
      <c r="N111" s="90"/>
      <c r="O111" s="222">
        <f ca="1">IF(YEAR(O$4)&gt;=FPFirstYear,IF(YEAR(O$4)&lt;=FPLastYear,O106+'Input|Step changes'!O40,""),"")*'Input|Dx Tx split'!O10</f>
        <v>11.230956897369019</v>
      </c>
      <c r="P111" s="222">
        <f ca="1">IF(YEAR(P$4)&gt;=FPFirstYear,IF(YEAR(P$4)&lt;=FPLastYear,P106+'Input|Step changes'!P40,""),"")*'Input|Dx Tx split'!P10</f>
        <v>11.336159804313917</v>
      </c>
      <c r="Q111" s="222">
        <f ca="1">IF(YEAR(Q$4)&gt;=FPFirstYear,IF(YEAR(Q$4)&lt;=FPLastYear,Q106+'Input|Step changes'!Q40,""),"")*'Input|Dx Tx split'!Q10</f>
        <v>11.352592945038078</v>
      </c>
      <c r="R111" s="222">
        <f ca="1">IF(YEAR(R$4)&gt;=FPFirstYear,IF(YEAR(R$4)&lt;=FPLastYear,R106+'Input|Step changes'!R40,""),"")*'Input|Dx Tx split'!R10</f>
        <v>11.424054190718184</v>
      </c>
      <c r="S111" s="222">
        <f ca="1">IF(YEAR(S$4)&gt;=FPFirstYear,IF(YEAR(S$4)&lt;=FPLastYear,S106+'Input|Step changes'!S40,""),"")*'Input|Dx Tx split'!S10</f>
        <v>11.530664961133992</v>
      </c>
      <c r="T111" s="90"/>
    </row>
    <row r="112" spans="1:39">
      <c r="C112" s="77"/>
      <c r="J112" s="64"/>
      <c r="K112" s="64"/>
      <c r="L112" s="64"/>
      <c r="M112" s="64"/>
      <c r="N112" s="22"/>
      <c r="O112" s="22"/>
      <c r="P112" s="22"/>
      <c r="Q112" s="22"/>
      <c r="R112" s="22"/>
      <c r="S112" s="22"/>
      <c r="T112" s="22"/>
    </row>
    <row r="113" spans="1:31" customFormat="1" ht="12.75">
      <c r="A113" s="32"/>
      <c r="B113" s="38" t="s">
        <v>21</v>
      </c>
      <c r="C113" s="32"/>
      <c r="D113" s="32"/>
      <c r="E113" s="32"/>
      <c r="F113" s="33"/>
      <c r="G113" s="33"/>
      <c r="H113" s="33"/>
      <c r="I113" s="33"/>
      <c r="J113" s="34"/>
      <c r="K113" s="35"/>
      <c r="L113" s="34"/>
      <c r="M113" s="35"/>
      <c r="N113" s="34"/>
      <c r="O113" s="34"/>
      <c r="P113" s="34"/>
      <c r="Q113" s="34"/>
      <c r="R113" s="34"/>
      <c r="S113" s="34"/>
      <c r="T113" s="34"/>
      <c r="U113" s="34"/>
      <c r="V113" s="34"/>
      <c r="W113" s="35"/>
      <c r="X113" s="35"/>
      <c r="Y113" s="36"/>
      <c r="Z113" s="36"/>
      <c r="AA113" s="36"/>
      <c r="AB113" s="36"/>
      <c r="AC113" s="36"/>
      <c r="AD113" s="37"/>
      <c r="AE113" s="37"/>
    </row>
    <row r="122" spans="1:31" hidden="1">
      <c r="D122" s="8"/>
      <c r="E122" s="8"/>
      <c r="F122" s="8"/>
      <c r="G122" s="8"/>
      <c r="H122" s="8"/>
      <c r="I122" s="8"/>
    </row>
    <row r="123" spans="1:31" hidden="1">
      <c r="D123" s="8"/>
      <c r="E123" s="8"/>
      <c r="F123" s="8"/>
      <c r="G123" s="8"/>
      <c r="H123" s="8"/>
      <c r="I123" s="8"/>
    </row>
    <row r="124" spans="1:31" hidden="1">
      <c r="D124" s="8"/>
      <c r="E124" s="8"/>
      <c r="F124" s="8"/>
      <c r="G124" s="8"/>
      <c r="H124" s="8"/>
      <c r="I124" s="8"/>
    </row>
    <row r="125" spans="1:31" hidden="1">
      <c r="D125" s="8"/>
      <c r="E125" s="8"/>
      <c r="F125" s="8"/>
      <c r="G125" s="8"/>
      <c r="H125" s="8"/>
      <c r="I125" s="8"/>
    </row>
    <row r="126" spans="1:31" hidden="1">
      <c r="D126" s="8"/>
      <c r="E126" s="8"/>
      <c r="F126" s="8"/>
      <c r="G126" s="8"/>
      <c r="H126" s="8"/>
      <c r="I126" s="8"/>
    </row>
    <row r="127" spans="1:31" hidden="1">
      <c r="D127" s="8"/>
      <c r="E127" s="8"/>
      <c r="F127" s="8"/>
      <c r="G127" s="8"/>
      <c r="H127" s="8"/>
      <c r="I127" s="8"/>
    </row>
    <row r="128" spans="1:31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  <row r="198" s="8" customFormat="1" hidden="1"/>
  </sheetData>
  <sheetProtection selectLockedCells="1"/>
  <mergeCells count="1">
    <mergeCell ref="N3:S3"/>
  </mergeCells>
  <conditionalFormatting sqref="S1:T1">
    <cfRule type="cellIs" dxfId="101" priority="107" operator="equal">
      <formula>"Check"</formula>
    </cfRule>
    <cfRule type="cellIs" dxfId="100" priority="108" operator="equal">
      <formula>"Ok"</formula>
    </cfRule>
  </conditionalFormatting>
  <conditionalFormatting sqref="W1">
    <cfRule type="cellIs" dxfId="99" priority="109" operator="equal">
      <formula>"Check"</formula>
    </cfRule>
    <cfRule type="cellIs" dxfId="98" priority="110" operator="equal">
      <formula>"Ok"</formula>
    </cfRule>
  </conditionalFormatting>
  <conditionalFormatting sqref="R39:T39 R42:T42 R45:T45 R48:T48 J12:T18">
    <cfRule type="cellIs" dxfId="97" priority="106" operator="equal">
      <formula>0</formula>
    </cfRule>
  </conditionalFormatting>
  <conditionalFormatting sqref="J13:T13">
    <cfRule type="cellIs" dxfId="96" priority="105" operator="equal">
      <formula>0</formula>
    </cfRule>
  </conditionalFormatting>
  <conditionalFormatting sqref="J14:T14">
    <cfRule type="cellIs" dxfId="95" priority="104" operator="equal">
      <formula>0</formula>
    </cfRule>
  </conditionalFormatting>
  <conditionalFormatting sqref="J15:T15">
    <cfRule type="cellIs" dxfId="94" priority="103" operator="equal">
      <formula>0</formula>
    </cfRule>
  </conditionalFormatting>
  <conditionalFormatting sqref="J16:T16">
    <cfRule type="cellIs" dxfId="93" priority="102" operator="equal">
      <formula>0</formula>
    </cfRule>
  </conditionalFormatting>
  <conditionalFormatting sqref="J17:T18">
    <cfRule type="cellIs" dxfId="92" priority="101" operator="equal">
      <formula>0</formula>
    </cfRule>
  </conditionalFormatting>
  <conditionalFormatting sqref="J61:T68">
    <cfRule type="cellIs" dxfId="91" priority="100" operator="equal">
      <formula>0</formula>
    </cfRule>
  </conditionalFormatting>
  <conditionalFormatting sqref="J77:T85 J93:T98">
    <cfRule type="cellIs" dxfId="90" priority="98" operator="equal">
      <formula>0</formula>
    </cfRule>
  </conditionalFormatting>
  <conditionalFormatting sqref="J36:T36 J33:T34 J51:T54">
    <cfRule type="cellIs" dxfId="89" priority="95" operator="equal">
      <formula>0</formula>
    </cfRule>
  </conditionalFormatting>
  <conditionalFormatting sqref="J106:T111">
    <cfRule type="cellIs" dxfId="88" priority="94" operator="equal">
      <formula>0</formula>
    </cfRule>
  </conditionalFormatting>
  <conditionalFormatting sqref="J106:T111">
    <cfRule type="cellIs" dxfId="87" priority="93" operator="equal">
      <formula>0</formula>
    </cfRule>
  </conditionalFormatting>
  <conditionalFormatting sqref="J46:T46">
    <cfRule type="cellIs" dxfId="86" priority="56" operator="equal">
      <formula>0</formula>
    </cfRule>
  </conditionalFormatting>
  <conditionalFormatting sqref="J39:Q39 J42:Q42 J45:Q45">
    <cfRule type="cellIs" dxfId="85" priority="74" operator="equal">
      <formula>0</formula>
    </cfRule>
  </conditionalFormatting>
  <conditionalFormatting sqref="J39:Q39 J42:Q42 J45:Q45">
    <cfRule type="cellIs" dxfId="84" priority="73" operator="equal">
      <formula>0</formula>
    </cfRule>
  </conditionalFormatting>
  <conditionalFormatting sqref="J37:T37">
    <cfRule type="cellIs" dxfId="83" priority="69" operator="equal">
      <formula>0</formula>
    </cfRule>
  </conditionalFormatting>
  <conditionalFormatting sqref="J37:T37">
    <cfRule type="cellIs" dxfId="82" priority="68" operator="equal">
      <formula>0</formula>
    </cfRule>
  </conditionalFormatting>
  <conditionalFormatting sqref="J48:Q48">
    <cfRule type="cellIs" dxfId="81" priority="59" operator="equal">
      <formula>0</formula>
    </cfRule>
  </conditionalFormatting>
  <conditionalFormatting sqref="J48:Q48">
    <cfRule type="cellIs" dxfId="80" priority="58" operator="equal">
      <formula>0</formula>
    </cfRule>
  </conditionalFormatting>
  <conditionalFormatting sqref="J40:T40">
    <cfRule type="cellIs" dxfId="79" priority="65" operator="equal">
      <formula>0</formula>
    </cfRule>
  </conditionalFormatting>
  <conditionalFormatting sqref="J40:T40">
    <cfRule type="cellIs" dxfId="78" priority="64" operator="equal">
      <formula>0</formula>
    </cfRule>
  </conditionalFormatting>
  <conditionalFormatting sqref="J46:T46">
    <cfRule type="cellIs" dxfId="77" priority="57" operator="equal">
      <formula>0</formula>
    </cfRule>
  </conditionalFormatting>
  <conditionalFormatting sqref="J43:T43">
    <cfRule type="cellIs" dxfId="76" priority="61" operator="equal">
      <formula>0</formula>
    </cfRule>
  </conditionalFormatting>
  <conditionalFormatting sqref="J43:T43">
    <cfRule type="cellIs" dxfId="75" priority="60" operator="equal">
      <formula>0</formula>
    </cfRule>
  </conditionalFormatting>
  <conditionalFormatting sqref="J49:T49">
    <cfRule type="cellIs" dxfId="74" priority="51" operator="equal">
      <formula>0</formula>
    </cfRule>
  </conditionalFormatting>
  <conditionalFormatting sqref="J49:T49">
    <cfRule type="cellIs" dxfId="73" priority="52" operator="equal">
      <formula>0</formula>
    </cfRule>
  </conditionalFormatting>
  <conditionalFormatting sqref="J38:T38">
    <cfRule type="cellIs" dxfId="72" priority="50" operator="equal">
      <formula>0</formula>
    </cfRule>
  </conditionalFormatting>
  <conditionalFormatting sqref="J38:T38">
    <cfRule type="cellIs" dxfId="71" priority="49" operator="equal">
      <formula>0</formula>
    </cfRule>
  </conditionalFormatting>
  <conditionalFormatting sqref="J105:T105">
    <cfRule type="cellIs" dxfId="70" priority="30" operator="equal">
      <formula>0</formula>
    </cfRule>
  </conditionalFormatting>
  <conditionalFormatting sqref="J105:T105">
    <cfRule type="cellIs" dxfId="69" priority="29" operator="equal">
      <formula>0</formula>
    </cfRule>
  </conditionalFormatting>
  <conditionalFormatting sqref="J10:T10">
    <cfRule type="expression" dxfId="68" priority="28">
      <formula>J$10=J$4</formula>
    </cfRule>
  </conditionalFormatting>
  <conditionalFormatting sqref="J25:T25">
    <cfRule type="expression" dxfId="67" priority="27">
      <formula>J$10=J$4</formula>
    </cfRule>
  </conditionalFormatting>
  <conditionalFormatting sqref="J54:T54">
    <cfRule type="expression" dxfId="66" priority="26">
      <formula>J$10=J$4</formula>
    </cfRule>
  </conditionalFormatting>
  <conditionalFormatting sqref="J26:T28 J30:T30">
    <cfRule type="cellIs" dxfId="65" priority="23" operator="equal">
      <formula>0</formula>
    </cfRule>
  </conditionalFormatting>
  <conditionalFormatting sqref="J31:T32">
    <cfRule type="cellIs" dxfId="64" priority="22" operator="equal">
      <formula>0</formula>
    </cfRule>
  </conditionalFormatting>
  <conditionalFormatting sqref="J71:T71">
    <cfRule type="cellIs" dxfId="63" priority="19" operator="equal">
      <formula>0</formula>
    </cfRule>
  </conditionalFormatting>
  <conditionalFormatting sqref="J35:T35">
    <cfRule type="cellIs" dxfId="62" priority="18" operator="equal">
      <formula>0</formula>
    </cfRule>
  </conditionalFormatting>
  <conditionalFormatting sqref="J35:T35">
    <cfRule type="cellIs" dxfId="61" priority="17" operator="equal">
      <formula>0</formula>
    </cfRule>
  </conditionalFormatting>
  <conditionalFormatting sqref="J29:T29">
    <cfRule type="cellIs" dxfId="60" priority="16" operator="equal">
      <formula>0</formula>
    </cfRule>
  </conditionalFormatting>
  <conditionalFormatting sqref="J29:T29">
    <cfRule type="cellIs" dxfId="59" priority="15" operator="equal">
      <formula>0</formula>
    </cfRule>
  </conditionalFormatting>
  <conditionalFormatting sqref="J19:T24">
    <cfRule type="cellIs" dxfId="58" priority="14" operator="equal">
      <formula>0</formula>
    </cfRule>
  </conditionalFormatting>
  <conditionalFormatting sqref="J20:T20">
    <cfRule type="cellIs" dxfId="57" priority="13" operator="equal">
      <formula>0</formula>
    </cfRule>
  </conditionalFormatting>
  <conditionalFormatting sqref="J21:T21">
    <cfRule type="cellIs" dxfId="56" priority="12" operator="equal">
      <formula>0</formula>
    </cfRule>
  </conditionalFormatting>
  <conditionalFormatting sqref="J22:T22">
    <cfRule type="cellIs" dxfId="55" priority="11" operator="equal">
      <formula>0</formula>
    </cfRule>
  </conditionalFormatting>
  <conditionalFormatting sqref="J23:T23">
    <cfRule type="cellIs" dxfId="54" priority="10" operator="equal">
      <formula>0</formula>
    </cfRule>
  </conditionalFormatting>
  <conditionalFormatting sqref="J24:T24">
    <cfRule type="cellIs" dxfId="53" priority="9" operator="equal">
      <formula>0</formula>
    </cfRule>
  </conditionalFormatting>
  <conditionalFormatting sqref="J70:T70">
    <cfRule type="expression" dxfId="52" priority="112">
      <formula>J$58=J$4</formula>
    </cfRule>
    <cfRule type="cellIs" dxfId="51" priority="113" operator="equal">
      <formula>0</formula>
    </cfRule>
  </conditionalFormatting>
  <conditionalFormatting sqref="J99:T99">
    <cfRule type="expression" dxfId="50" priority="114">
      <formula>J$91=J$4</formula>
    </cfRule>
    <cfRule type="cellIs" dxfId="49" priority="115" operator="equal">
      <formula>0</formula>
    </cfRule>
  </conditionalFormatting>
  <conditionalFormatting sqref="J87:T87">
    <cfRule type="expression" dxfId="48" priority="116">
      <formula>J$75=J$4</formula>
    </cfRule>
    <cfRule type="cellIs" dxfId="47" priority="117" operator="equal">
      <formula>0</formula>
    </cfRule>
  </conditionalFormatting>
  <conditionalFormatting sqref="J58:T58 J75:T75 J91:T91">
    <cfRule type="expression" dxfId="46" priority="118">
      <formula>J$58=J$4</formula>
    </cfRule>
  </conditionalFormatting>
  <conditionalFormatting sqref="J103:T103">
    <cfRule type="expression" dxfId="45" priority="121">
      <formula>J$103=J$4</formula>
    </cfRule>
  </conditionalFormatting>
  <conditionalFormatting sqref="J41:T41">
    <cfRule type="cellIs" dxfId="44" priority="8" operator="equal">
      <formula>0</formula>
    </cfRule>
  </conditionalFormatting>
  <conditionalFormatting sqref="J41:T41">
    <cfRule type="cellIs" dxfId="43" priority="7" operator="equal">
      <formula>0</formula>
    </cfRule>
  </conditionalFormatting>
  <conditionalFormatting sqref="J44:T44">
    <cfRule type="cellIs" dxfId="42" priority="6" operator="equal">
      <formula>0</formula>
    </cfRule>
  </conditionalFormatting>
  <conditionalFormatting sqref="J44:T44">
    <cfRule type="cellIs" dxfId="41" priority="5" operator="equal">
      <formula>0</formula>
    </cfRule>
  </conditionalFormatting>
  <conditionalFormatting sqref="J47:T47">
    <cfRule type="cellIs" dxfId="40" priority="4" operator="equal">
      <formula>0</formula>
    </cfRule>
  </conditionalFormatting>
  <conditionalFormatting sqref="J47:T47">
    <cfRule type="cellIs" dxfId="39" priority="3" operator="equal">
      <formula>0</formula>
    </cfRule>
  </conditionalFormatting>
  <conditionalFormatting sqref="J50:T50">
    <cfRule type="cellIs" dxfId="38" priority="2" operator="equal">
      <formula>0</formula>
    </cfRule>
  </conditionalFormatting>
  <conditionalFormatting sqref="J50:T50">
    <cfRule type="cellIs" dxfId="37" priority="1" operator="equal">
      <formula>0</formula>
    </cfRule>
  </conditionalFormatting>
  <dataValidations count="3">
    <dataValidation type="list" allowBlank="1" showInputMessage="1" showErrorMessage="1" sqref="F100 F88 F112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AB2A-0BEA-4539-B781-1EAFEC1D4F51}">
  <sheetPr codeName="Sheet4">
    <tabColor rgb="FFFFFF99"/>
  </sheetPr>
  <dimension ref="A1:Y15"/>
  <sheetViews>
    <sheetView showGridLines="0" workbookViewId="0">
      <selection activeCell="U11" sqref="U11"/>
    </sheetView>
  </sheetViews>
  <sheetFormatPr defaultColWidth="0" defaultRowHeight="10.15" customHeight="1" zeroHeight="1"/>
  <cols>
    <col min="1" max="25" width="9.33203125" customWidth="1"/>
    <col min="26" max="16384" width="9.33203125" hidden="1"/>
  </cols>
  <sheetData>
    <row r="1" spans="1:25" ht="16.5" thickBot="1">
      <c r="A1" s="27"/>
      <c r="B1" s="25" t="s">
        <v>238</v>
      </c>
      <c r="C1" s="25"/>
      <c r="D1" s="25"/>
      <c r="E1" s="25"/>
      <c r="F1" s="26"/>
      <c r="G1" s="26"/>
      <c r="H1" s="26"/>
      <c r="I1" s="26"/>
      <c r="J1" s="215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31"/>
      <c r="R1" s="31"/>
      <c r="S1" s="31"/>
      <c r="T1" s="31"/>
      <c r="U1" s="31"/>
      <c r="V1" s="31"/>
      <c r="W1" s="31"/>
      <c r="X1" s="6"/>
      <c r="Y1" s="36"/>
    </row>
    <row r="2" spans="1:25" ht="13.5" thickBot="1">
      <c r="A2" s="31"/>
      <c r="B2" s="30" t="s">
        <v>55</v>
      </c>
      <c r="C2" s="30"/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6"/>
      <c r="Y2" s="36"/>
    </row>
    <row r="3" spans="1:25" ht="11.25">
      <c r="A3" s="53"/>
      <c r="B3" s="53"/>
      <c r="C3" s="53"/>
      <c r="D3" s="214"/>
      <c r="E3" s="214"/>
      <c r="F3" s="214"/>
      <c r="G3" s="214"/>
      <c r="H3" s="214"/>
      <c r="I3" s="214"/>
      <c r="J3" s="96" t="s">
        <v>108</v>
      </c>
      <c r="K3" s="100"/>
      <c r="L3" s="100"/>
      <c r="M3" s="214"/>
      <c r="N3" s="225"/>
      <c r="O3" s="225"/>
      <c r="P3" s="225"/>
      <c r="Q3" s="225"/>
      <c r="R3" s="225"/>
      <c r="S3" s="225"/>
      <c r="T3" s="54"/>
      <c r="U3" s="54"/>
      <c r="V3" s="54"/>
      <c r="W3" s="54"/>
      <c r="X3" s="6"/>
      <c r="Y3" s="36"/>
    </row>
    <row r="4" spans="1:25" ht="11.25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v>43983</v>
      </c>
      <c r="K4" s="94">
        <v>44348</v>
      </c>
      <c r="L4" s="94">
        <v>44713</v>
      </c>
      <c r="M4" s="94">
        <v>45078</v>
      </c>
      <c r="N4" s="94">
        <v>45444</v>
      </c>
      <c r="O4" s="94">
        <v>45809</v>
      </c>
      <c r="P4" s="94">
        <v>46174</v>
      </c>
      <c r="Q4" s="94">
        <v>46539</v>
      </c>
      <c r="R4" s="94">
        <v>46905</v>
      </c>
      <c r="S4" s="94">
        <v>47270</v>
      </c>
      <c r="T4" s="59"/>
      <c r="U4" s="59"/>
      <c r="V4" s="216"/>
      <c r="W4" s="216"/>
      <c r="X4" s="6"/>
      <c r="Y4" s="36"/>
    </row>
    <row r="5" spans="1:25" ht="11.25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36"/>
    </row>
    <row r="6" spans="1:25" ht="12.75">
      <c r="A6" s="32"/>
      <c r="B6" s="38" t="s">
        <v>239</v>
      </c>
      <c r="C6" s="32"/>
      <c r="D6" s="32"/>
      <c r="E6" s="32"/>
      <c r="F6" s="33"/>
      <c r="G6" s="33"/>
      <c r="H6" s="33"/>
      <c r="I6" s="33"/>
      <c r="J6" s="33"/>
      <c r="K6" s="33"/>
      <c r="L6" s="34"/>
      <c r="M6" s="217"/>
      <c r="N6" s="34"/>
      <c r="O6" s="217"/>
      <c r="P6" s="34"/>
      <c r="Q6" s="34"/>
      <c r="R6" s="34"/>
      <c r="S6" s="34"/>
      <c r="T6" s="34"/>
      <c r="U6" s="34"/>
      <c r="V6" s="34"/>
      <c r="W6" s="217"/>
      <c r="X6" s="217"/>
      <c r="Y6" s="36"/>
    </row>
    <row r="7" spans="1:25" ht="11.25">
      <c r="A7" s="36"/>
      <c r="B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1.25">
      <c r="A8" s="36"/>
      <c r="B8" s="36"/>
      <c r="C8" s="9" t="s">
        <v>240</v>
      </c>
      <c r="D8" s="20" t="s">
        <v>7</v>
      </c>
      <c r="E8" s="20" t="s">
        <v>8</v>
      </c>
      <c r="F8" s="20" t="s">
        <v>22</v>
      </c>
      <c r="G8" s="20"/>
      <c r="H8" s="99"/>
      <c r="I8" s="99"/>
      <c r="J8" s="99"/>
      <c r="K8" s="99"/>
      <c r="L8" s="99" t="s">
        <v>241</v>
      </c>
      <c r="M8" s="99" t="s">
        <v>241</v>
      </c>
      <c r="N8" s="99" t="s">
        <v>241</v>
      </c>
      <c r="O8" s="99">
        <f>O4</f>
        <v>45809</v>
      </c>
      <c r="P8" s="99">
        <f t="shared" ref="P8:S8" si="0">P4</f>
        <v>46174</v>
      </c>
      <c r="Q8" s="99">
        <f t="shared" si="0"/>
        <v>46539</v>
      </c>
      <c r="R8" s="99">
        <f t="shared" si="0"/>
        <v>46905</v>
      </c>
      <c r="S8" s="99">
        <f t="shared" si="0"/>
        <v>47270</v>
      </c>
      <c r="T8" s="36"/>
      <c r="U8" s="36"/>
      <c r="V8" s="36"/>
      <c r="W8" s="36"/>
      <c r="X8" s="36"/>
      <c r="Y8" s="36"/>
    </row>
    <row r="9" spans="1:25" ht="11.25">
      <c r="A9" s="36"/>
      <c r="B9" s="36"/>
      <c r="C9" s="8"/>
      <c r="D9" s="16"/>
      <c r="E9" s="16"/>
      <c r="F9" s="16"/>
      <c r="G9" s="20"/>
      <c r="H9" s="16"/>
      <c r="I9" s="16"/>
      <c r="J9" s="16"/>
      <c r="K9" s="16"/>
      <c r="L9" s="8"/>
      <c r="M9" s="8"/>
      <c r="N9" s="8"/>
      <c r="O9" s="8"/>
      <c r="P9" s="8"/>
      <c r="Q9" s="8"/>
      <c r="R9" s="8"/>
      <c r="S9" s="8"/>
      <c r="T9" s="36"/>
      <c r="U9" s="36"/>
      <c r="V9" s="36"/>
      <c r="W9" s="36"/>
      <c r="X9" s="36"/>
      <c r="Y9" s="36"/>
    </row>
    <row r="10" spans="1:25" ht="11.25">
      <c r="A10" s="36"/>
      <c r="B10" s="36"/>
      <c r="C10" s="218" t="s">
        <v>242</v>
      </c>
      <c r="D10" s="16" t="s">
        <v>62</v>
      </c>
      <c r="E10" s="219" t="s">
        <v>31</v>
      </c>
      <c r="F10" s="220"/>
      <c r="G10" s="20"/>
      <c r="H10" s="16"/>
      <c r="I10" s="16"/>
      <c r="J10" s="16"/>
      <c r="K10" s="16"/>
      <c r="L10" s="91"/>
      <c r="M10" s="91"/>
      <c r="N10" s="91"/>
      <c r="O10" s="226">
        <v>0.15773112886756205</v>
      </c>
      <c r="P10" s="226">
        <v>0.15773112886756205</v>
      </c>
      <c r="Q10" s="226">
        <v>0.15773112886756205</v>
      </c>
      <c r="R10" s="226">
        <v>0.15773112886756205</v>
      </c>
      <c r="S10" s="226">
        <v>0.15773112886756205</v>
      </c>
      <c r="T10" s="36"/>
      <c r="U10" s="36"/>
      <c r="V10" s="36"/>
      <c r="W10" s="36"/>
      <c r="X10" s="36"/>
      <c r="Y10" s="36"/>
    </row>
    <row r="11" spans="1:25" ht="11.25">
      <c r="A11" s="36"/>
      <c r="B11" s="36"/>
      <c r="C11" s="218" t="s">
        <v>243</v>
      </c>
      <c r="D11" s="16" t="s">
        <v>62</v>
      </c>
      <c r="E11" s="219" t="s">
        <v>31</v>
      </c>
      <c r="F11" s="220"/>
      <c r="G11" s="20"/>
      <c r="H11" s="16"/>
      <c r="I11" s="16"/>
      <c r="J11" s="16"/>
      <c r="K11" s="16"/>
      <c r="L11" s="91"/>
      <c r="M11" s="91"/>
      <c r="N11" s="91"/>
      <c r="O11" s="226">
        <v>0.84226887113243798</v>
      </c>
      <c r="P11" s="226">
        <v>0.84226887113243798</v>
      </c>
      <c r="Q11" s="226">
        <v>0.84226887113243798</v>
      </c>
      <c r="R11" s="226">
        <v>0.84226887113243798</v>
      </c>
      <c r="S11" s="226">
        <v>0.84226887113243798</v>
      </c>
      <c r="T11" s="36"/>
      <c r="U11" s="36"/>
      <c r="V11" s="36"/>
      <c r="W11" s="36"/>
      <c r="X11" s="36"/>
      <c r="Y11" s="36"/>
    </row>
    <row r="12" spans="1:25" ht="11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1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2.75">
      <c r="A14" s="32"/>
      <c r="B14" s="38" t="s">
        <v>21</v>
      </c>
      <c r="C14" s="32"/>
      <c r="D14" s="32"/>
      <c r="E14" s="32"/>
      <c r="F14" s="33"/>
      <c r="G14" s="33"/>
      <c r="H14" s="33"/>
      <c r="I14" s="33"/>
      <c r="J14" s="33"/>
      <c r="K14" s="33"/>
      <c r="L14" s="34"/>
      <c r="M14" s="217"/>
      <c r="N14" s="34"/>
      <c r="O14" s="217"/>
      <c r="P14" s="34"/>
      <c r="Q14" s="34"/>
      <c r="R14" s="34"/>
      <c r="S14" s="34"/>
      <c r="T14" s="34"/>
      <c r="U14" s="34"/>
      <c r="V14" s="34"/>
      <c r="W14" s="217"/>
      <c r="X14" s="217"/>
      <c r="Y14" s="36"/>
    </row>
    <row r="15" spans="1:25" ht="11.25" hidden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</sheetData>
  <mergeCells count="1">
    <mergeCell ref="N3:S3"/>
  </mergeCells>
  <conditionalFormatting sqref="L8:N8">
    <cfRule type="expression" dxfId="36" priority="4">
      <formula>L$8=L$4</formula>
    </cfRule>
  </conditionalFormatting>
  <conditionalFormatting sqref="L10:N11">
    <cfRule type="expression" dxfId="35" priority="5">
      <formula>L$8=L$4</formula>
    </cfRule>
  </conditionalFormatting>
  <conditionalFormatting sqref="O8:S8">
    <cfRule type="expression" dxfId="34" priority="6">
      <formula>O$8=Q$4</formula>
    </cfRule>
  </conditionalFormatting>
  <conditionalFormatting sqref="O11:S11 P10:S10">
    <cfRule type="expression" dxfId="33" priority="2">
      <formula>O$10=O$4</formula>
    </cfRule>
  </conditionalFormatting>
  <conditionalFormatting sqref="O10">
    <cfRule type="expression" dxfId="32" priority="1">
      <formula>O$10=O$4</formula>
    </cfRule>
  </conditionalFormatting>
  <hyperlinks>
    <hyperlink ref="J1" location="Index!A1" display="Back to Index" xr:uid="{EFAF51A7-61F4-4B67-B1B0-8717D91176C8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35"/>
  <sheetViews>
    <sheetView showGridLines="0" workbookViewId="0">
      <selection activeCell="C11" sqref="C1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76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108</v>
      </c>
      <c r="K3" s="100"/>
      <c r="L3" s="100"/>
      <c r="M3" s="105"/>
      <c r="N3" s="225"/>
      <c r="O3" s="225"/>
      <c r="P3" s="225"/>
      <c r="Q3" s="225"/>
      <c r="R3" s="225"/>
      <c r="S3" s="225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51</v>
      </c>
      <c r="C8" s="32"/>
      <c r="D8" s="32"/>
      <c r="E8" s="51" t="s">
        <v>15</v>
      </c>
      <c r="F8" s="111">
        <f>DATE(PPLastYear,MONTH('Input|General'!$G$9),1)</f>
        <v>45444</v>
      </c>
      <c r="G8" s="33"/>
      <c r="H8" s="33"/>
      <c r="I8" s="33"/>
      <c r="J8" s="40" t="s">
        <v>52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249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45809</v>
      </c>
      <c r="P11" s="99">
        <f>IF(YEAR(P$4)&gt;='Input|General'!$G$13,IF(YEAR(P$4)&lt;='Input|General'!$G$14,P$4,""),"")</f>
        <v>46174</v>
      </c>
      <c r="Q11" s="99">
        <f>IF(YEAR(Q$4)&gt;='Input|General'!$G$13,IF(YEAR(Q$4)&lt;='Input|General'!$G$14,Q$4,""),"")</f>
        <v>46539</v>
      </c>
      <c r="R11" s="99">
        <f>IF(YEAR(R$4)&gt;='Input|General'!$G$13,IF(YEAR(R$4)&lt;='Input|General'!$G$14,R$4,""),"")</f>
        <v>46905</v>
      </c>
      <c r="S11" s="99">
        <f>IF(YEAR(S$4)&gt;='Input|General'!$G$13,IF(YEAR(S$4)&lt;='Input|General'!$G$14,S$4,""),"")</f>
        <v>47270</v>
      </c>
      <c r="T11" s="99" t="str">
        <f>IF(YEAR(T$4)&gt;='Input|General'!$G$13,IF(YEAR(T$4)&lt;='Input|General'!$G$14,T$4,""),"")</f>
        <v/>
      </c>
      <c r="V11" s="86" t="s">
        <v>50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97</v>
      </c>
      <c r="E13" s="16" t="str">
        <f>$E$8</f>
        <v>$millions</v>
      </c>
      <c r="F13" s="98">
        <f>$F$8</f>
        <v>45444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forecast'!O107)</f>
        <v>59.470279683587087</v>
      </c>
      <c r="P13" s="104">
        <f ca="1">IF(P11="",0,'Calc|Opex forecast'!P107)</f>
        <v>60.025390933814833</v>
      </c>
      <c r="Q13" s="104">
        <f ca="1">IF(Q11="",0,'Calc|Opex forecast'!Q107)</f>
        <v>60.107889573029674</v>
      </c>
      <c r="R13" s="104">
        <f ca="1">IF(R11="",0,'Calc|Opex forecast'!R107)</f>
        <v>60.483001644929629</v>
      </c>
      <c r="S13" s="104">
        <f ca="1">IF(S11="",0,'Calc|Opex forecast'!S107)</f>
        <v>61.041674643248413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97</v>
      </c>
      <c r="E14" s="16" t="str">
        <f t="shared" ref="E14:E18" si="0">$E$8</f>
        <v>$millions</v>
      </c>
      <c r="F14" s="98">
        <f t="shared" ref="F14:F18" si="1">$F$8</f>
        <v>45444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97</v>
      </c>
      <c r="E15" s="16" t="str">
        <f t="shared" si="0"/>
        <v>$millions</v>
      </c>
      <c r="F15" s="98">
        <f t="shared" si="1"/>
        <v>45444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97</v>
      </c>
      <c r="E16" s="16" t="str">
        <f t="shared" si="0"/>
        <v>$millions</v>
      </c>
      <c r="F16" s="98">
        <f t="shared" si="1"/>
        <v>45444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97</v>
      </c>
      <c r="E17" s="16" t="str">
        <f t="shared" si="0"/>
        <v>$millions</v>
      </c>
      <c r="F17" s="98">
        <f t="shared" si="1"/>
        <v>45444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97</v>
      </c>
      <c r="E18" s="16" t="str">
        <f t="shared" si="0"/>
        <v>$millions</v>
      </c>
      <c r="F18" s="98">
        <f t="shared" si="1"/>
        <v>45444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C19" s="15"/>
      <c r="D19" s="24"/>
      <c r="F19" s="98"/>
      <c r="H19" s="20"/>
      <c r="I19" s="20"/>
      <c r="J19" s="104"/>
      <c r="K19" s="104"/>
      <c r="L19" s="104"/>
      <c r="M19" s="104"/>
      <c r="N19" s="104"/>
      <c r="O19" s="223"/>
      <c r="P19" s="104"/>
      <c r="Q19" s="104"/>
      <c r="R19" s="104"/>
      <c r="S19" s="104"/>
      <c r="T19" s="104"/>
      <c r="U19" s="15"/>
      <c r="V19" s="112"/>
    </row>
    <row r="20" spans="1:24">
      <c r="C20" s="9" t="s">
        <v>250</v>
      </c>
      <c r="D20" s="20" t="s">
        <v>7</v>
      </c>
      <c r="E20" s="20" t="s">
        <v>8</v>
      </c>
      <c r="F20" s="20" t="s">
        <v>22</v>
      </c>
      <c r="H20" s="20"/>
      <c r="I20" s="20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5"/>
      <c r="V20" s="112"/>
    </row>
    <row r="21" spans="1:24">
      <c r="C21" s="9"/>
      <c r="D21" s="20"/>
      <c r="E21" s="20"/>
      <c r="F21" s="20"/>
      <c r="H21" s="20"/>
      <c r="I21" s="20"/>
      <c r="J21" s="104"/>
      <c r="K21" s="104"/>
      <c r="L21" s="104"/>
      <c r="M21" s="104"/>
      <c r="N21" s="224"/>
      <c r="O21" s="104"/>
      <c r="P21" s="104"/>
      <c r="Q21" s="104"/>
      <c r="R21" s="104"/>
      <c r="S21" s="104"/>
      <c r="T21" s="104"/>
      <c r="U21" s="15"/>
      <c r="V21" s="112"/>
    </row>
    <row r="22" spans="1:24">
      <c r="C22" s="15" t="str">
        <f>'Calc|Opex forecast'!C105</f>
        <v>Total forecast opex, excluding category specific forecasts</v>
      </c>
      <c r="D22" s="24" t="s">
        <v>97</v>
      </c>
      <c r="E22" s="16" t="str">
        <f>$E$8</f>
        <v>$millions</v>
      </c>
      <c r="F22" s="98">
        <f>$F$8</f>
        <v>45444</v>
      </c>
      <c r="H22" s="20"/>
      <c r="I22" s="20"/>
      <c r="J22" s="104"/>
      <c r="K22" s="104"/>
      <c r="L22" s="104"/>
      <c r="M22" s="104"/>
      <c r="N22" s="104"/>
      <c r="O22" s="104">
        <f ca="1">IF(O11="",0,'Calc|Opex forecast'!O108)</f>
        <v>11.13695955063603</v>
      </c>
      <c r="P22" s="104">
        <f ca="1">IF(P11="",0,'Calc|Opex forecast'!P108)</f>
        <v>11.240914863655947</v>
      </c>
      <c r="Q22" s="104">
        <f ca="1">IF(Q11="",0,'Calc|Opex forecast'!Q108)</f>
        <v>11.256364328713227</v>
      </c>
      <c r="R22" s="104">
        <f ca="1">IF(R11="",0,'Calc|Opex forecast'!R108)</f>
        <v>11.326611315845827</v>
      </c>
      <c r="S22" s="104">
        <f ca="1">IF(S11="",0,'Calc|Opex forecast'!S108)</f>
        <v>11.431233635051532</v>
      </c>
      <c r="T22" s="104"/>
      <c r="U22" s="15"/>
      <c r="V22" s="112"/>
    </row>
    <row r="23" spans="1:24">
      <c r="C23" s="15">
        <f>'Input|Step changes'!C37</f>
        <v>0</v>
      </c>
      <c r="D23" s="24" t="s">
        <v>97</v>
      </c>
      <c r="E23" s="16" t="str">
        <f t="shared" ref="E23:E27" si="2">$E$8</f>
        <v>$millions</v>
      </c>
      <c r="F23" s="98">
        <f t="shared" ref="F23:F27" si="3">$F$8</f>
        <v>45444</v>
      </c>
      <c r="H23" s="20"/>
      <c r="I23" s="20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5"/>
      <c r="V23" s="112"/>
    </row>
    <row r="24" spans="1:24">
      <c r="C24" s="15" t="str">
        <f>'Input|Step changes'!C38</f>
        <v>Debt Raising Costs</v>
      </c>
      <c r="D24" s="24" t="s">
        <v>97</v>
      </c>
      <c r="E24" s="16" t="str">
        <f t="shared" si="2"/>
        <v>$millions</v>
      </c>
      <c r="F24" s="98">
        <f t="shared" si="3"/>
        <v>45444</v>
      </c>
      <c r="H24" s="20"/>
      <c r="I24" s="20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5"/>
      <c r="V24" s="112"/>
    </row>
    <row r="25" spans="1:24">
      <c r="C25" s="15">
        <f>'Input|Step changes'!C39</f>
        <v>0</v>
      </c>
      <c r="D25" s="24" t="s">
        <v>97</v>
      </c>
      <c r="E25" s="16" t="str">
        <f t="shared" si="2"/>
        <v>$millions</v>
      </c>
      <c r="F25" s="98">
        <f t="shared" si="3"/>
        <v>45444</v>
      </c>
      <c r="H25" s="20"/>
      <c r="I25" s="20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5"/>
      <c r="V25" s="112"/>
    </row>
    <row r="26" spans="1:24">
      <c r="C26" s="15" t="str">
        <f>'Input|Step changes'!C40</f>
        <v>Debt raising costs</v>
      </c>
      <c r="D26" s="24" t="s">
        <v>97</v>
      </c>
      <c r="E26" s="16" t="str">
        <f t="shared" si="2"/>
        <v>$millions</v>
      </c>
      <c r="F26" s="98">
        <f t="shared" si="3"/>
        <v>45444</v>
      </c>
      <c r="H26" s="20"/>
      <c r="I26" s="20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5"/>
      <c r="V26" s="112"/>
    </row>
    <row r="27" spans="1:24">
      <c r="C27" s="15">
        <f>'Input|Step changes'!C41</f>
        <v>0</v>
      </c>
      <c r="D27" s="24" t="s">
        <v>97</v>
      </c>
      <c r="E27" s="16" t="str">
        <f t="shared" si="2"/>
        <v>$millions</v>
      </c>
      <c r="F27" s="98">
        <f t="shared" si="3"/>
        <v>45444</v>
      </c>
      <c r="H27" s="20"/>
      <c r="I27" s="20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5"/>
      <c r="V27" s="112"/>
    </row>
    <row r="28" spans="1:24">
      <c r="D28" s="24"/>
      <c r="H28" s="20"/>
      <c r="I28" s="20"/>
      <c r="S28" s="22"/>
      <c r="T28" s="22"/>
    </row>
    <row r="29" spans="1:24" customFormat="1" ht="12.75">
      <c r="A29" s="32"/>
      <c r="B29" s="38" t="s">
        <v>21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35"/>
    </row>
    <row r="35" spans="13:20" hidden="1">
      <c r="M35" s="89"/>
      <c r="N35" s="89"/>
      <c r="O35" s="89"/>
      <c r="P35" s="89"/>
      <c r="Q35" s="89"/>
      <c r="R35" s="89"/>
      <c r="S35" s="89"/>
      <c r="T35" s="89"/>
    </row>
  </sheetData>
  <sheetProtection selectLockedCells="1"/>
  <mergeCells count="1">
    <mergeCell ref="N3:S3"/>
  </mergeCells>
  <conditionalFormatting sqref="W1">
    <cfRule type="cellIs" dxfId="31" priority="13" operator="equal">
      <formula>"Check"</formula>
    </cfRule>
    <cfRule type="cellIs" dxfId="30" priority="14" operator="equal">
      <formula>"Ok"</formula>
    </cfRule>
  </conditionalFormatting>
  <conditionalFormatting sqref="J19:N21 T19:T21 J13:T18 J22:T27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J11:T11">
    <cfRule type="expression" dxfId="26" priority="7">
      <formula>J$11=J$4</formula>
    </cfRule>
  </conditionalFormatting>
  <conditionalFormatting sqref="S1:T1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3">
    <dataValidation type="list" allowBlank="1" showInputMessage="1" showErrorMessage="1" sqref="F13:F19 F22:F27" xr:uid="{00000000-0002-0000-0800-000000000000}">
      <formula1>$G$31:$G$37</formula1>
    </dataValidation>
    <dataValidation type="list" allowBlank="1" showInputMessage="1" showErrorMessage="1" sqref="F28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  <hyperlink ref="D22" location="'Calc|Opex forecast'!A1" display="Calc | Opex forecast" xr:uid="{6B8162E9-B50D-429C-AA7A-2BA844BB6A6A}"/>
    <hyperlink ref="D23" location="'Calc|Opex forecast'!A1" display="Calc | Opex forecast" xr:uid="{2EC70434-909C-4DC5-AEE3-5C9DD0092D0B}"/>
    <hyperlink ref="D24" location="'Calc|Opex forecast'!A1" display="Calc | Opex forecast" xr:uid="{7C40BDB7-3429-49E3-9C89-C539E3A1B312}"/>
    <hyperlink ref="D26" location="'Calc|Opex forecast'!A1" display="Calc | Opex forecast" xr:uid="{00242CC3-FF41-460C-958D-B802400B1701}"/>
    <hyperlink ref="D25" location="'Calc|Opex forecast'!A1" display="Calc | Opex forecast" xr:uid="{E0197102-63EB-4D21-867D-89C319820C82}"/>
    <hyperlink ref="D27" location="'Calc|Opex forecast'!A1" display="Calc | Opex forecast" xr:uid="{A9341AEE-4F85-461D-B36C-4CC3B3F0F142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B7" sqref="B7"/>
    </sheetView>
  </sheetViews>
  <sheetFormatPr defaultColWidth="0" defaultRowHeight="11.25" customHeight="1" zeroHeight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.5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5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76</v>
      </c>
      <c r="V1" s="29" t="s">
        <v>36</v>
      </c>
      <c r="W1" s="27"/>
      <c r="X1" s="206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2.75">
      <c r="A2" s="27"/>
      <c r="B2" s="41" t="s">
        <v>209</v>
      </c>
      <c r="C2" s="41"/>
      <c r="D2" s="41"/>
      <c r="E2" s="41"/>
      <c r="F2" s="118"/>
      <c r="G2" s="118"/>
      <c r="H2" s="118"/>
      <c r="I2" s="100" t="s">
        <v>108</v>
      </c>
      <c r="J2" s="100"/>
      <c r="K2" s="100"/>
      <c r="L2" s="118"/>
      <c r="M2" s="225"/>
      <c r="N2" s="225"/>
      <c r="O2" s="225"/>
      <c r="P2" s="225"/>
      <c r="Q2" s="225"/>
      <c r="R2" s="225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2.75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43983</v>
      </c>
      <c r="J3" s="94">
        <f>DATE(PPFirstYear+1,MONTH('Input|General'!$G$9),1)</f>
        <v>44348</v>
      </c>
      <c r="K3" s="94">
        <f>DATE(PPFirstYear+2,MONTH('Input|General'!$G$9),1)</f>
        <v>44713</v>
      </c>
      <c r="L3" s="94">
        <f>DATE(PPFirstYear+3,MONTH('Input|General'!$G$9),1)</f>
        <v>45078</v>
      </c>
      <c r="M3" s="94">
        <f>DATE(PPFirstYear+4,MONTH('Input|General'!$G$9),1)</f>
        <v>45444</v>
      </c>
      <c r="N3" s="94">
        <f>DATE(PPFirstYear+5,MONTH('Input|General'!$G$9),1)</f>
        <v>45809</v>
      </c>
      <c r="O3" s="94">
        <f>DATE(PPFirstYear+6,MONTH('Input|General'!$G$9),1)</f>
        <v>46174</v>
      </c>
      <c r="P3" s="94">
        <f>DATE(PPFirstYear+7,MONTH('Input|General'!$G$9),1)</f>
        <v>46539</v>
      </c>
      <c r="Q3" s="94">
        <f>DATE(PPFirstYear+8,MONTH('Input|General'!$G$9),1)</f>
        <v>46905</v>
      </c>
      <c r="R3" s="94">
        <f>DATE(PPFirstYear+9,MONTH('Input|General'!$G$9),1)</f>
        <v>47270</v>
      </c>
      <c r="S3" s="94">
        <f>DATE(PPFirstYear+10,MONTH('Input|General'!$G$9),1)</f>
        <v>47635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2"/>
      <c r="B7" s="38" t="s">
        <v>195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5">
      <c r="A8" s="189"/>
      <c r="B8" s="189"/>
      <c r="C8" s="189"/>
      <c r="D8" s="189"/>
      <c r="E8" s="189"/>
      <c r="F8" s="16"/>
      <c r="G8" s="16"/>
      <c r="H8" s="16"/>
      <c r="I8" s="190"/>
      <c r="J8" s="189"/>
      <c r="K8" s="189"/>
      <c r="L8" s="189"/>
      <c r="M8" s="189"/>
      <c r="N8" s="190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5">
      <c r="A9" s="189"/>
      <c r="B9" s="189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45809</v>
      </c>
      <c r="O9" s="99">
        <f>'Calc|Opex forecast'!P103</f>
        <v>46174</v>
      </c>
      <c r="P9" s="99">
        <f>'Calc|Opex forecast'!Q103</f>
        <v>46539</v>
      </c>
      <c r="Q9" s="99">
        <f>'Calc|Opex forecast'!R103</f>
        <v>46905</v>
      </c>
      <c r="R9" s="99">
        <f>'Calc|Opex forecast'!S103</f>
        <v>47270</v>
      </c>
      <c r="S9" s="99" t="str">
        <f>'Calc|Opex forecast'!T103</f>
        <v/>
      </c>
      <c r="T9" s="191"/>
      <c r="U9" s="99" t="s">
        <v>196</v>
      </c>
      <c r="V9" s="189"/>
      <c r="W9" s="189"/>
      <c r="X9" s="192" t="s">
        <v>197</v>
      </c>
      <c r="Y9" s="192" t="s">
        <v>198</v>
      </c>
      <c r="Z9" s="192" t="s">
        <v>199</v>
      </c>
      <c r="AA9" s="192" t="s">
        <v>200</v>
      </c>
      <c r="AB9" s="191"/>
      <c r="AC9" s="191"/>
      <c r="AD9" s="191"/>
      <c r="AE9" s="189"/>
      <c r="AF9" s="189"/>
      <c r="AG9" s="189"/>
      <c r="AH9" s="189"/>
      <c r="AI9" s="189"/>
      <c r="AJ9" s="189"/>
      <c r="AK9" s="189"/>
      <c r="AL9" s="189"/>
      <c r="AM9" s="189"/>
    </row>
    <row r="10" spans="1:39" ht="15">
      <c r="A10" s="189"/>
      <c r="B10" s="189"/>
      <c r="C10" s="16"/>
      <c r="D10" s="16"/>
      <c r="E10" s="16"/>
      <c r="F10" s="16"/>
      <c r="G10" s="16"/>
      <c r="H10" s="16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</row>
    <row r="11" spans="1:39" ht="15">
      <c r="A11" s="189"/>
      <c r="B11" s="15" t="str">
        <f>"Based on reported opex in "&amp;IF(MONTH('Input|General'!$G$9)=12,BaseYear,BaseYear-1&amp;"–"&amp;RIGHT(BaseYear,2))</f>
        <v>Based on reported opex in 2022–23</v>
      </c>
      <c r="C11" s="65" t="s">
        <v>201</v>
      </c>
      <c r="D11" s="16" t="str">
        <f>'Calc|Opex forecast'!$E$8</f>
        <v>$millions</v>
      </c>
      <c r="E11" s="98">
        <f>'Calc|Opex forecast'!$F$8</f>
        <v>45444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62.092137484874428</v>
      </c>
      <c r="O11" s="66">
        <f ca="1">IF('Calc|Opex forecast'!P103='Calc|Opex forecast'!P4,SUM('Calc|Opex forecast'!$J$26:$S$26),"")</f>
        <v>62.092137484874428</v>
      </c>
      <c r="P11" s="66">
        <f ca="1">IF('Calc|Opex forecast'!Q103='Calc|Opex forecast'!Q4,SUM('Calc|Opex forecast'!$J$26:$S$26),"")</f>
        <v>62.092137484874428</v>
      </c>
      <c r="Q11" s="66">
        <f ca="1">IF('Calc|Opex forecast'!R103='Calc|Opex forecast'!R4,SUM('Calc|Opex forecast'!$J$26:$S$26),"")</f>
        <v>62.092137484874428</v>
      </c>
      <c r="R11" s="66">
        <f ca="1">IF('Calc|Opex forecast'!S103='Calc|Opex forecast'!S4,SUM('Calc|Opex forecast'!$J$26:$S$26),"")</f>
        <v>62.092137484874428</v>
      </c>
      <c r="S11" s="66" t="str">
        <f>IF('Calc|Opex forecast'!T103='Calc|Opex forecast'!T4,SUM('Calc|Opex forecast'!$J$26:$S$26),"")</f>
        <v/>
      </c>
      <c r="T11" s="66"/>
      <c r="U11" s="70">
        <f ca="1">SUM(I11:S11)</f>
        <v>310.46068742437217</v>
      </c>
      <c r="V11" s="193"/>
      <c r="W11" s="189"/>
      <c r="X11" s="66"/>
      <c r="Y11" s="66">
        <f ca="1">U11</f>
        <v>310.46068742437217</v>
      </c>
      <c r="Z11" s="66"/>
      <c r="AA11" s="66"/>
      <c r="AB11" s="191"/>
      <c r="AC11" s="191"/>
      <c r="AD11" s="191"/>
      <c r="AE11" s="191"/>
      <c r="AF11" s="191"/>
      <c r="AG11" s="189"/>
      <c r="AH11" s="189"/>
      <c r="AI11" s="189"/>
      <c r="AJ11" s="189"/>
      <c r="AK11" s="189"/>
      <c r="AL11" s="189"/>
      <c r="AM11" s="189"/>
    </row>
    <row r="12" spans="1:39" ht="15">
      <c r="A12" s="189"/>
      <c r="B12" s="15" t="s">
        <v>83</v>
      </c>
      <c r="C12" s="65" t="s">
        <v>201</v>
      </c>
      <c r="D12" s="16" t="str">
        <f>'Calc|Opex forecast'!$E$8</f>
        <v>$millions</v>
      </c>
      <c r="E12" s="98">
        <f>'Calc|Opex forecast'!$F$8</f>
        <v>45444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ca="1">SUM(I12:S12)</f>
        <v>0</v>
      </c>
      <c r="V12" s="193">
        <f t="shared" ref="V12:V22" ca="1" si="0">U12/($U$23-U12)</f>
        <v>0</v>
      </c>
      <c r="W12" s="189"/>
      <c r="X12" s="66">
        <f ca="1">SUM($U$11:$U11)-AA12</f>
        <v>310.46068742437217</v>
      </c>
      <c r="Y12" s="66"/>
      <c r="Z12" s="66">
        <f ca="1">IF(U12&gt;0,U12,0)</f>
        <v>0</v>
      </c>
      <c r="AA12" s="66">
        <f ca="1">IF(U12&lt;0,-U12,0)</f>
        <v>0</v>
      </c>
      <c r="AB12" s="191"/>
      <c r="AC12" s="191"/>
      <c r="AD12" s="191"/>
      <c r="AE12" s="191"/>
      <c r="AF12" s="191"/>
      <c r="AG12" s="189"/>
      <c r="AH12" s="189"/>
      <c r="AI12" s="189"/>
      <c r="AJ12" s="189"/>
      <c r="AK12" s="189"/>
      <c r="AL12" s="189"/>
      <c r="AM12" s="189"/>
    </row>
    <row r="13" spans="1:39" ht="15">
      <c r="A13" s="189"/>
      <c r="B13" s="15" t="s">
        <v>202</v>
      </c>
      <c r="C13" s="65" t="s">
        <v>201</v>
      </c>
      <c r="D13" s="16" t="str">
        <f>'Calc|Opex forecast'!$E$8</f>
        <v>$millions</v>
      </c>
      <c r="E13" s="98">
        <f>'Calc|Opex forecast'!$F$8</f>
        <v>45444</v>
      </c>
      <c r="F13" s="16"/>
      <c r="G13" s="16"/>
      <c r="H13" s="16"/>
      <c r="I13" s="66" t="str">
        <f>IF('Calc|Opex forecast'!J103='Calc|Opex forecast'!J4,SUM('Calc|Opex forecast'!$J$29:$S$29),"")</f>
        <v/>
      </c>
      <c r="J13" s="66" t="str">
        <f>IF('Calc|Opex forecast'!K103='Calc|Opex forecast'!K4,SUM('Calc|Opex forecast'!$J$29:$S$29),"")</f>
        <v/>
      </c>
      <c r="K13" s="66" t="str">
        <f>IF('Calc|Opex forecast'!L103='Calc|Opex forecast'!L4,SUM('Calc|Opex forecast'!$J$29:$S$29),"")</f>
        <v/>
      </c>
      <c r="L13" s="66" t="str">
        <f>IF('Calc|Opex forecast'!M103='Calc|Opex forecast'!M4,SUM('Calc|Opex forecast'!$J$29:$S$29),"")</f>
        <v/>
      </c>
      <c r="M13" s="66" t="str">
        <f>IF('Calc|Opex forecast'!N103='Calc|Opex forecast'!N4,SUM('Calc|Opex forecast'!$J$29:$S$29),"")</f>
        <v/>
      </c>
      <c r="N13" s="66">
        <f>IF('Calc|Opex forecast'!O103='Calc|Opex forecast'!O4,SUM('Calc|Opex forecast'!$J$29:$S$29),"")</f>
        <v>0</v>
      </c>
      <c r="O13" s="66">
        <f>IF('Calc|Opex forecast'!P103='Calc|Opex forecast'!P4,SUM('Calc|Opex forecast'!$J$29:$S$29),"")</f>
        <v>0</v>
      </c>
      <c r="P13" s="66">
        <f>IF('Calc|Opex forecast'!Q103='Calc|Opex forecast'!Q4,SUM('Calc|Opex forecast'!$J$29:$S$29),"")</f>
        <v>0</v>
      </c>
      <c r="Q13" s="66">
        <f>IF('Calc|Opex forecast'!R103='Calc|Opex forecast'!R4,SUM('Calc|Opex forecast'!$J$29:$S$29),"")</f>
        <v>0</v>
      </c>
      <c r="R13" s="66">
        <f>IF('Calc|Opex forecast'!S103='Calc|Opex forecast'!S4,SUM('Calc|Opex forecast'!$J$29:$S$29),"")</f>
        <v>0</v>
      </c>
      <c r="S13" s="66" t="str">
        <f>IF('Calc|Opex forecast'!T103='Calc|Opex forecast'!T4,SUM('Calc|Opex forecast'!$J$29:$S$29),"")</f>
        <v/>
      </c>
      <c r="T13" s="66"/>
      <c r="U13" s="70">
        <f>SUM(I13:S13)</f>
        <v>0</v>
      </c>
      <c r="V13" s="193">
        <f t="shared" ca="1" si="0"/>
        <v>0</v>
      </c>
      <c r="W13" s="189"/>
      <c r="X13" s="66">
        <f ca="1">SUM($U$11:$U12)-AA13</f>
        <v>310.46068742437217</v>
      </c>
      <c r="Y13" s="66"/>
      <c r="Z13" s="66">
        <f t="shared" ref="Z13:Z22" si="1">IF(U13&gt;0,U13,0)</f>
        <v>0</v>
      </c>
      <c r="AA13" s="66">
        <f t="shared" ref="AA13:AA22" si="2">IF(U13&lt;0,-U13,0)</f>
        <v>0</v>
      </c>
      <c r="AB13" s="191"/>
      <c r="AC13" s="191"/>
      <c r="AD13" s="191"/>
      <c r="AE13" s="191"/>
      <c r="AF13" s="191"/>
      <c r="AG13" s="189"/>
      <c r="AH13" s="189"/>
      <c r="AI13" s="189"/>
      <c r="AJ13" s="189"/>
      <c r="AK13" s="189"/>
      <c r="AL13" s="189"/>
      <c r="AM13" s="189"/>
    </row>
    <row r="14" spans="1:39" ht="15">
      <c r="A14" s="189"/>
      <c r="B14" s="15" t="s">
        <v>203</v>
      </c>
      <c r="C14" s="65" t="s">
        <v>201</v>
      </c>
      <c r="D14" s="16" t="str">
        <f>'Calc|Opex forecast'!$E$8</f>
        <v>$millions</v>
      </c>
      <c r="E14" s="98">
        <f>'Calc|Opex forecast'!$F$8</f>
        <v>45444</v>
      </c>
      <c r="F14" s="16"/>
      <c r="G14" s="16"/>
      <c r="H14" s="16"/>
      <c r="I14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forecast'!O103='Calc|Opex forecast'!O4,SUM('Calc|Opex forecast'!$J$38:$S$38,'Calc|Opex forecast'!$J$41:$S$41,'Calc|Opex forecast'!$J$44:$S$44,'Calc|Opex forecast'!$J$47:$S$47,'Calc|Opex forecast'!$J$50:$S$50),"")</f>
        <v>0</v>
      </c>
      <c r="O14" s="66">
        <f>IF('Calc|Opex forecast'!P103='Calc|Opex forecast'!P4,SUM('Calc|Opex forecast'!$J$38:$S$38,'Calc|Opex forecast'!$J$41:$S$41,'Calc|Opex forecast'!$J$44:$S$44,'Calc|Opex forecast'!$J$47:$S$47,'Calc|Opex forecast'!$J$50:$S$50),"")</f>
        <v>0</v>
      </c>
      <c r="P14" s="66">
        <f>IF('Calc|Opex forecast'!Q103='Calc|Opex forecast'!Q4,SUM('Calc|Opex forecast'!$J$38:$S$38,'Calc|Opex forecast'!$J$41:$S$41,'Calc|Opex forecast'!$J$44:$S$44,'Calc|Opex forecast'!$J$47:$S$47,'Calc|Opex forecast'!$J$50:$S$50),"")</f>
        <v>0</v>
      </c>
      <c r="Q14" s="66">
        <f>IF('Calc|Opex forecast'!R103='Calc|Opex forecast'!R4,SUM('Calc|Opex forecast'!$J$38:$S$38,'Calc|Opex forecast'!$J$41:$S$41,'Calc|Opex forecast'!$J$44:$S$44,'Calc|Opex forecast'!$J$47:$S$47,'Calc|Opex forecast'!$J$50:$S$50),"")</f>
        <v>0</v>
      </c>
      <c r="R14" s="66">
        <f>IF('Calc|Opex forecast'!S103='Calc|Opex forecast'!S4,SUM('Calc|Opex forecast'!$J$38:$S$38,'Calc|Opex forecast'!$J$41:$S$41,'Calc|Opex forecast'!$J$44:$S$44,'Calc|Opex forecast'!$J$47:$S$47,'Calc|Opex forecast'!$J$50:$S$50),"")</f>
        <v>0</v>
      </c>
      <c r="S14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0</v>
      </c>
      <c r="V14" s="193">
        <f t="shared" ca="1" si="0"/>
        <v>0</v>
      </c>
      <c r="W14" s="189"/>
      <c r="X14" s="66">
        <f ca="1">SUM($U$11:$U13)-AA14</f>
        <v>310.46068742437217</v>
      </c>
      <c r="Y14" s="66"/>
      <c r="Z14" s="66">
        <f t="shared" si="1"/>
        <v>0</v>
      </c>
      <c r="AA14" s="66">
        <f t="shared" si="2"/>
        <v>0</v>
      </c>
      <c r="AB14" s="191"/>
      <c r="AC14" s="191"/>
      <c r="AD14" s="191"/>
      <c r="AE14" s="191"/>
      <c r="AF14" s="191"/>
      <c r="AG14" s="189"/>
      <c r="AH14" s="189"/>
      <c r="AI14" s="189"/>
      <c r="AJ14" s="189"/>
      <c r="AK14" s="189"/>
      <c r="AL14" s="189"/>
      <c r="AM14" s="189"/>
    </row>
    <row r="15" spans="1:39" ht="15">
      <c r="A15" s="189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2023–24 increment</v>
      </c>
      <c r="C15" s="65" t="s">
        <v>201</v>
      </c>
      <c r="D15" s="16" t="str">
        <f>'Calc|Opex forecast'!$E$8</f>
        <v>$millions</v>
      </c>
      <c r="E15" s="98">
        <f>'Calc|Opex forecast'!$F$8</f>
        <v>45444</v>
      </c>
      <c r="F15" s="16"/>
      <c r="G15" s="16"/>
      <c r="H15" s="16"/>
      <c r="I15" s="66" t="str">
        <f>IF('Calc|Opex forecast'!J103='Calc|Opex forecast'!J4,SUM('Calc|Opex forecast'!$J$31:$S$31),"")</f>
        <v/>
      </c>
      <c r="J15" s="66" t="str">
        <f>IF('Calc|Opex forecast'!K103='Calc|Opex forecast'!K4,SUM('Calc|Opex forecast'!$J$31:$S$31),"")</f>
        <v/>
      </c>
      <c r="K15" s="66" t="str">
        <f>IF('Calc|Opex forecast'!L103='Calc|Opex forecast'!L4,SUM('Calc|Opex forecast'!$J$31:$S$31),"")</f>
        <v/>
      </c>
      <c r="L15" s="66" t="str">
        <f>IF('Calc|Opex forecast'!M103='Calc|Opex forecast'!M4,SUM('Calc|Opex forecast'!$J$31:$S$31),"")</f>
        <v/>
      </c>
      <c r="M15" s="66" t="str">
        <f>IF('Calc|Opex forecast'!N103='Calc|Opex forecast'!N4,SUM('Calc|Opex forecast'!$J$31:$S$31),"")</f>
        <v/>
      </c>
      <c r="N15" s="66">
        <f>IF('Calc|Opex forecast'!O103='Calc|Opex forecast'!O4,SUM('Calc|Opex forecast'!$J$31:$S$31),"")</f>
        <v>0.67163484913770333</v>
      </c>
      <c r="O15" s="66">
        <f>IF('Calc|Opex forecast'!P103='Calc|Opex forecast'!P4,SUM('Calc|Opex forecast'!$J$31:$S$31),"")</f>
        <v>0.67163484913770333</v>
      </c>
      <c r="P15" s="66">
        <f>IF('Calc|Opex forecast'!Q103='Calc|Opex forecast'!Q4,SUM('Calc|Opex forecast'!$J$31:$S$31),"")</f>
        <v>0.67163484913770333</v>
      </c>
      <c r="Q15" s="66">
        <f>IF('Calc|Opex forecast'!R103='Calc|Opex forecast'!R4,SUM('Calc|Opex forecast'!$J$31:$S$31),"")</f>
        <v>0.67163484913770333</v>
      </c>
      <c r="R15" s="66">
        <f>IF('Calc|Opex forecast'!S103='Calc|Opex forecast'!S4,SUM('Calc|Opex forecast'!$J$31:$S$31),"")</f>
        <v>0.67163484913770333</v>
      </c>
      <c r="S15" s="66" t="str">
        <f>IF('Calc|Opex forecast'!T103='Calc|Opex forecast'!T4,SUM('Calc|Opex forecast'!$J$31:$S$31),"")</f>
        <v/>
      </c>
      <c r="T15" s="66"/>
      <c r="U15" s="70">
        <f>SUM(I15:S15)</f>
        <v>3.3581742456885166</v>
      </c>
      <c r="V15" s="193">
        <f t="shared" ca="1" si="0"/>
        <v>9.4008529097466594E-3</v>
      </c>
      <c r="W15" s="189"/>
      <c r="X15" s="66">
        <f ca="1">SUM($U$11:$U14)-AA15</f>
        <v>310.46068742437217</v>
      </c>
      <c r="Y15" s="66"/>
      <c r="Z15" s="66">
        <f t="shared" si="1"/>
        <v>3.3581742456885166</v>
      </c>
      <c r="AA15" s="66">
        <f t="shared" si="2"/>
        <v>0</v>
      </c>
      <c r="AB15" s="191"/>
      <c r="AC15" s="191"/>
      <c r="AD15" s="191"/>
      <c r="AE15" s="191"/>
      <c r="AF15" s="191"/>
      <c r="AG15" s="189"/>
      <c r="AH15" s="189"/>
      <c r="AI15" s="189"/>
      <c r="AJ15" s="189"/>
      <c r="AK15" s="189"/>
      <c r="AL15" s="189"/>
      <c r="AM15" s="189"/>
    </row>
    <row r="16" spans="1:39" ht="15">
      <c r="A16" s="189"/>
      <c r="B16" s="15" t="s">
        <v>204</v>
      </c>
      <c r="C16" s="65" t="s">
        <v>201</v>
      </c>
      <c r="D16" s="16" t="str">
        <f>'Calc|Opex forecast'!$E$8</f>
        <v>$millions</v>
      </c>
      <c r="E16" s="98">
        <f>'Calc|Opex forecast'!$F$8</f>
        <v>45444</v>
      </c>
      <c r="F16" s="16"/>
      <c r="G16" s="16"/>
      <c r="H16" s="16"/>
      <c r="I16" s="66" t="str">
        <f>IF('Calc|Opex forecast'!J103='Calc|Opex forecast'!J4,SUM('Calc|Opex forecast'!$J$35:$T$35),"")</f>
        <v/>
      </c>
      <c r="J16" s="66" t="str">
        <f>IF('Calc|Opex forecast'!K103='Calc|Opex forecast'!K4,SUM('Calc|Opex forecast'!$J$35:$T$35),"")</f>
        <v/>
      </c>
      <c r="K16" s="66" t="str">
        <f>IF('Calc|Opex forecast'!L103='Calc|Opex forecast'!L4,SUM('Calc|Opex forecast'!$J$35:$T$35),"")</f>
        <v/>
      </c>
      <c r="L16" s="66" t="str">
        <f>IF('Calc|Opex forecast'!M103='Calc|Opex forecast'!M4,SUM('Calc|Opex forecast'!$J$35:$T$35),"")</f>
        <v/>
      </c>
      <c r="M16" s="66" t="str">
        <f>IF('Calc|Opex forecast'!N103='Calc|Opex forecast'!N4,SUM('Calc|Opex forecast'!$J$35:$T$35),"")</f>
        <v/>
      </c>
      <c r="N16" s="66">
        <f>IF('Calc|Opex forecast'!O103='Calc|Opex forecast'!O4,SUM('Calc|Opex forecast'!$J$35:$T$35),"")</f>
        <v>4.5775358530109056E-3</v>
      </c>
      <c r="O16" s="66">
        <f>IF('Calc|Opex forecast'!P103='Calc|Opex forecast'!P4,SUM('Calc|Opex forecast'!$J$35:$T$35),"")</f>
        <v>4.5775358530109056E-3</v>
      </c>
      <c r="P16" s="66">
        <f>IF('Calc|Opex forecast'!Q103='Calc|Opex forecast'!Q4,SUM('Calc|Opex forecast'!$J$35:$T$35),"")</f>
        <v>4.5775358530109056E-3</v>
      </c>
      <c r="Q16" s="66">
        <f>IF('Calc|Opex forecast'!R103='Calc|Opex forecast'!R4,SUM('Calc|Opex forecast'!$J$35:$T$35),"")</f>
        <v>4.5775358530109056E-3</v>
      </c>
      <c r="R16" s="66">
        <f>IF('Calc|Opex forecast'!S103='Calc|Opex forecast'!S4,SUM('Calc|Opex forecast'!$J$35:$T$35),"")</f>
        <v>4.5775358530109056E-3</v>
      </c>
      <c r="S16" s="66" t="str">
        <f>IF('Calc|Opex forecast'!T103='Calc|Opex forecast'!T4,SUM('Calc|Opex forecast'!$J$35:$T$35),"")</f>
        <v/>
      </c>
      <c r="T16" s="66"/>
      <c r="U16" s="70">
        <f t="shared" ref="U16:U22" si="3">SUM(I16:S16)</f>
        <v>2.2887679265054528E-2</v>
      </c>
      <c r="V16" s="193">
        <f t="shared" ca="1" si="0"/>
        <v>6.3478943511213986E-5</v>
      </c>
      <c r="W16" s="189"/>
      <c r="X16" s="66">
        <f ca="1">SUM($U$11:$U15)-AA16</f>
        <v>313.8188616700607</v>
      </c>
      <c r="Y16" s="66"/>
      <c r="Z16" s="66">
        <f t="shared" si="1"/>
        <v>2.2887679265054528E-2</v>
      </c>
      <c r="AA16" s="66">
        <f t="shared" si="2"/>
        <v>0</v>
      </c>
      <c r="AB16" s="191"/>
      <c r="AC16" s="191"/>
      <c r="AD16" s="191"/>
      <c r="AE16" s="191"/>
      <c r="AF16" s="191"/>
      <c r="AG16" s="189"/>
      <c r="AH16" s="189"/>
      <c r="AI16" s="189"/>
      <c r="AJ16" s="189"/>
      <c r="AK16" s="189"/>
      <c r="AL16" s="189"/>
      <c r="AM16" s="189"/>
    </row>
    <row r="17" spans="1:39" ht="15">
      <c r="A17" s="189"/>
      <c r="B17" s="15" t="s">
        <v>205</v>
      </c>
      <c r="C17" s="16" t="s">
        <v>30</v>
      </c>
      <c r="D17" s="16" t="str">
        <f>'Calc|Opex forecast'!$E$8</f>
        <v>$millions</v>
      </c>
      <c r="E17" s="98">
        <f>'Calc|Opex forecast'!$F$8</f>
        <v>45444</v>
      </c>
      <c r="F17" s="16"/>
      <c r="G17" s="16"/>
      <c r="H17" s="16"/>
      <c r="I17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forecast'!O103='Calc|Opex forecast'!O4,'Calc|Opex forecast'!O62/('Calc|Opex forecast'!O$62+'Calc|Opex forecast'!O$65-'Calc|Opex forecast'!O$68)*'Calc|Opex forecast'!O$71*SUM('Calc|Opex forecast'!$J$54:$T$54),"")</f>
        <v>0.4608364035278783</v>
      </c>
      <c r="O17" s="66">
        <f ca="1">IF('Calc|Opex forecast'!P103='Calc|Opex forecast'!P4,'Calc|Opex forecast'!P62/('Calc|Opex forecast'!P$62+'Calc|Opex forecast'!P$65-'Calc|Opex forecast'!P$68)*'Calc|Opex forecast'!P$71*SUM('Calc|Opex forecast'!$J$54:$T$54),"")</f>
        <v>0.91718552011931598</v>
      </c>
      <c r="P17" s="66">
        <f ca="1">IF('Calc|Opex forecast'!Q103='Calc|Opex forecast'!Q4,'Calc|Opex forecast'!Q62/('Calc|Opex forecast'!Q$62+'Calc|Opex forecast'!Q$65-'Calc|Opex forecast'!Q$68)*'Calc|Opex forecast'!Q$71*SUM('Calc|Opex forecast'!$J$54:$T$54),"")</f>
        <v>1.3682963392581666</v>
      </c>
      <c r="Q17" s="66">
        <f ca="1">IF('Calc|Opex forecast'!R103='Calc|Opex forecast'!R4,'Calc|Opex forecast'!R62/('Calc|Opex forecast'!R$62+'Calc|Opex forecast'!R$65-'Calc|Opex forecast'!R$68)*'Calc|Opex forecast'!R$71*SUM('Calc|Opex forecast'!$J$54:$T$54),"")</f>
        <v>1.8138586343544885</v>
      </c>
      <c r="R17" s="66">
        <f ca="1">IF('Calc|Opex forecast'!S103='Calc|Opex forecast'!S4,'Calc|Opex forecast'!S62/('Calc|Opex forecast'!S$62+'Calc|Opex forecast'!S$65-'Calc|Opex forecast'!S$68)*'Calc|Opex forecast'!S$71*SUM('Calc|Opex forecast'!$J$54:$T$54),"")</f>
        <v>2.2609937538011611</v>
      </c>
      <c r="S17" s="66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6"/>
      <c r="U17" s="194">
        <f t="shared" ca="1" si="3"/>
        <v>6.8211706510610108</v>
      </c>
      <c r="V17" s="193">
        <f t="shared" ca="1" si="0"/>
        <v>1.9282070356275816E-2</v>
      </c>
      <c r="W17" s="189"/>
      <c r="X17" s="66">
        <f ca="1">SUM($U$11:$U16)-AA17</f>
        <v>313.84174934932577</v>
      </c>
      <c r="Y17" s="66"/>
      <c r="Z17" s="66">
        <f t="shared" ca="1" si="1"/>
        <v>6.8211706510610108</v>
      </c>
      <c r="AA17" s="66">
        <f t="shared" ca="1" si="2"/>
        <v>0</v>
      </c>
      <c r="AB17" s="191"/>
      <c r="AC17" s="191"/>
      <c r="AD17" s="191"/>
      <c r="AE17" s="191"/>
      <c r="AF17" s="195"/>
      <c r="AG17" s="189"/>
      <c r="AH17" s="189"/>
      <c r="AI17" s="189"/>
      <c r="AJ17" s="189"/>
      <c r="AK17" s="189"/>
      <c r="AL17" s="189"/>
      <c r="AM17" s="189"/>
    </row>
    <row r="18" spans="1:39" ht="15">
      <c r="A18" s="189"/>
      <c r="B18" s="15" t="s">
        <v>206</v>
      </c>
      <c r="C18" s="16" t="s">
        <v>30</v>
      </c>
      <c r="D18" s="16" t="str">
        <f>'Calc|Opex forecast'!$E$8</f>
        <v>$millions</v>
      </c>
      <c r="E18" s="98">
        <f>'Calc|Opex forecast'!$F$8</f>
        <v>45444</v>
      </c>
      <c r="F18" s="16"/>
      <c r="G18" s="16"/>
      <c r="H18" s="16"/>
      <c r="I18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forecast'!O65/('Calc|Opex forecast'!O$62+'Calc|Opex forecast'!O$65-'Calc|Opex forecast'!O$68)*'Calc|Opex forecast'!O$71*SUM('Calc|Opex forecast'!$J$54:$T$54),"")</f>
        <v>0.45378157088066723</v>
      </c>
      <c r="O18" s="66">
        <f ca="1">IF('Calc|Opex forecast'!P103='Calc|Opex forecast'!P4,'Calc|Opex forecast'!P65/('Calc|Opex forecast'!P$62+'Calc|Opex forecast'!P$65-'Calc|Opex forecast'!P$68)*'Calc|Opex forecast'!P$71*SUM('Calc|Opex forecast'!$J$54:$T$54),"")</f>
        <v>0.96683275287884829</v>
      </c>
      <c r="P18" s="66">
        <f ca="1">IF('Calc|Opex forecast'!Q103='Calc|Opex forecast'!Q4,'Calc|Opex forecast'!Q65/('Calc|Opex forecast'!Q$62+'Calc|Opex forecast'!Q$65-'Calc|Opex forecast'!Q$68)*'Calc|Opex forecast'!Q$71*SUM('Calc|Opex forecast'!$J$54:$T$54),"")</f>
        <v>1.2950239884162575</v>
      </c>
      <c r="Q18" s="66">
        <f ca="1">IF('Calc|Opex forecast'!R103='Calc|Opex forecast'!R4,'Calc|Opex forecast'!R65/('Calc|Opex forecast'!R$62+'Calc|Opex forecast'!R$65-'Calc|Opex forecast'!R$68)*'Calc|Opex forecast'!R$71*SUM('Calc|Opex forecast'!$J$54:$T$54),"")</f>
        <v>1.6147528011083419</v>
      </c>
      <c r="R18" s="66">
        <f ca="1">IF('Calc|Opex forecast'!S103='Calc|Opex forecast'!S4,'Calc|Opex forecast'!S65/('Calc|Opex forecast'!S$62+'Calc|Opex forecast'!S$65-'Calc|Opex forecast'!S$68)*'Calc|Opex forecast'!S$71*SUM('Calc|Opex forecast'!$J$54:$T$54),"")</f>
        <v>1.9929797714056467</v>
      </c>
      <c r="S18" s="66" t="str">
        <f t="array" ref="S18">IF('Calc|Opex forecast'!T103='Calc|Opex forecast'!T4,(PRODUCT(1+'Calc|Opex forecast'!$J64:T64)-1)*PRODUCT(1-'Calc|Opex forecast'!$J67:T67)*SUM('Calc|Opex forecast'!$J$54:$S$54),"")</f>
        <v/>
      </c>
      <c r="T18" s="66"/>
      <c r="U18" s="194">
        <f t="shared" ca="1" si="3"/>
        <v>6.3233708846897621</v>
      </c>
      <c r="V18" s="193">
        <f t="shared" ca="1" si="0"/>
        <v>1.7849773228375731E-2</v>
      </c>
      <c r="W18" s="189"/>
      <c r="X18" s="66">
        <f ca="1">SUM($U$11:$U17)-AA18</f>
        <v>320.6629200003868</v>
      </c>
      <c r="Y18" s="66"/>
      <c r="Z18" s="66">
        <f t="shared" ca="1" si="1"/>
        <v>6.3233708846897621</v>
      </c>
      <c r="AA18" s="66">
        <f t="shared" ca="1" si="2"/>
        <v>0</v>
      </c>
      <c r="AB18" s="191"/>
      <c r="AC18" s="191"/>
      <c r="AD18" s="191"/>
      <c r="AE18" s="191"/>
      <c r="AF18" s="191"/>
      <c r="AG18" s="189"/>
      <c r="AH18" s="189"/>
      <c r="AI18" s="189"/>
      <c r="AJ18" s="189"/>
      <c r="AK18" s="189"/>
      <c r="AL18" s="189"/>
      <c r="AM18" s="189"/>
    </row>
    <row r="19" spans="1:39" ht="15">
      <c r="A19" s="189"/>
      <c r="B19" s="15" t="s">
        <v>207</v>
      </c>
      <c r="C19" s="16" t="s">
        <v>30</v>
      </c>
      <c r="D19" s="16" t="str">
        <f>'Calc|Opex forecast'!$E$8</f>
        <v>$millions</v>
      </c>
      <c r="E19" s="98">
        <f>'Calc|Opex forecast'!$F$8</f>
        <v>45444</v>
      </c>
      <c r="F19" s="16"/>
      <c r="G19" s="16"/>
      <c r="H19" s="16"/>
      <c r="I19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forecast'!O103='Calc|Opex forecast'!O4,-'Calc|Opex forecast'!O68/('Calc|Opex forecast'!O$62+'Calc|Opex forecast'!O$65-'Calc|Opex forecast'!O$68)*'Calc|Opex forecast'!O$71*SUM('Calc|Opex forecast'!$J$54:$T$54),"")</f>
        <v>-0.3131888208515865</v>
      </c>
      <c r="O19" s="66">
        <f ca="1">IF('Calc|Opex forecast'!P103='Calc|Opex forecast'!P4,-'Calc|Opex forecast'!P68/('Calc|Opex forecast'!P$62+'Calc|Opex forecast'!P$65-'Calc|Opex forecast'!P$68)*'Calc|Opex forecast'!P$71*SUM('Calc|Opex forecast'!$J$54:$T$54),"")</f>
        <v>-0.62842394367714938</v>
      </c>
      <c r="P19" s="66">
        <f ca="1">IF('Calc|Opex forecast'!Q103='Calc|Opex forecast'!Q4,-'Calc|Opex forecast'!Q68/('Calc|Opex forecast'!Q$62+'Calc|Opex forecast'!Q$65-'Calc|Opex forecast'!Q$68)*'Calc|Opex forecast'!Q$71*SUM('Calc|Opex forecast'!$J$54:$T$54),"")</f>
        <v>-0.94486454565698164</v>
      </c>
      <c r="Q19" s="66">
        <f ca="1">IF('Calc|Opex forecast'!R103='Calc|Opex forecast'!R4,-'Calc|Opex forecast'!R68/('Calc|Opex forecast'!R$62+'Calc|Opex forecast'!R$65-'Calc|Opex forecast'!R$68)*'Calc|Opex forecast'!R$71*SUM('Calc|Opex forecast'!$J$54:$T$54),"")</f>
        <v>-1.2627990313173489</v>
      </c>
      <c r="R19" s="66">
        <f ca="1">IF('Calc|Opex forecast'!S103='Calc|Opex forecast'!S4,-'Calc|Opex forecast'!S68/('Calc|Opex forecast'!S$62+'Calc|Opex forecast'!S$65-'Calc|Opex forecast'!S$68)*'Calc|Opex forecast'!S$71*SUM('Calc|Opex forecast'!$J$54:$T$54),"")</f>
        <v>-1.5827021140622237</v>
      </c>
      <c r="S19" s="66" t="str">
        <f t="array" ref="S19">IF('Calc|Opex forecast'!T103='Calc|Opex forecast'!T4,(PRODUCT(1-'Calc|Opex forecast'!$J67:T67)-1)*SUM('Calc|Opex forecast'!$J$54:$S$54),"")</f>
        <v/>
      </c>
      <c r="T19" s="66"/>
      <c r="U19" s="194">
        <f t="shared" ca="1" si="3"/>
        <v>-4.7319784555652902</v>
      </c>
      <c r="V19" s="193">
        <f t="shared" ca="1" si="0"/>
        <v>-1.2953311749756252E-2</v>
      </c>
      <c r="W19" s="196"/>
      <c r="X19" s="66">
        <f ca="1">SUM($U$11:$U18)-AA19</f>
        <v>322.25431242951129</v>
      </c>
      <c r="Y19" s="66"/>
      <c r="Z19" s="66">
        <f t="shared" ca="1" si="1"/>
        <v>0</v>
      </c>
      <c r="AA19" s="66">
        <f t="shared" ca="1" si="2"/>
        <v>4.7319784555652902</v>
      </c>
      <c r="AB19" s="191"/>
      <c r="AC19" s="191"/>
      <c r="AD19" s="191"/>
      <c r="AE19" s="191"/>
      <c r="AF19" s="191"/>
      <c r="AG19" s="189"/>
      <c r="AH19" s="189"/>
      <c r="AI19" s="189"/>
      <c r="AJ19" s="189"/>
      <c r="AK19" s="189"/>
      <c r="AL19" s="189"/>
      <c r="AM19" s="189"/>
    </row>
    <row r="20" spans="1:39" ht="15">
      <c r="A20" s="189"/>
      <c r="B20" s="15" t="s">
        <v>96</v>
      </c>
      <c r="C20" s="65" t="s">
        <v>201</v>
      </c>
      <c r="D20" s="16" t="str">
        <f>'Calc|Opex forecast'!$E$8</f>
        <v>$millions</v>
      </c>
      <c r="E20" s="98">
        <f>'Calc|Opex forecast'!$F$8</f>
        <v>45444</v>
      </c>
      <c r="F20" s="16"/>
      <c r="G20" s="16"/>
      <c r="H20" s="16"/>
      <c r="I20" s="66" t="str">
        <f>IF('Calc|Opex forecast'!J103='Calc|Opex forecast'!J4,'Calc|Opex forecast'!J87,"")</f>
        <v/>
      </c>
      <c r="J20" s="66" t="str">
        <f>IF('Calc|Opex forecast'!K103='Calc|Opex forecast'!K4,'Calc|Opex forecast'!K87,"")</f>
        <v/>
      </c>
      <c r="K20" s="66" t="str">
        <f>IF('Calc|Opex forecast'!L103='Calc|Opex forecast'!L4,'Calc|Opex forecast'!L87,"")</f>
        <v/>
      </c>
      <c r="L20" s="66" t="str">
        <f>IF('Calc|Opex forecast'!M103='Calc|Opex forecast'!M4,'Calc|Opex forecast'!M87,"")</f>
        <v/>
      </c>
      <c r="M20" s="66" t="str">
        <f>IF('Calc|Opex forecast'!N103='Calc|Opex forecast'!N4,'Calc|Opex forecast'!N87,"")</f>
        <v/>
      </c>
      <c r="N20" s="66">
        <f>IF('Calc|Opex forecast'!O103='Calc|Opex forecast'!O4,'Calc|Opex forecast'!O87,"")</f>
        <v>7.2374602108010135</v>
      </c>
      <c r="O20" s="66">
        <f>IF('Calc|Opex forecast'!P103='Calc|Opex forecast'!P4,'Calc|Opex forecast'!P87,"")</f>
        <v>7.2423615982846208</v>
      </c>
      <c r="P20" s="66">
        <f>IF('Calc|Opex forecast'!Q103='Calc|Opex forecast'!Q4,'Calc|Opex forecast'!Q87,"")</f>
        <v>6.877448249860322</v>
      </c>
      <c r="Q20" s="66">
        <f>IF('Calc|Opex forecast'!R103='Calc|Opex forecast'!R4,'Calc|Opex forecast'!R87,"")</f>
        <v>6.8754506867648297</v>
      </c>
      <c r="R20" s="66">
        <f>IF('Calc|Opex forecast'!S103='Calc|Opex forecast'!S4,'Calc|Opex forecast'!S87,"")</f>
        <v>7.0332869972902152</v>
      </c>
      <c r="S20" s="66" t="str">
        <f>IF('Calc|Opex forecast'!T103='Calc|Opex forecast'!T4,'Calc|Opex forecast'!T87,"")</f>
        <v/>
      </c>
      <c r="T20" s="66"/>
      <c r="U20" s="70">
        <f t="shared" si="3"/>
        <v>35.266007743000998</v>
      </c>
      <c r="V20" s="193">
        <f t="shared" ca="1" si="0"/>
        <v>0.10840661148950126</v>
      </c>
      <c r="W20" s="197"/>
      <c r="X20" s="66">
        <f ca="1">SUM($U$11:$U19)-AA20</f>
        <v>322.25431242951129</v>
      </c>
      <c r="Y20" s="66"/>
      <c r="Z20" s="66">
        <f t="shared" si="1"/>
        <v>35.266007743000998</v>
      </c>
      <c r="AA20" s="66">
        <f t="shared" si="2"/>
        <v>0</v>
      </c>
      <c r="AB20" s="191"/>
      <c r="AC20" s="191"/>
      <c r="AD20" s="191"/>
      <c r="AE20" s="191"/>
      <c r="AF20" s="191"/>
      <c r="AG20" s="189"/>
      <c r="AH20" s="189"/>
      <c r="AI20" s="189"/>
      <c r="AJ20" s="189"/>
      <c r="AK20" s="189"/>
      <c r="AL20" s="189"/>
      <c r="AM20" s="189"/>
    </row>
    <row r="21" spans="1:39" ht="15">
      <c r="A21" s="189"/>
      <c r="B21" s="15" t="s">
        <v>101</v>
      </c>
      <c r="C21" s="65" t="s">
        <v>201</v>
      </c>
      <c r="D21" s="16" t="str">
        <f>'Calc|Opex forecast'!$E$8</f>
        <v>$millions</v>
      </c>
      <c r="E21" s="98">
        <f>'Calc|Opex forecast'!$F$8</f>
        <v>45444</v>
      </c>
      <c r="F21" s="16"/>
      <c r="G21" s="16"/>
      <c r="H21" s="16"/>
      <c r="I21" s="66" t="str">
        <f>IF('Calc|Opex forecast'!J103='Calc|Opex forecast'!J4,'Calc|Opex forecast'!J99,"")</f>
        <v/>
      </c>
      <c r="J21" s="66" t="str">
        <f>IF('Calc|Opex forecast'!K103='Calc|Opex forecast'!K4,'Calc|Opex forecast'!K99,"")</f>
        <v/>
      </c>
      <c r="K21" s="66" t="str">
        <f>IF('Calc|Opex forecast'!L103='Calc|Opex forecast'!L4,'Calc|Opex forecast'!L99,"")</f>
        <v/>
      </c>
      <c r="L21" s="66" t="str">
        <f>IF('Calc|Opex forecast'!M103='Calc|Opex forecast'!M4,'Calc|Opex forecast'!M99,"")</f>
        <v/>
      </c>
      <c r="M21" s="66" t="str">
        <f>IF('Calc|Opex forecast'!N103='Calc|Opex forecast'!N4,'Calc|Opex forecast'!N99,"")</f>
        <v/>
      </c>
      <c r="N21" s="66">
        <f>IF('Calc|Opex forecast'!O103='Calc|Opex forecast'!O4,'Calc|Opex forecast'!O99,"")</f>
        <v>0</v>
      </c>
      <c r="O21" s="66">
        <f>IF('Calc|Opex forecast'!P103='Calc|Opex forecast'!P4,'Calc|Opex forecast'!P99,"")</f>
        <v>0</v>
      </c>
      <c r="P21" s="66">
        <f>IF('Calc|Opex forecast'!Q103='Calc|Opex forecast'!Q4,'Calc|Opex forecast'!Q99,"")</f>
        <v>0</v>
      </c>
      <c r="Q21" s="66">
        <f>IF('Calc|Opex forecast'!R103='Calc|Opex forecast'!R4,'Calc|Opex forecast'!R99,"")</f>
        <v>0</v>
      </c>
      <c r="R21" s="66">
        <f>IF('Calc|Opex forecast'!S103='Calc|Opex forecast'!S4,'Calc|Opex forecast'!S99,"")</f>
        <v>0</v>
      </c>
      <c r="S21" s="66" t="str">
        <f>IF('Calc|Opex forecast'!T103='Calc|Opex forecast'!T4,'Calc|Opex forecast'!T99,"")</f>
        <v/>
      </c>
      <c r="T21" s="66"/>
      <c r="U21" s="70">
        <f t="shared" si="3"/>
        <v>0</v>
      </c>
      <c r="V21" s="193">
        <f t="shared" ca="1" si="0"/>
        <v>0</v>
      </c>
      <c r="W21" s="197"/>
      <c r="X21" s="66">
        <f ca="1">SUM($U$11:$U20)-AA21</f>
        <v>357.5203201725123</v>
      </c>
      <c r="Y21" s="66"/>
      <c r="Z21" s="66">
        <f t="shared" si="1"/>
        <v>0</v>
      </c>
      <c r="AA21" s="66">
        <f t="shared" si="2"/>
        <v>0</v>
      </c>
      <c r="AB21" s="191"/>
      <c r="AC21" s="191"/>
      <c r="AD21" s="191"/>
      <c r="AE21" s="191"/>
      <c r="AF21" s="191"/>
      <c r="AG21" s="189"/>
      <c r="AH21" s="189"/>
      <c r="AI21" s="189"/>
      <c r="AJ21" s="189"/>
      <c r="AK21" s="189"/>
      <c r="AL21" s="189"/>
      <c r="AM21" s="189"/>
    </row>
    <row r="22" spans="1:39" ht="15">
      <c r="A22" s="189"/>
      <c r="B22" s="15" t="s">
        <v>39</v>
      </c>
      <c r="C22" s="65" t="s">
        <v>201</v>
      </c>
      <c r="D22" s="16" t="str">
        <f>'Calc|Opex forecast'!$E$8</f>
        <v>$millions</v>
      </c>
      <c r="E22" s="98">
        <f>'Calc|Opex forecast'!$F$8</f>
        <v>45444</v>
      </c>
      <c r="F22" s="16"/>
      <c r="G22" s="16"/>
      <c r="H22" s="16"/>
      <c r="I22" s="66" t="str">
        <f>IF('Calc|Opex forecast'!J103='Calc|Opex forecast'!J4,'Input|Step changes'!J40,"")</f>
        <v/>
      </c>
      <c r="J22" s="66" t="str">
        <f>IF('Calc|Opex forecast'!K103='Calc|Opex forecast'!K4,'Input|Step changes'!K40,"")</f>
        <v/>
      </c>
      <c r="K22" s="66" t="str">
        <f>IF('Calc|Opex forecast'!L103='Calc|Opex forecast'!L4,'Input|Step changes'!L40,"")</f>
        <v/>
      </c>
      <c r="L22" s="66" t="str">
        <f>IF('Calc|Opex forecast'!M103='Calc|Opex forecast'!M4,'Input|Step changes'!M40,"")</f>
        <v/>
      </c>
      <c r="M22" s="66" t="str">
        <f>IF('Calc|Opex forecast'!N103='Calc|Opex forecast'!N4,'Input|Step changes'!N40,"")</f>
        <v/>
      </c>
      <c r="N22" s="66">
        <f>IF('Calc|Opex forecast'!O103='Calc|Opex forecast'!O4,'Input|Step changes'!O40,"")</f>
        <v>0.59593402651618987</v>
      </c>
      <c r="O22" s="66">
        <f>IF('Calc|Opex forecast'!P103='Calc|Opex forecast'!P4,'Input|Step changes'!P40,"")</f>
        <v>0.60384365053230238</v>
      </c>
      <c r="P22" s="66">
        <f>IF('Calc|Opex forecast'!Q103='Calc|Opex forecast'!Q4,'Input|Step changes'!Q40,"")</f>
        <v>0.61008005848768798</v>
      </c>
      <c r="Q22" s="66">
        <f>IF('Calc|Opex forecast'!R103='Calc|Opex forecast'!R4,'Input|Step changes'!R40,"")</f>
        <v>0.6177783394562234</v>
      </c>
      <c r="R22" s="66">
        <f>IF('Calc|Opex forecast'!S103='Calc|Opex forecast'!S4,'Input|Step changes'!S40,"")</f>
        <v>0.63038492652865252</v>
      </c>
      <c r="S22" s="66" t="str">
        <f>IF('Calc|Opex forecast'!T103='Calc|Opex forecast'!T4,'Input|Step changes'!T40,"")</f>
        <v/>
      </c>
      <c r="T22" s="66"/>
      <c r="U22" s="70">
        <f t="shared" si="3"/>
        <v>3.0580210015210563</v>
      </c>
      <c r="V22" s="193">
        <f t="shared" ca="1" si="0"/>
        <v>8.553418726089437E-3</v>
      </c>
      <c r="W22" s="189"/>
      <c r="X22" s="66">
        <f ca="1">SUM($U$11:$U21)-AA22</f>
        <v>357.5203201725123</v>
      </c>
      <c r="Y22" s="66"/>
      <c r="Z22" s="66">
        <f t="shared" si="1"/>
        <v>3.0580210015210563</v>
      </c>
      <c r="AA22" s="66">
        <f t="shared" si="2"/>
        <v>0</v>
      </c>
      <c r="AB22" s="191"/>
      <c r="AC22" s="191"/>
      <c r="AD22" s="191"/>
      <c r="AE22" s="191"/>
      <c r="AF22" s="191"/>
      <c r="AG22" s="189"/>
      <c r="AH22" s="189"/>
      <c r="AI22" s="189"/>
      <c r="AJ22" s="189"/>
      <c r="AK22" s="189"/>
      <c r="AL22" s="189"/>
      <c r="AM22" s="189"/>
    </row>
    <row r="23" spans="1:39" ht="15">
      <c r="A23" s="189"/>
      <c r="B23" s="15" t="s">
        <v>208</v>
      </c>
      <c r="C23" s="65" t="s">
        <v>201</v>
      </c>
      <c r="D23" s="16" t="str">
        <f>'Calc|Opex forecast'!$E$8</f>
        <v>$millions</v>
      </c>
      <c r="E23" s="98">
        <f>'Calc|Opex forecast'!$F$8</f>
        <v>45444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forecast'!O109</f>
        <v>71.203173260739305</v>
      </c>
      <c r="O23" s="66">
        <f ca="1">'Calc|Opex forecast'!P109</f>
        <v>71.870149448003076</v>
      </c>
      <c r="P23" s="66">
        <f ca="1">'Calc|Opex forecast'!Q109</f>
        <v>71.974333960230581</v>
      </c>
      <c r="Q23" s="66">
        <f ca="1">'Calc|Opex forecast'!R109</f>
        <v>72.427391300231676</v>
      </c>
      <c r="R23" s="66">
        <f ca="1">'Calc|Opex forecast'!S109</f>
        <v>73.103293204828589</v>
      </c>
      <c r="S23" s="66" t="str">
        <f>'Calc|Opex forecast'!T109</f>
        <v/>
      </c>
      <c r="T23" s="66"/>
      <c r="U23" s="70">
        <f ca="1">SUM(I23:S23)</f>
        <v>360.5783411740332</v>
      </c>
      <c r="V23" s="81" t="str">
        <f ca="1">IF(ROUND(U23,6)=ROUND(SUM(U11:U22),6),"OK","Check")</f>
        <v>OK</v>
      </c>
      <c r="W23" s="189"/>
      <c r="X23" s="66"/>
      <c r="Y23" s="66">
        <f ca="1">U23</f>
        <v>360.5783411740332</v>
      </c>
      <c r="Z23" s="66"/>
      <c r="AA23" s="66"/>
      <c r="AB23" s="191"/>
      <c r="AC23" s="189"/>
      <c r="AD23" s="198"/>
      <c r="AE23" s="189"/>
      <c r="AF23" s="191"/>
      <c r="AG23" s="189"/>
      <c r="AH23" s="189"/>
      <c r="AI23" s="189"/>
      <c r="AJ23" s="189"/>
      <c r="AK23" s="189"/>
      <c r="AL23" s="189"/>
      <c r="AM23" s="189"/>
    </row>
    <row r="24" spans="1:39" ht="15">
      <c r="A24" s="189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3"/>
      <c r="W24" s="189"/>
      <c r="X24" s="191"/>
      <c r="Y24" s="191"/>
      <c r="Z24" s="191"/>
      <c r="AA24" s="191"/>
      <c r="AB24" s="191"/>
      <c r="AC24" s="191"/>
      <c r="AD24" s="191"/>
      <c r="AE24" s="191"/>
      <c r="AF24" s="191"/>
      <c r="AG24" s="189"/>
      <c r="AH24" s="189"/>
      <c r="AI24" s="189"/>
      <c r="AJ24" s="189"/>
      <c r="AK24" s="189"/>
      <c r="AL24" s="189"/>
      <c r="AM24" s="189"/>
    </row>
    <row r="25" spans="1:39" ht="15">
      <c r="A25" s="189"/>
      <c r="B25" s="199"/>
      <c r="C25" s="199"/>
      <c r="D25" s="199"/>
      <c r="E25" s="199"/>
      <c r="F25" s="16"/>
      <c r="G25" s="16"/>
      <c r="H25" s="16"/>
      <c r="I25" s="199"/>
      <c r="J25" s="199"/>
      <c r="K25" s="199"/>
      <c r="L25" s="199"/>
      <c r="M25" s="199"/>
      <c r="N25" s="189"/>
      <c r="O25" s="189"/>
      <c r="P25" s="189"/>
      <c r="Q25" s="189"/>
      <c r="R25" s="189"/>
      <c r="S25" s="189"/>
      <c r="T25" s="200"/>
      <c r="U25" s="201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</row>
    <row r="26" spans="1:39" ht="15">
      <c r="A26" s="189"/>
      <c r="B26" s="189"/>
      <c r="C26" s="189"/>
      <c r="D26" s="189"/>
      <c r="E26" s="189"/>
      <c r="F26" s="16"/>
      <c r="G26" s="16"/>
      <c r="H26" s="16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</row>
    <row r="27" spans="1:39" ht="15">
      <c r="A27" s="189"/>
      <c r="B27" s="189"/>
      <c r="C27" s="189"/>
      <c r="D27" s="189"/>
      <c r="E27" s="189"/>
      <c r="F27" s="16"/>
      <c r="G27" s="16"/>
      <c r="H27" s="16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</row>
    <row r="28" spans="1:39" ht="15">
      <c r="A28" s="189"/>
      <c r="B28" s="189"/>
      <c r="C28" s="189"/>
      <c r="D28" s="189"/>
      <c r="E28" s="189"/>
      <c r="F28" s="16"/>
      <c r="G28" s="16"/>
      <c r="H28" s="16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</row>
    <row r="29" spans="1:39" ht="15">
      <c r="A29" s="189"/>
      <c r="B29" s="189"/>
      <c r="C29" s="189"/>
      <c r="D29" s="189"/>
      <c r="E29" s="189"/>
      <c r="F29" s="16"/>
      <c r="G29" s="16"/>
      <c r="H29" s="16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</row>
    <row r="30" spans="1:39" ht="15">
      <c r="A30" s="189"/>
      <c r="B30" s="189"/>
      <c r="C30" s="189"/>
      <c r="D30" s="189"/>
      <c r="E30" s="189"/>
      <c r="F30" s="16"/>
      <c r="G30" s="16"/>
      <c r="H30" s="16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202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ht="12.75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sheetProtection selectLockedCells="1"/>
  <mergeCells count="1">
    <mergeCell ref="M2:R2"/>
  </mergeCells>
  <conditionalFormatting sqref="Y1">
    <cfRule type="cellIs" dxfId="23" priority="10" operator="equal">
      <formula>"Check"</formula>
    </cfRule>
    <cfRule type="cellIs" dxfId="22" priority="11" operator="equal">
      <formula>"Ok"</formula>
    </cfRule>
  </conditionalFormatting>
  <conditionalFormatting sqref="I24:V24 I23:U23 I11:V22">
    <cfRule type="cellIs" dxfId="21" priority="9" operator="equal">
      <formula>0</formula>
    </cfRule>
  </conditionalFormatting>
  <conditionalFormatting sqref="V23">
    <cfRule type="cellIs" dxfId="20" priority="7" operator="equal">
      <formula>"Check"</formula>
    </cfRule>
    <cfRule type="cellIs" dxfId="19" priority="8" operator="equal">
      <formula>"Ok"</formula>
    </cfRule>
  </conditionalFormatting>
  <conditionalFormatting sqref="X11:AA11 X23:AA23 Y12:AA22">
    <cfRule type="cellIs" dxfId="18" priority="6" operator="equal">
      <formula>0</formula>
    </cfRule>
  </conditionalFormatting>
  <conditionalFormatting sqref="U9 I9:S9">
    <cfRule type="expression" dxfId="17" priority="12">
      <formula>I$88=I$4</formula>
    </cfRule>
  </conditionalFormatting>
  <conditionalFormatting sqref="X12:X22">
    <cfRule type="cellIs" dxfId="16" priority="3" operator="equal">
      <formula>0</formula>
    </cfRule>
  </conditionalFormatting>
  <conditionalFormatting sqref="V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3" workbookViewId="0">
      <selection activeCell="U1" sqref="U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6" t="s">
        <v>24</v>
      </c>
      <c r="V1" s="29" t="str">
        <f>'Check|List'!$S$1</f>
        <v>Ok</v>
      </c>
    </row>
    <row r="2" spans="1:30" s="27" customFormat="1" ht="12.75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179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180</v>
      </c>
      <c r="D8" s="16" t="s">
        <v>183</v>
      </c>
      <c r="E8" s="16"/>
      <c r="F8" s="16"/>
      <c r="G8" s="39" t="s">
        <v>180</v>
      </c>
    </row>
    <row r="9" spans="1:30">
      <c r="C9" s="15" t="s">
        <v>181</v>
      </c>
      <c r="D9" s="16" t="s">
        <v>183</v>
      </c>
      <c r="E9" s="16"/>
      <c r="F9" s="16"/>
      <c r="G9" s="39" t="s">
        <v>181</v>
      </c>
    </row>
    <row r="10" spans="1:30">
      <c r="C10" s="15" t="s">
        <v>182</v>
      </c>
      <c r="D10" s="16" t="s">
        <v>63</v>
      </c>
      <c r="E10" s="16"/>
      <c r="F10" s="16"/>
      <c r="G10" s="39" t="s">
        <v>182</v>
      </c>
      <c r="T10" s="17"/>
    </row>
    <row r="11" spans="1:30">
      <c r="C11" s="15" t="s">
        <v>184</v>
      </c>
      <c r="D11" s="16" t="s">
        <v>183</v>
      </c>
      <c r="E11" s="16"/>
      <c r="F11" s="16"/>
      <c r="G11" s="39" t="s">
        <v>184</v>
      </c>
    </row>
    <row r="12" spans="1:30">
      <c r="C12" s="15" t="s">
        <v>185</v>
      </c>
      <c r="D12" s="16" t="s">
        <v>63</v>
      </c>
      <c r="E12" s="16"/>
      <c r="F12" s="16"/>
      <c r="G12" s="39" t="s">
        <v>185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63</v>
      </c>
      <c r="E17" s="16"/>
      <c r="F17" s="16"/>
      <c r="G17" s="39" t="s">
        <v>12</v>
      </c>
    </row>
    <row r="18" spans="1:30">
      <c r="C18" s="15" t="s">
        <v>13</v>
      </c>
      <c r="D18" s="16" t="s">
        <v>63</v>
      </c>
      <c r="E18" s="16"/>
      <c r="F18" s="16"/>
      <c r="G18" s="39" t="s">
        <v>20</v>
      </c>
    </row>
    <row r="19" spans="1:30">
      <c r="C19" s="15" t="s">
        <v>14</v>
      </c>
      <c r="D19" s="16" t="s">
        <v>63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63</v>
      </c>
      <c r="E21" s="16"/>
      <c r="F21" s="16"/>
      <c r="G21" s="39" t="s">
        <v>31</v>
      </c>
    </row>
    <row r="22" spans="1:30">
      <c r="C22" s="15" t="s">
        <v>8</v>
      </c>
      <c r="D22" s="16" t="s">
        <v>63</v>
      </c>
      <c r="E22" s="16"/>
      <c r="F22" s="16"/>
      <c r="G22" s="39" t="s">
        <v>11</v>
      </c>
    </row>
    <row r="23" spans="1:30">
      <c r="C23" s="15" t="s">
        <v>17</v>
      </c>
      <c r="D23" s="16" t="s">
        <v>63</v>
      </c>
      <c r="E23" s="16"/>
      <c r="F23" s="16"/>
      <c r="G23" s="39" t="s">
        <v>18</v>
      </c>
    </row>
    <row r="24" spans="1:30">
      <c r="C24" s="15" t="s">
        <v>37</v>
      </c>
      <c r="D24" s="16" t="s">
        <v>63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63</v>
      </c>
      <c r="E26" s="16"/>
      <c r="F26" s="16"/>
      <c r="G26" s="39" t="s">
        <v>23</v>
      </c>
    </row>
    <row r="27" spans="1:30">
      <c r="C27" s="15" t="s">
        <v>68</v>
      </c>
      <c r="D27" s="16" t="s">
        <v>63</v>
      </c>
      <c r="E27" s="16"/>
      <c r="F27" s="16"/>
      <c r="G27" s="39" t="s">
        <v>68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109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110</v>
      </c>
      <c r="D32" s="16" t="s">
        <v>63</v>
      </c>
      <c r="E32" s="16"/>
      <c r="F32" s="16"/>
      <c r="G32" s="92">
        <v>36526</v>
      </c>
      <c r="H32" s="14"/>
    </row>
    <row r="33" spans="1:30">
      <c r="C33" s="15" t="s">
        <v>111</v>
      </c>
      <c r="D33" s="16" t="s">
        <v>63</v>
      </c>
      <c r="E33" s="16"/>
      <c r="F33" s="16"/>
      <c r="G33" s="92">
        <v>36557</v>
      </c>
      <c r="H33" s="14"/>
    </row>
    <row r="34" spans="1:30">
      <c r="C34" s="15" t="s">
        <v>112</v>
      </c>
      <c r="D34" s="16" t="s">
        <v>63</v>
      </c>
      <c r="E34" s="16"/>
      <c r="F34" s="16"/>
      <c r="G34" s="92">
        <v>36586</v>
      </c>
      <c r="H34" s="14"/>
    </row>
    <row r="35" spans="1:30">
      <c r="C35" s="15" t="s">
        <v>113</v>
      </c>
      <c r="D35" s="16" t="s">
        <v>63</v>
      </c>
      <c r="E35" s="16"/>
      <c r="F35" s="16"/>
      <c r="G35" s="92">
        <v>36617</v>
      </c>
    </row>
    <row r="36" spans="1:30">
      <c r="C36" s="15" t="s">
        <v>114</v>
      </c>
      <c r="D36" s="16" t="s">
        <v>63</v>
      </c>
      <c r="E36" s="16"/>
      <c r="F36" s="16"/>
      <c r="G36" s="92">
        <v>36647</v>
      </c>
    </row>
    <row r="37" spans="1:30">
      <c r="C37" s="15" t="s">
        <v>115</v>
      </c>
      <c r="D37" s="16" t="s">
        <v>63</v>
      </c>
      <c r="E37" s="16"/>
      <c r="F37" s="16"/>
      <c r="G37" s="92">
        <v>36678</v>
      </c>
      <c r="T37" s="17"/>
    </row>
    <row r="38" spans="1:30">
      <c r="C38" s="15" t="s">
        <v>116</v>
      </c>
      <c r="D38" s="16" t="s">
        <v>63</v>
      </c>
      <c r="E38" s="16"/>
      <c r="F38" s="16"/>
      <c r="G38" s="92">
        <v>36708</v>
      </c>
      <c r="T38" s="17"/>
    </row>
    <row r="39" spans="1:30">
      <c r="C39" s="15" t="s">
        <v>117</v>
      </c>
      <c r="D39" s="16" t="s">
        <v>63</v>
      </c>
      <c r="E39" s="16"/>
      <c r="F39" s="16"/>
      <c r="G39" s="92">
        <v>36739</v>
      </c>
      <c r="T39" s="17"/>
    </row>
    <row r="40" spans="1:30">
      <c r="C40" s="15" t="s">
        <v>118</v>
      </c>
      <c r="D40" s="16" t="s">
        <v>63</v>
      </c>
      <c r="E40" s="16"/>
      <c r="F40" s="16"/>
      <c r="G40" s="92">
        <v>36770</v>
      </c>
      <c r="T40" s="17"/>
    </row>
    <row r="41" spans="1:30">
      <c r="C41" s="15" t="s">
        <v>119</v>
      </c>
      <c r="D41" s="16" t="s">
        <v>63</v>
      </c>
      <c r="E41" s="16"/>
      <c r="F41" s="16"/>
      <c r="G41" s="92">
        <v>36800</v>
      </c>
      <c r="T41" s="17"/>
    </row>
    <row r="42" spans="1:30">
      <c r="C42" s="15" t="s">
        <v>120</v>
      </c>
      <c r="D42" s="16" t="s">
        <v>63</v>
      </c>
      <c r="E42" s="16"/>
      <c r="F42" s="16"/>
      <c r="G42" s="92">
        <v>36831</v>
      </c>
      <c r="T42" s="17"/>
    </row>
    <row r="43" spans="1:30">
      <c r="C43" s="15" t="s">
        <v>121</v>
      </c>
      <c r="D43" s="16" t="s">
        <v>63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64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142</v>
      </c>
      <c r="H47" s="14" t="s">
        <v>140</v>
      </c>
      <c r="I47" s="14" t="s">
        <v>141</v>
      </c>
    </row>
    <row r="48" spans="1:30">
      <c r="C48" s="97">
        <v>40695</v>
      </c>
      <c r="D48" s="16" t="s">
        <v>63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63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63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63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63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63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63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63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63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63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63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63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63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63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63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63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63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63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63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63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138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139</v>
      </c>
      <c r="H71" s="14" t="s">
        <v>108</v>
      </c>
    </row>
    <row r="72" spans="1:30">
      <c r="C72" s="15" t="s">
        <v>159</v>
      </c>
      <c r="D72" s="16" t="s">
        <v>92</v>
      </c>
      <c r="E72" s="20"/>
      <c r="F72" s="14"/>
      <c r="G72" s="106" t="str">
        <f>IF(H72="","",IF(MONTH(H72)=12,YEAR(H72),YEAR(H72)-1&amp;"–"&amp;RIGHT(YEAR(H72),2)))</f>
        <v>2018–19</v>
      </c>
      <c r="H72" s="107">
        <f>DATE(PPFirstYear-1,MONTH('Input|General'!$G$9),1)</f>
        <v>43617</v>
      </c>
    </row>
    <row r="73" spans="1:30">
      <c r="C73" s="15" t="s">
        <v>128</v>
      </c>
      <c r="D73" s="16" t="s">
        <v>92</v>
      </c>
      <c r="E73" s="16"/>
      <c r="F73" s="16"/>
      <c r="G73" s="106" t="str">
        <f t="shared" ref="G73:G82" si="1">IF(H73="","",IF(MONTH(H73)=12,YEAR(H73),YEAR(H73)-1&amp;"–"&amp;RIGHT(YEAR(H73),2)))</f>
        <v>2019–20</v>
      </c>
      <c r="H73" s="107">
        <f>DATE(PPFirstYear,MONTH('Input|General'!$G$9),1)</f>
        <v>43983</v>
      </c>
    </row>
    <row r="74" spans="1:30">
      <c r="C74" s="15" t="s">
        <v>129</v>
      </c>
      <c r="D74" s="16" t="s">
        <v>92</v>
      </c>
      <c r="E74" s="16"/>
      <c r="F74" s="16"/>
      <c r="G74" s="106" t="str">
        <f t="shared" si="1"/>
        <v>2020–21</v>
      </c>
      <c r="H74" s="107">
        <f>IF(PPLastYear-PPFirstYear&lt;1,"",DATE(PPFirstYear+1,MONTH('Input|General'!$G$9),1))</f>
        <v>44348</v>
      </c>
    </row>
    <row r="75" spans="1:30">
      <c r="C75" s="15" t="s">
        <v>130</v>
      </c>
      <c r="D75" s="16" t="s">
        <v>92</v>
      </c>
      <c r="E75" s="16"/>
      <c r="F75" s="16"/>
      <c r="G75" s="106" t="str">
        <f t="shared" si="1"/>
        <v>2021–22</v>
      </c>
      <c r="H75" s="107">
        <f>IF(PPLastYear-PPFirstYear&lt;2,"",DATE(PPFirstYear+2,MONTH('Input|General'!$G$9),1))</f>
        <v>44713</v>
      </c>
    </row>
    <row r="76" spans="1:30">
      <c r="C76" s="15" t="s">
        <v>131</v>
      </c>
      <c r="D76" s="16" t="s">
        <v>92</v>
      </c>
      <c r="E76" s="16"/>
      <c r="F76" s="16"/>
      <c r="G76" s="106" t="str">
        <f t="shared" si="1"/>
        <v>2022–23</v>
      </c>
      <c r="H76" s="107">
        <f>IF(PPLastYear-PPFirstYear&lt;3,"",DATE(PPFirstYear+3,MONTH('Input|General'!$G$9),1))</f>
        <v>45078</v>
      </c>
    </row>
    <row r="77" spans="1:30">
      <c r="C77" s="15" t="s">
        <v>132</v>
      </c>
      <c r="D77" s="16" t="s">
        <v>92</v>
      </c>
      <c r="E77" s="16"/>
      <c r="F77" s="16"/>
      <c r="G77" s="106" t="str">
        <f t="shared" si="1"/>
        <v>2023–24</v>
      </c>
      <c r="H77" s="107">
        <f>IF(PPLastYear-PPFirstYear&lt;4,"",DATE(PPFirstYear+4,MONTH('Input|General'!$G$9),1))</f>
        <v>45444</v>
      </c>
    </row>
    <row r="78" spans="1:30">
      <c r="C78" s="15" t="s">
        <v>161</v>
      </c>
      <c r="D78" s="16" t="s">
        <v>92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133</v>
      </c>
      <c r="D79" s="16" t="s">
        <v>92</v>
      </c>
      <c r="E79" s="16"/>
      <c r="F79" s="16"/>
      <c r="G79" s="106" t="str">
        <f t="shared" si="1"/>
        <v>2024–25</v>
      </c>
      <c r="H79" s="107">
        <f>DATE(FPFirstYear,MONTH('Input|General'!$G$9),1)</f>
        <v>45809</v>
      </c>
      <c r="T79" s="17"/>
    </row>
    <row r="80" spans="1:30">
      <c r="C80" s="15" t="s">
        <v>134</v>
      </c>
      <c r="D80" s="16" t="s">
        <v>92</v>
      </c>
      <c r="E80" s="16"/>
      <c r="F80" s="16"/>
      <c r="G80" s="106" t="str">
        <f t="shared" si="1"/>
        <v>2025–26</v>
      </c>
      <c r="H80" s="107">
        <f>IF(FPLastYear-FPFirstYear&lt;1,"",DATE(FPFirstYear+1,MONTH('Input|General'!$G$9),1))</f>
        <v>46174</v>
      </c>
      <c r="T80" s="17"/>
    </row>
    <row r="81" spans="1:30">
      <c r="C81" s="15" t="s">
        <v>135</v>
      </c>
      <c r="D81" s="16" t="s">
        <v>92</v>
      </c>
      <c r="E81" s="16"/>
      <c r="F81" s="16"/>
      <c r="G81" s="106" t="str">
        <f t="shared" si="1"/>
        <v>2026–27</v>
      </c>
      <c r="H81" s="107">
        <f>IF(FPLastYear-FPFirstYear&lt;2,"",DATE(FPFirstYear+2,MONTH('Input|General'!$G$9),1))</f>
        <v>46539</v>
      </c>
      <c r="T81" s="17"/>
    </row>
    <row r="82" spans="1:30">
      <c r="C82" s="15" t="s">
        <v>136</v>
      </c>
      <c r="D82" s="16" t="s">
        <v>92</v>
      </c>
      <c r="E82" s="16"/>
      <c r="F82" s="16"/>
      <c r="G82" s="106" t="str">
        <f t="shared" si="1"/>
        <v>2027–28</v>
      </c>
      <c r="H82" s="107">
        <f>IF(FPLastYear-FPFirstYear&lt;3,"",DATE(FPFirstYear+3,MONTH('Input|General'!$G$9),1))</f>
        <v>46905</v>
      </c>
      <c r="T82" s="17"/>
    </row>
    <row r="83" spans="1:30">
      <c r="C83" s="15" t="s">
        <v>137</v>
      </c>
      <c r="D83" s="16" t="s">
        <v>92</v>
      </c>
      <c r="E83" s="16"/>
      <c r="F83" s="16"/>
      <c r="G83" s="106" t="str">
        <f>IF(H83="","",IF(MONTH(H83)=12,YEAR(H83),YEAR(H83)-1&amp;"–"&amp;RIGHT(YEAR(H83),2)))</f>
        <v>2028–29</v>
      </c>
      <c r="H83" s="107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2" sqref="G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6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07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207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07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0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07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0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0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Input|Dx Tx split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2024-04-22T06:20:30Z</dcterms:created>
  <dcterms:modified xsi:type="dcterms:W3CDTF">2024-04-22T06:20:50Z</dcterms:modified>
</cp:coreProperties>
</file>