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RIN/"/>
    </mc:Choice>
  </mc:AlternateContent>
  <xr:revisionPtr revIDLastSave="1" documentId="8_{DDD8518C-BA10-4FD1-A62A-714C9CA54E72}" xr6:coauthVersionLast="47" xr6:coauthVersionMax="47" xr10:uidLastSave="{9AEAF140-444B-4584-8DBD-E1EDD0C8F6C6}"/>
  <bookViews>
    <workbookView xWindow="-17220" yWindow="-16320" windowWidth="29040" windowHeight="1572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definedNames>
    <definedName name="dollars">'Lookup | Tables'!$E$7</definedName>
    <definedName name="factor">'Lookup | Tables'!#REF!</definedName>
    <definedName name="millions">'Lookup | Tables'!$E$9</definedName>
    <definedName name="Nominal_to_Real">#REF!</definedName>
    <definedName name="number">'Lookup | Tables'!#REF!</definedName>
    <definedName name="percent" localSheetId="5">#REF!</definedName>
    <definedName name="percent">'Lookup | Tables'!#REF!</definedName>
    <definedName name="thousands">'Lookup | Tables'!$E$8</definedName>
    <definedName name="unit">'Lookup | Tables'!#REF!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4" l="1"/>
  <c r="E44" i="4" s="1"/>
  <c r="F44" i="4" s="1"/>
  <c r="G44" i="4" s="1"/>
  <c r="H44" i="4" s="1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L22" i="13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D25" i="4"/>
  <c r="D27" i="4" s="1"/>
  <c r="M14" i="13"/>
  <c r="M22" i="13" s="1"/>
  <c r="E9" i="4"/>
  <c r="M9" i="13"/>
  <c r="N9" i="13" s="1"/>
  <c r="O9" i="13" s="1"/>
  <c r="P9" i="13" s="1"/>
  <c r="C15" i="13"/>
  <c r="G15" i="13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H15" i="13" l="1"/>
  <c r="E10" i="4" s="1"/>
  <c r="H24" i="3"/>
  <c r="D10" i="4"/>
  <c r="D12" i="4" s="1"/>
  <c r="G10" i="13"/>
  <c r="H10" i="13" s="1"/>
  <c r="I10" i="13" s="1"/>
  <c r="J10" i="13" s="1"/>
  <c r="K10" i="13" s="1"/>
  <c r="L10" i="13" s="1"/>
  <c r="I31" i="3" s="1"/>
  <c r="G11" i="4"/>
  <c r="F11" i="4"/>
  <c r="E11" i="4"/>
  <c r="F19" i="4"/>
  <c r="E19" i="4" s="1"/>
  <c r="D19" i="4" s="1"/>
  <c r="E25" i="4"/>
  <c r="E27" i="4" s="1"/>
  <c r="N14" i="13"/>
  <c r="B1" i="9"/>
  <c r="B1" i="5"/>
  <c r="B1" i="3"/>
  <c r="B1" i="13"/>
  <c r="B1" i="4"/>
  <c r="I15" i="13" l="1"/>
  <c r="I24" i="3"/>
  <c r="F13" i="4"/>
  <c r="G13" i="4"/>
  <c r="E13" i="4"/>
  <c r="E18" i="4" s="1"/>
  <c r="E21" i="4" s="1"/>
  <c r="H13" i="4"/>
  <c r="D21" i="4"/>
  <c r="D20" i="4"/>
  <c r="H31" i="3"/>
  <c r="E12" i="4"/>
  <c r="G14" i="4" s="1"/>
  <c r="N22" i="13"/>
  <c r="F25" i="4" s="1"/>
  <c r="F27" i="4" s="1"/>
  <c r="M10" i="13"/>
  <c r="N10" i="13" s="1"/>
  <c r="K31" i="3" s="1"/>
  <c r="O14" i="13"/>
  <c r="O22" i="13" s="1"/>
  <c r="J15" i="13" l="1"/>
  <c r="J24" i="3"/>
  <c r="F10" i="4"/>
  <c r="F12" i="4" s="1"/>
  <c r="F20" i="4" s="1"/>
  <c r="H14" i="4"/>
  <c r="E20" i="4"/>
  <c r="F14" i="4"/>
  <c r="F18" i="4" s="1"/>
  <c r="F21" i="4" s="1"/>
  <c r="J31" i="3"/>
  <c r="O10" i="13"/>
  <c r="P10" i="13" s="1"/>
  <c r="P14" i="13"/>
  <c r="G25" i="4"/>
  <c r="G27" i="4" s="1"/>
  <c r="H15" i="4" l="1"/>
  <c r="G15" i="4"/>
  <c r="G18" i="4" s="1"/>
  <c r="G21" i="4" s="1"/>
  <c r="K15" i="13"/>
  <c r="K24" i="3"/>
  <c r="G10" i="4"/>
  <c r="G12" i="4" s="1"/>
  <c r="P22" i="13"/>
  <c r="H25" i="4" s="1"/>
  <c r="H27" i="4" s="1"/>
  <c r="L31" i="3"/>
  <c r="L24" i="3" l="1"/>
  <c r="D32" i="4" s="1"/>
  <c r="D33" i="4" s="1"/>
  <c r="H10" i="4"/>
  <c r="H12" i="4" s="1"/>
  <c r="H20" i="4" s="1"/>
  <c r="L15" i="13"/>
  <c r="H32" i="3"/>
  <c r="D26" i="4" s="1"/>
  <c r="D28" i="4" s="1"/>
  <c r="G20" i="4"/>
  <c r="H16" i="4"/>
  <c r="H18" i="4" s="1"/>
  <c r="H21" i="4" s="1"/>
  <c r="D38" i="4" s="1"/>
  <c r="M15" i="13" l="1"/>
  <c r="I32" i="3"/>
  <c r="E26" i="4" s="1"/>
  <c r="E28" i="4" s="1"/>
  <c r="N15" i="13" l="1"/>
  <c r="J32" i="3"/>
  <c r="F26" i="4" s="1"/>
  <c r="F28" i="4" s="1"/>
  <c r="K32" i="3" l="1"/>
  <c r="G26" i="4" s="1"/>
  <c r="G28" i="4" s="1"/>
  <c r="O15" i="13"/>
  <c r="P15" i="13" l="1"/>
  <c r="L32" i="3"/>
  <c r="H26" i="4" s="1"/>
  <c r="H28" i="4" s="1"/>
  <c r="D35" i="4" s="1"/>
  <c r="D37" i="4" l="1"/>
  <c r="D39" i="4" s="1"/>
  <c r="D45" i="4" s="1"/>
  <c r="J8" i="10" l="1"/>
  <c r="E45" i="4"/>
  <c r="D36" i="4"/>
  <c r="F45" i="4" l="1"/>
  <c r="K8" i="10"/>
  <c r="G45" i="4" l="1"/>
  <c r="L8" i="10"/>
  <c r="H45" i="4" l="1"/>
  <c r="N8" i="10" s="1"/>
  <c r="M8" i="10"/>
  <c r="O8" i="10" l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<sst xmlns="http://schemas.openxmlformats.org/spreadsheetml/2006/main" count="276" uniqueCount="143">
  <si>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</si>
  <si>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</si>
  <si>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</si>
  <si>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</si>
  <si>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</si>
  <si>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</si>
  <si>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</si>
  <si>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</si>
  <si>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</si>
  <si>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</si>
  <si>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</si>
  <si>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</si>
  <si>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</si>
  <si>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</si>
  <si>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</si>
  <si>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</si>
  <si>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</si>
  <si>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</si>
  <si>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</si>
  <si>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 or calculation</t>
  </si>
  <si>
    <t>NSP Name</t>
  </si>
  <si>
    <t>SA Power Networks</t>
  </si>
  <si>
    <t>Determination stage</t>
  </si>
  <si>
    <t>Regulatory proposal</t>
  </si>
  <si>
    <t>Determination years</t>
  </si>
  <si>
    <t>2025-30</t>
  </si>
  <si>
    <t>Draft decision</t>
  </si>
  <si>
    <t>First year of regulatory period</t>
  </si>
  <si>
    <t>2025-26</t>
  </si>
  <si>
    <t>Revised proposal</t>
  </si>
  <si>
    <t>Final decision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</si>
  <si>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</si>
  <si>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</si>
  <si>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</si>
  <si>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</si>
  <si>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</si>
  <si>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</si>
  <si>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</si>
  <si>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</si>
  <si>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</si>
  <si>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</si>
  <si>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</si>
  <si>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</si>
  <si>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</si>
  <si>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</si>
  <si>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</si>
  <si>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</si>
  <si>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</si>
  <si>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</si>
  <si>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</si>
  <si>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</si>
  <si>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</si>
  <si>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</si>
  <si>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</si>
  <si>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</si>
  <si>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DNSP/AER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</si>
  <si>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</si>
  <si>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</si>
  <si>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</si>
  <si>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</si>
  <si>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</si>
  <si>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</si>
  <si>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(includes customer contributions)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</si>
  <si>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</si>
  <si>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</si>
  <si>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</si>
  <si>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</si>
  <si>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</si>
  <si>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 (includes customer contributions)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</si>
  <si>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</si>
  <si>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</si>
  <si>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</si>
  <si>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</si>
  <si>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</si>
  <si>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</si>
  <si>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</si>
  <si>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</si>
  <si>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</si>
  <si>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</si>
  <si>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</si>
  <si>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</si>
  <si>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</si>
  <si>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</si>
  <si>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</si>
  <si>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</si>
  <si>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</si>
  <si>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</si>
  <si>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</si>
  <si>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</si>
  <si>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</si>
  <si>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</si>
  <si>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</si>
  <si>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</si>
  <si>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</si>
  <si>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</si>
  <si>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</si>
  <si>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</si>
  <si>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</si>
  <si>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Forecast capex</t>
  </si>
  <si>
    <t>Underspend or Overspend, %</t>
  </si>
  <si>
    <t>Relevant sharing ratio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</si>
  <si>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</si>
  <si>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</si>
  <si>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</si>
  <si>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</si>
  <si>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</si>
  <si>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</si>
  <si>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</si>
  <si>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</si>
  <si>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2024-25</t>
  </si>
  <si>
    <t>Note. The dollar base should be consistent with the post tax revenue model</t>
  </si>
  <si>
    <t>Revenue Adjustments</t>
  </si>
  <si>
    <t>Total</t>
  </si>
  <si>
    <t>CESS increments as per NER 6.4.3(a)(5)</t>
  </si>
  <si>
    <t>Internal Link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</si>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</sst>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&quot;$&quot;#,##0.000000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8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Alignment="1" applyProtection="1">
      <alignment horizont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195" fontId="24" fillId="55" borderId="2" xfId="0" applyNumberFormat="1" applyFont="1" applyFill="1" applyBorder="1" applyAlignment="1">
      <alignment horizontal="right" vertical="center"/>
    </xf>
    <xf numFmtId="195" fontId="24" fillId="55" borderId="39" xfId="0" applyNumberFormat="1" applyFont="1" applyFill="1" applyBorder="1" applyAlignment="1">
      <alignment horizontal="right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tabSelected="1" zoomScaleNormal="10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SA Power Networks 2025-30 Regulatory proposal - Capital expenditure sharing scheme model</v>
      </c>
      <c r="D1" s="4"/>
      <c r="E1" s="4"/>
    </row>
    <row r="2" spans="2:13" ht="18" customHeight="1">
      <c r="B2" s="28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103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103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103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103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103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103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F20" sqref="F20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SA Power Networks 2025-30 Regulatory proposal - Capital expenditure sharing scheme model</v>
      </c>
      <c r="F1" s="99"/>
      <c r="G1" s="100" t="s">
        <v>17</v>
      </c>
      <c r="H1" s="136" t="s">
        <v>18</v>
      </c>
      <c r="I1" s="174" t="s">
        <v>19</v>
      </c>
      <c r="M1" s="101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71" customFormat="1" ht="11.25" customHeight="1">
      <c r="C6" s="70" t="s">
        <v>20</v>
      </c>
      <c r="D6" s="137" t="s">
        <v>21</v>
      </c>
      <c r="J6" s="80"/>
      <c r="K6" s="80"/>
      <c r="L6" s="80"/>
      <c r="M6" s="80"/>
    </row>
    <row r="7" spans="1:13" s="71" customFormat="1" ht="11.25" customHeight="1">
      <c r="C7" s="70" t="s">
        <v>22</v>
      </c>
      <c r="D7" s="137" t="s">
        <v>23</v>
      </c>
      <c r="I7" s="80"/>
      <c r="J7" s="175" t="s">
        <v>23</v>
      </c>
      <c r="K7" s="80"/>
      <c r="L7" s="80"/>
    </row>
    <row r="8" spans="1:13" s="71" customFormat="1" ht="11.25" customHeight="1">
      <c r="C8" s="70" t="s">
        <v>24</v>
      </c>
      <c r="D8" s="137" t="s">
        <v>25</v>
      </c>
      <c r="J8" s="175" t="s">
        <v>26</v>
      </c>
      <c r="K8" s="80"/>
      <c r="L8" s="80"/>
      <c r="M8" s="80"/>
    </row>
    <row r="9" spans="1:13" s="71" customFormat="1" ht="11.25" customHeight="1">
      <c r="C9" s="70" t="s">
        <v>27</v>
      </c>
      <c r="D9" s="155" t="s">
        <v>28</v>
      </c>
      <c r="J9" s="175" t="s">
        <v>29</v>
      </c>
      <c r="K9" s="80"/>
      <c r="L9" s="80"/>
      <c r="M9" s="80"/>
    </row>
    <row r="10" spans="1:13" s="71" customFormat="1" ht="11.25" customHeight="1">
      <c r="C10" s="70"/>
      <c r="J10" s="175" t="s">
        <v>30</v>
      </c>
      <c r="K10" s="80"/>
      <c r="L10" s="80"/>
      <c r="M10" s="80"/>
    </row>
    <row r="11" spans="1:13" s="71" customFormat="1" ht="11.25" customHeight="1">
      <c r="C11" s="90" t="s">
        <v>31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32</v>
      </c>
      <c r="E12" s="72" t="s">
        <v>33</v>
      </c>
      <c r="F12" s="72" t="s">
        <v>34</v>
      </c>
      <c r="G12" s="72" t="s">
        <v>35</v>
      </c>
      <c r="H12" s="72" t="s">
        <v>36</v>
      </c>
      <c r="J12" s="80"/>
      <c r="K12" s="80"/>
      <c r="L12" s="80"/>
      <c r="M12" s="80"/>
    </row>
    <row r="13" spans="1:13" s="71" customFormat="1" ht="11.25" customHeight="1">
      <c r="C13" s="70" t="s">
        <v>37</v>
      </c>
      <c r="D13" s="156" t="str">
        <f t="shared" ref="D13:F13" si="0">IF(LEN(E13)&gt;4,CONCATENATE(LEFT(E13,4)-1&amp;"–"&amp;IF(RIGHT(E13,2)="00","99",IF(RIGHT(E13,2)-1&lt;10,"0","")&amp;RIGHT(E13,2)-1)),E13-1)</f>
        <v>2020–21</v>
      </c>
      <c r="E13" s="156" t="str">
        <f t="shared" si="0"/>
        <v>2021–22</v>
      </c>
      <c r="F13" s="156" t="str">
        <f t="shared" si="0"/>
        <v>2022–23</v>
      </c>
      <c r="G13" s="156" t="str">
        <f>IF(LEN(H13)&gt;4,CONCATENATE(LEFT(H13,4)-1&amp;"–"&amp;IF(RIGHT(H13,2)="00","99",IF(RIGHT(H13,2)-1&lt;10,"0","")&amp;RIGHT(H13,2)-1)),H13-1)</f>
        <v>2023–24</v>
      </c>
      <c r="H13" s="156" t="str">
        <f>IF(LEN(D9)&gt;4,CONCATENATE(LEFT(D9,4)-1&amp;"–"&amp;IF(RIGHT(D9,2)="00","99",IF(RIGHT(D9,2)-1&lt;10,"0","")&amp;RIGHT(D9,2)-1)),D9-1)</f>
        <v>2024–25</v>
      </c>
      <c r="J13" s="80"/>
      <c r="K13" s="80"/>
      <c r="L13" s="80"/>
      <c r="M13" s="80"/>
    </row>
    <row r="14" spans="1:13" s="71" customFormat="1" ht="11.25" customHeight="1">
      <c r="C14" s="70" t="s">
        <v>38</v>
      </c>
      <c r="D14" s="137" t="s">
        <v>39</v>
      </c>
      <c r="E14" s="137" t="s">
        <v>39</v>
      </c>
      <c r="F14" s="137" t="s">
        <v>39</v>
      </c>
      <c r="G14" s="137" t="s">
        <v>39</v>
      </c>
      <c r="H14" s="137" t="s">
        <v>39</v>
      </c>
      <c r="J14" s="80"/>
      <c r="K14" s="80"/>
      <c r="L14" s="80"/>
      <c r="M14" s="80"/>
    </row>
    <row r="15" spans="1:13" s="71" customFormat="1" ht="11.25" customHeight="1">
      <c r="C15" s="70" t="s">
        <v>40</v>
      </c>
      <c r="D15" s="137" t="s">
        <v>41</v>
      </c>
      <c r="E15" s="137" t="s">
        <v>41</v>
      </c>
      <c r="F15" s="137" t="s">
        <v>41</v>
      </c>
      <c r="G15" s="137" t="s">
        <v>42</v>
      </c>
      <c r="H15" s="137" t="s">
        <v>42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32</v>
      </c>
      <c r="E17" s="72" t="s">
        <v>33</v>
      </c>
      <c r="F17" s="72" t="s">
        <v>34</v>
      </c>
      <c r="G17" s="72" t="s">
        <v>35</v>
      </c>
      <c r="H17" s="72" t="s">
        <v>36</v>
      </c>
      <c r="J17" s="80"/>
      <c r="K17" s="80"/>
      <c r="L17" s="80"/>
      <c r="M17" s="80"/>
    </row>
    <row r="18" spans="1:13" s="71" customFormat="1" ht="11.25" customHeight="1">
      <c r="C18" s="70" t="s">
        <v>43</v>
      </c>
      <c r="D18" s="156" t="str">
        <f>D9</f>
        <v>2025-26</v>
      </c>
      <c r="E18" s="156" t="str">
        <f>IF(LEN(D18)&gt;4,CONCATENATE(LEFT(D18,4)+1&amp;"–"&amp;IF(RIGHT(D18,2)+1&gt;9,"","0")&amp;RIGHT(D18,2)+1),D18+1)</f>
        <v>2026–27</v>
      </c>
      <c r="F18" s="156" t="str">
        <f t="shared" ref="F18:H18" si="1">IF(LEN(E18)&gt;4,CONCATENATE(LEFT(E18,4)+1&amp;"–"&amp;IF(RIGHT(E18,2)+1&gt;9,"","0")&amp;RIGHT(E18,2)+1),E18+1)</f>
        <v>2027–28</v>
      </c>
      <c r="G18" s="156" t="str">
        <f t="shared" si="1"/>
        <v>2028–29</v>
      </c>
      <c r="H18" s="156" t="str">
        <f t="shared" si="1"/>
        <v>2029–30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16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L21" sqref="L21:P21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SA Power Networks 2025-30 Regulatory proposal - Capital expenditure sharing scheme model</v>
      </c>
      <c r="D1" s="3"/>
      <c r="E1" s="3"/>
      <c r="F1" s="3"/>
      <c r="G1" s="99"/>
      <c r="H1" s="100" t="s">
        <v>17</v>
      </c>
      <c r="I1" s="136" t="s">
        <v>18</v>
      </c>
      <c r="J1" s="174" t="s">
        <v>19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44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46</v>
      </c>
      <c r="E6" s="76" t="s">
        <v>47</v>
      </c>
      <c r="F6" s="76"/>
      <c r="N6" s="2"/>
    </row>
    <row r="7" spans="1:20" ht="11.25" customHeight="1">
      <c r="A7" s="2"/>
      <c r="B7" s="2"/>
      <c r="C7" s="13"/>
      <c r="D7" s="80"/>
      <c r="E7" s="80"/>
      <c r="F7" s="153" t="str">
        <f>IF(LEN(G7)&gt;4,CONCATENATE(LEFT(G7,4)-1&amp;"–"&amp;IF(RIGHT(G7,2)="00","99",IF(RIGHT(G7,2)-1&lt;10,"0","")&amp;RIGHT(G7,2)-1)),G7-1)</f>
        <v>2019–20</v>
      </c>
      <c r="G7" s="154" t="str">
        <f>'Input | General'!D13</f>
        <v>2020–21</v>
      </c>
      <c r="H7" s="154" t="str">
        <f>'Input | General'!E13</f>
        <v>2021–22</v>
      </c>
      <c r="I7" s="154" t="str">
        <f>'Input | General'!F13</f>
        <v>2022–23</v>
      </c>
      <c r="J7" s="154" t="str">
        <f>'Input | General'!G13</f>
        <v>2023–24</v>
      </c>
      <c r="K7" s="154" t="str">
        <f>'Input | General'!H13</f>
        <v>2024–25</v>
      </c>
      <c r="L7" s="154" t="str">
        <f>'Input | General'!D18</f>
        <v>2025-26</v>
      </c>
      <c r="M7" s="154" t="str">
        <f>'Input | General'!E18</f>
        <v>2026–27</v>
      </c>
      <c r="N7" s="154" t="str">
        <f>'Input | General'!F18</f>
        <v>2027–28</v>
      </c>
      <c r="O7" s="154" t="str">
        <f>'Input | General'!G18</f>
        <v>2028–29</v>
      </c>
      <c r="P7" s="154" t="str">
        <f>'Input | General'!H18</f>
        <v>2029–30</v>
      </c>
    </row>
    <row r="8" spans="1:20" ht="11.25" customHeight="1">
      <c r="A8" s="2"/>
      <c r="B8" s="2"/>
      <c r="C8" s="81" t="s">
        <v>48</v>
      </c>
      <c r="D8" s="79" t="s">
        <v>49</v>
      </c>
      <c r="E8" s="79" t="s">
        <v>50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4.1000000000000002E-2</v>
      </c>
      <c r="K8" s="138">
        <v>3.3000000000000002E-2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51</v>
      </c>
      <c r="D9" s="79" t="s">
        <v>49</v>
      </c>
      <c r="E9" s="79" t="s">
        <v>50</v>
      </c>
      <c r="F9" s="79"/>
      <c r="G9" s="119"/>
      <c r="H9" s="119"/>
      <c r="I9" s="119"/>
      <c r="J9" s="119"/>
      <c r="K9" s="119"/>
      <c r="L9" s="138">
        <v>2.5000000000000001E-2</v>
      </c>
      <c r="M9" s="157">
        <f t="shared" ref="M9:P9" si="0">L9</f>
        <v>2.5000000000000001E-2</v>
      </c>
      <c r="N9" s="157">
        <f t="shared" si="0"/>
        <v>2.5000000000000001E-2</v>
      </c>
      <c r="O9" s="157">
        <f t="shared" si="0"/>
        <v>2.5000000000000001E-2</v>
      </c>
      <c r="P9" s="157">
        <f t="shared" si="0"/>
        <v>2.5000000000000001E-2</v>
      </c>
    </row>
    <row r="10" spans="1:20" ht="11.25" customHeight="1">
      <c r="A10" s="2"/>
      <c r="B10" s="2"/>
      <c r="C10" s="125" t="str">
        <f>"CPI Index (base year "&amp;F7&amp;")"</f>
        <v>CPI Index (base year 2019–20)</v>
      </c>
      <c r="D10" s="79" t="s">
        <v>49</v>
      </c>
      <c r="E10" s="79" t="s">
        <v>0</v>
      </c>
      <c r="F10" s="159">
        <v>1</v>
      </c>
      <c r="G10" s="160">
        <f>IF(G7&lt;&gt;"",(F10*(1+G8)),"")</f>
        <v>1.0086058519793459</v>
      </c>
      <c r="H10" s="160">
        <f>IF(H7&lt;&gt;"",(G10*(1+H8)),"")</f>
        <v>1.0438898450946643</v>
      </c>
      <c r="I10" s="160">
        <f>IF(I7&lt;&gt;"",(H10*(1+I8)),"")</f>
        <v>1.1256454388984509</v>
      </c>
      <c r="J10" s="160">
        <f>IF(J7&lt;&gt;"",(I10*(1+J8)),"")</f>
        <v>1.1717969018932872</v>
      </c>
      <c r="K10" s="160">
        <f>IF(K7&lt;&gt;"",(J10*(1+K8)),"")</f>
        <v>1.2104661996557655</v>
      </c>
      <c r="L10" s="160">
        <f t="shared" ref="L10:P10" si="1">IF(L7&lt;&gt;"",(K10*(1+L9)),"")</f>
        <v>1.2407278546471596</v>
      </c>
      <c r="M10" s="160">
        <f t="shared" si="1"/>
        <v>1.2717460510133385</v>
      </c>
      <c r="N10" s="160">
        <f t="shared" si="1"/>
        <v>1.3035397022886719</v>
      </c>
      <c r="O10" s="160">
        <f t="shared" si="1"/>
        <v>1.3361281948458885</v>
      </c>
      <c r="P10" s="160">
        <f t="shared" si="1"/>
        <v>1.3695313997170355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48</v>
      </c>
      <c r="D13" s="79" t="s">
        <v>52</v>
      </c>
      <c r="E13" s="79" t="s">
        <v>50</v>
      </c>
      <c r="F13" s="79"/>
      <c r="G13" s="138">
        <v>8.6058519793459354E-3</v>
      </c>
      <c r="H13" s="138">
        <v>3.4982935153583528E-2</v>
      </c>
      <c r="I13" s="138">
        <v>7.8318219291014124E-2</v>
      </c>
      <c r="J13" s="138">
        <v>4.1000000000000002E-2</v>
      </c>
      <c r="K13" s="138">
        <v>3.3000000000000002E-2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51</v>
      </c>
      <c r="D14" s="79" t="s">
        <v>52</v>
      </c>
      <c r="E14" s="79" t="s">
        <v>50</v>
      </c>
      <c r="F14" s="79"/>
      <c r="G14" s="88"/>
      <c r="H14" s="88"/>
      <c r="I14" s="88"/>
      <c r="J14" s="88"/>
      <c r="K14" s="88"/>
      <c r="L14" s="138">
        <v>2.5000000000000001E-2</v>
      </c>
      <c r="M14" s="157">
        <f t="shared" ref="M14:P14" si="2">L14</f>
        <v>2.5000000000000001E-2</v>
      </c>
      <c r="N14" s="157">
        <f t="shared" si="2"/>
        <v>2.5000000000000001E-2</v>
      </c>
      <c r="O14" s="157">
        <f t="shared" si="2"/>
        <v>2.5000000000000001E-2</v>
      </c>
      <c r="P14" s="157">
        <f t="shared" si="2"/>
        <v>2.5000000000000001E-2</v>
      </c>
    </row>
    <row r="15" spans="1:20" ht="11.25" customHeight="1">
      <c r="A15" s="2"/>
      <c r="B15" s="2"/>
      <c r="C15" s="125" t="str">
        <f>"CPI Index (base year "&amp;F7&amp;")"</f>
        <v>CPI Index (base year 2019–20)</v>
      </c>
      <c r="D15" s="79" t="s">
        <v>52</v>
      </c>
      <c r="E15" s="79" t="s">
        <v>0</v>
      </c>
      <c r="F15" s="159">
        <v>1</v>
      </c>
      <c r="G15" s="160">
        <f>IF(G7&lt;&gt;"",(F15*(1+G13)),"")</f>
        <v>1.0086058519793459</v>
      </c>
      <c r="H15" s="160">
        <f>IF(H7&lt;&gt;"",(G15*(1+H13)),"")</f>
        <v>1.0438898450946643</v>
      </c>
      <c r="I15" s="160">
        <f>IF(I7&lt;&gt;"",(H15*(1+I13)),"")</f>
        <v>1.1256454388984509</v>
      </c>
      <c r="J15" s="160">
        <f>IF(J7&lt;&gt;"",(I15*(1+J13)),"")</f>
        <v>1.1717969018932872</v>
      </c>
      <c r="K15" s="160">
        <f>IF(K7&lt;&gt;"",(J15*(1+K13)),"")</f>
        <v>1.2104661996557655</v>
      </c>
      <c r="L15" s="160">
        <f t="shared" ref="L15:P15" si="3">IF(L7&lt;&gt;"",(K15*(1+L14)),"")</f>
        <v>1.2407278546471596</v>
      </c>
      <c r="M15" s="160">
        <f t="shared" si="3"/>
        <v>1.2717460510133385</v>
      </c>
      <c r="N15" s="160">
        <f t="shared" si="3"/>
        <v>1.3035397022886719</v>
      </c>
      <c r="O15" s="160">
        <f t="shared" si="3"/>
        <v>1.3361281948458885</v>
      </c>
      <c r="P15" s="160">
        <f t="shared" si="3"/>
        <v>1.3695313997170355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53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46</v>
      </c>
      <c r="E19" s="76" t="s">
        <v>47</v>
      </c>
      <c r="F19" s="80"/>
      <c r="G19" s="87" t="str">
        <f>G7</f>
        <v>2020–21</v>
      </c>
      <c r="H19" s="87" t="str">
        <f t="shared" ref="H19:P19" si="4">H7</f>
        <v>2021–22</v>
      </c>
      <c r="I19" s="87" t="str">
        <f t="shared" si="4"/>
        <v>2022–23</v>
      </c>
      <c r="J19" s="87" t="str">
        <f t="shared" si="4"/>
        <v>2023–24</v>
      </c>
      <c r="K19" s="87" t="str">
        <f t="shared" si="4"/>
        <v>2024–25</v>
      </c>
      <c r="L19" s="87" t="str">
        <f t="shared" si="4"/>
        <v>2025-26</v>
      </c>
      <c r="M19" s="87" t="str">
        <f t="shared" si="4"/>
        <v>2026–27</v>
      </c>
      <c r="N19" s="87" t="str">
        <f t="shared" si="4"/>
        <v>2027–28</v>
      </c>
      <c r="O19" s="87" t="str">
        <f t="shared" si="4"/>
        <v>2028–29</v>
      </c>
      <c r="P19" s="87" t="str">
        <f t="shared" si="4"/>
        <v>2029–30</v>
      </c>
    </row>
    <row r="20" spans="1:16" ht="11.25" customHeight="1">
      <c r="C20" s="81" t="s">
        <v>54</v>
      </c>
      <c r="D20" s="79" t="s">
        <v>55</v>
      </c>
      <c r="E20" s="79" t="s">
        <v>50</v>
      </c>
      <c r="F20" s="80"/>
      <c r="G20" s="138">
        <v>2.4166123692419772E-2</v>
      </c>
      <c r="H20" s="138">
        <v>2.2405149377671484E-2</v>
      </c>
      <c r="I20" s="138">
        <v>2.1622476556407522E-2</v>
      </c>
      <c r="J20" s="138">
        <v>2.2220313702952722E-2</v>
      </c>
      <c r="K20" s="138">
        <v>2.2816943674785595E-2</v>
      </c>
      <c r="L20" s="88"/>
      <c r="M20" s="88"/>
      <c r="N20" s="88"/>
      <c r="O20" s="88"/>
      <c r="P20" s="88"/>
    </row>
    <row r="21" spans="1:16" ht="11.25" customHeight="1">
      <c r="C21" s="133" t="s">
        <v>56</v>
      </c>
      <c r="D21" s="79" t="s">
        <v>55</v>
      </c>
      <c r="E21" s="79" t="s">
        <v>50</v>
      </c>
      <c r="F21" s="80"/>
      <c r="G21" s="80"/>
      <c r="H21" s="80"/>
      <c r="I21" s="80"/>
      <c r="J21" s="80"/>
      <c r="K21" s="80"/>
      <c r="L21" s="138">
        <v>3.4546040512657153E-2</v>
      </c>
      <c r="M21" s="138">
        <v>3.4982294907280442E-2</v>
      </c>
      <c r="N21" s="138">
        <v>3.5678736926112814E-2</v>
      </c>
      <c r="O21" s="138">
        <v>3.6727697328542336E-2</v>
      </c>
      <c r="P21" s="138">
        <v>3.7747089741789572E-2</v>
      </c>
    </row>
    <row r="22" spans="1:16" ht="11.25" customHeight="1">
      <c r="C22" s="81" t="s">
        <v>57</v>
      </c>
      <c r="D22" s="79" t="s">
        <v>58</v>
      </c>
      <c r="E22" s="79" t="s">
        <v>50</v>
      </c>
      <c r="F22" s="80"/>
      <c r="G22" s="158">
        <f>IF(AND(G13&lt;&gt;"",G20&lt;&gt;""),((1+G20)*(1+G13)-1),"")</f>
        <v>3.2979945755177154E-2</v>
      </c>
      <c r="H22" s="158">
        <f>IF(AND(H13&lt;&gt;"",H20&lt;&gt;""),((1+H20)*(1+H13)-1),"")</f>
        <v>5.8171882419040477E-2</v>
      </c>
      <c r="I22" s="158">
        <f>IF(AND(I13&lt;&gt;"",I20&lt;&gt;""),((1+I20)*(1+I13)-1),"")</f>
        <v>0.10163412970798102</v>
      </c>
      <c r="J22" s="158">
        <f>IF(AND(J13&lt;&gt;"",J20&lt;&gt;""),((1+J20)*(1+J13)-1),"")</f>
        <v>6.4131346564773706E-2</v>
      </c>
      <c r="K22" s="158">
        <f>IF(AND(K13&lt;&gt;"",K20&lt;&gt;""),((1+K20)*(1+K13)-1),"")</f>
        <v>5.6569902816053341E-2</v>
      </c>
      <c r="L22" s="158">
        <f>IF(AND(L14&lt;&gt;"",L21&lt;&gt;""),((1+L21)*(1+L14)-1),"")</f>
        <v>6.0409691525473486E-2</v>
      </c>
      <c r="M22" s="158">
        <f t="shared" ref="M22:P22" si="5">IF(AND(M14&lt;&gt;"",M21&lt;&gt;""),((1+M21)*(1+M14)-1),"")</f>
        <v>6.0856852279962403E-2</v>
      </c>
      <c r="N22" s="158">
        <f t="shared" si="5"/>
        <v>6.1570705349265564E-2</v>
      </c>
      <c r="O22" s="158">
        <f t="shared" si="5"/>
        <v>6.2645889761755891E-2</v>
      </c>
      <c r="P22" s="158">
        <f t="shared" si="5"/>
        <v>6.3690766985334157E-2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16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H30" sqref="H30:J3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SA Power Networks 2025-30 Regulatory proposal - Capital expenditure sharing scheme model</v>
      </c>
      <c r="D1" s="3"/>
      <c r="E1" s="3"/>
      <c r="F1" s="3"/>
      <c r="G1" s="3"/>
      <c r="H1" s="99"/>
      <c r="I1" s="100" t="s">
        <v>17</v>
      </c>
      <c r="J1" s="136" t="s">
        <v>18</v>
      </c>
      <c r="K1" s="174" t="s">
        <v>19</v>
      </c>
      <c r="L1" s="80"/>
    </row>
    <row r="2" spans="2:14" ht="18" customHeight="1">
      <c r="B2" s="10" t="s">
        <v>59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46</v>
      </c>
      <c r="E6" s="76" t="s">
        <v>47</v>
      </c>
      <c r="F6" s="76" t="s">
        <v>61</v>
      </c>
      <c r="G6" s="65"/>
      <c r="H6" s="87" t="str">
        <f>IF('Input | General'!D14="Yes",'Input | General'!D13,"n/a")</f>
        <v>2020–21</v>
      </c>
      <c r="I6" s="87" t="str">
        <f>IF('Input | General'!E14="Yes",'Input | General'!E13,"n/a")</f>
        <v>2021–22</v>
      </c>
      <c r="J6" s="87" t="str">
        <f>IF('Input | General'!F14="Yes",'Input | General'!F13,"n/a")</f>
        <v>2022–23</v>
      </c>
      <c r="K6" s="87" t="str">
        <f>IF('Input | General'!G14="Yes",'Input | General'!G13,"n/a")</f>
        <v>2023–24</v>
      </c>
      <c r="L6" s="87" t="str">
        <f>IF('Input | General'!H14="Yes",'Input | General'!H13,"n/a")</f>
        <v>2024–25</v>
      </c>
    </row>
    <row r="7" spans="2:14" s="69" customFormat="1" ht="10.5" customHeight="1"/>
    <row r="8" spans="2:14" ht="10.5" customHeight="1">
      <c r="C8" s="81" t="s">
        <v>62</v>
      </c>
      <c r="D8" s="79" t="s">
        <v>52</v>
      </c>
      <c r="E8" s="79" t="s">
        <v>63</v>
      </c>
      <c r="F8" s="79" t="str">
        <f>'Input | Inflation and Disc Rate'!$F$7</f>
        <v>2019–20</v>
      </c>
      <c r="G8" s="69"/>
      <c r="H8" s="139">
        <v>412.37704989536059</v>
      </c>
      <c r="I8" s="139">
        <v>411.16973503897822</v>
      </c>
      <c r="J8" s="139">
        <v>407.08663907368634</v>
      </c>
      <c r="K8" s="139">
        <v>399.50145467670512</v>
      </c>
      <c r="L8" s="139">
        <v>377.51632105029068</v>
      </c>
    </row>
    <row r="9" spans="2:14" ht="10.5" customHeight="1">
      <c r="C9" s="81" t="s">
        <v>64</v>
      </c>
      <c r="D9" s="79" t="s">
        <v>52</v>
      </c>
      <c r="E9" s="79" t="s">
        <v>63</v>
      </c>
      <c r="F9" s="79" t="str">
        <f>'Input | Inflation and Disc Rate'!$F$7</f>
        <v>2019–20</v>
      </c>
      <c r="G9" s="69"/>
      <c r="H9" s="139">
        <v>70.572005920245957</v>
      </c>
      <c r="I9" s="139">
        <v>71.473163908104709</v>
      </c>
      <c r="J9" s="139">
        <v>76.601329458596069</v>
      </c>
      <c r="K9" s="139">
        <v>72.974841015280759</v>
      </c>
      <c r="L9" s="139">
        <v>71.035689040122591</v>
      </c>
    </row>
    <row r="10" spans="2:14" ht="10.5" customHeight="1">
      <c r="C10" s="81" t="s">
        <v>65</v>
      </c>
      <c r="D10" s="79" t="s">
        <v>52</v>
      </c>
      <c r="E10" s="79" t="s">
        <v>63</v>
      </c>
      <c r="F10" s="79" t="str">
        <f>'Input | Inflation and Disc Rate'!$F$7</f>
        <v>2019–20</v>
      </c>
      <c r="G10" s="69"/>
      <c r="H10" s="139">
        <v>2.3375000000000004</v>
      </c>
      <c r="I10" s="139">
        <v>3.2629999999999999</v>
      </c>
      <c r="J10" s="139">
        <v>5.4554999999999998</v>
      </c>
      <c r="K10" s="139">
        <v>4.4710000000000001</v>
      </c>
      <c r="L10" s="139">
        <v>3.1315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66</v>
      </c>
      <c r="D12" s="77" t="s">
        <v>58</v>
      </c>
      <c r="E12" s="173" t="s">
        <v>63</v>
      </c>
      <c r="F12" s="163" t="str">
        <f>'Input | Inflation and Disc Rate'!$F$7</f>
        <v>2019–20</v>
      </c>
      <c r="G12" s="69"/>
      <c r="H12" s="161">
        <f>IF(H6="", "", H8-H9-H10)</f>
        <v>339.46754397511467</v>
      </c>
      <c r="I12" s="161">
        <f t="shared" ref="I12:L12" si="0">IF(I6="", "", I8-I9-I10)</f>
        <v>336.43357113087353</v>
      </c>
      <c r="J12" s="161">
        <f t="shared" si="0"/>
        <v>325.0298096150903</v>
      </c>
      <c r="K12" s="161">
        <f t="shared" si="0"/>
        <v>322.05561366142433</v>
      </c>
      <c r="L12" s="161">
        <f t="shared" si="0"/>
        <v>303.34913201016809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67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46</v>
      </c>
      <c r="E16" s="76" t="s">
        <v>47</v>
      </c>
      <c r="F16" s="76" t="s">
        <v>61</v>
      </c>
      <c r="G16" s="65"/>
      <c r="H16" s="87" t="str">
        <f>H6</f>
        <v>2020–21</v>
      </c>
      <c r="I16" s="87" t="str">
        <f t="shared" ref="I16:L16" si="1">I6</f>
        <v>2021–22</v>
      </c>
      <c r="J16" s="87" t="str">
        <f t="shared" si="1"/>
        <v>2022–23</v>
      </c>
      <c r="K16" s="87" t="str">
        <f t="shared" si="1"/>
        <v>2023–24</v>
      </c>
      <c r="L16" s="87" t="str">
        <f t="shared" si="1"/>
        <v>2024–25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68</v>
      </c>
      <c r="D18" s="79" t="s">
        <v>52</v>
      </c>
      <c r="E18" s="79" t="s">
        <v>63</v>
      </c>
      <c r="F18" s="79" t="s">
        <v>69</v>
      </c>
      <c r="G18" s="69"/>
      <c r="H18" s="139">
        <v>392.07770604365498</v>
      </c>
      <c r="I18" s="139">
        <v>400.89202417799783</v>
      </c>
      <c r="J18" s="139">
        <v>467.80934279485706</v>
      </c>
      <c r="K18" s="139">
        <v>474.27265406789098</v>
      </c>
      <c r="L18" s="139">
        <v>472.91567272630709</v>
      </c>
    </row>
    <row r="19" spans="2:14" ht="10.5" customHeight="1">
      <c r="B19" s="74"/>
      <c r="C19" s="81" t="s">
        <v>64</v>
      </c>
      <c r="D19" s="79" t="s">
        <v>52</v>
      </c>
      <c r="E19" s="79" t="s">
        <v>63</v>
      </c>
      <c r="F19" s="79" t="s">
        <v>69</v>
      </c>
      <c r="G19" s="69"/>
      <c r="H19" s="139">
        <v>77.20044093213771</v>
      </c>
      <c r="I19" s="139">
        <v>72.033171494242438</v>
      </c>
      <c r="J19" s="139">
        <v>78.728523471830925</v>
      </c>
      <c r="K19" s="139">
        <v>92.756550127616009</v>
      </c>
      <c r="L19" s="139">
        <v>89.433743919953656</v>
      </c>
    </row>
    <row r="20" spans="2:14" ht="10.5" customHeight="1">
      <c r="B20" s="74"/>
      <c r="C20" s="126" t="s">
        <v>65</v>
      </c>
      <c r="D20" s="79" t="s">
        <v>52</v>
      </c>
      <c r="E20" s="79" t="s">
        <v>63</v>
      </c>
      <c r="F20" s="79" t="s">
        <v>69</v>
      </c>
      <c r="G20" s="127"/>
      <c r="H20" s="140">
        <v>2.9489332700000004</v>
      </c>
      <c r="I20" s="139">
        <v>3.2970864300000002</v>
      </c>
      <c r="J20" s="139">
        <v>8.6416208800000014</v>
      </c>
      <c r="K20" s="139">
        <v>3.6908801933333342</v>
      </c>
      <c r="L20" s="139">
        <v>3.6908801933333342</v>
      </c>
    </row>
    <row r="21" spans="2:14" ht="10.5" customHeight="1">
      <c r="B21" s="74"/>
      <c r="C21" s="135" t="s">
        <v>70</v>
      </c>
      <c r="D21" s="79" t="s">
        <v>52</v>
      </c>
      <c r="E21" s="79" t="s">
        <v>63</v>
      </c>
      <c r="F21" s="79" t="s">
        <v>69</v>
      </c>
      <c r="G21" s="127"/>
      <c r="H21" s="140"/>
      <c r="I21" s="139"/>
      <c r="J21" s="139"/>
      <c r="K21" s="139"/>
      <c r="L21" s="139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71</v>
      </c>
      <c r="D23" s="77" t="s">
        <v>58</v>
      </c>
      <c r="E23" s="173" t="s">
        <v>63</v>
      </c>
      <c r="F23" s="173" t="s">
        <v>69</v>
      </c>
      <c r="G23" s="69"/>
      <c r="H23" s="161">
        <f>IF(H16="", "", H18-H19-H20-H21)</f>
        <v>311.92833184151726</v>
      </c>
      <c r="I23" s="161">
        <f t="shared" ref="I23:L23" si="2">IF(I16="", "", I18-I19-I20-I21)</f>
        <v>325.56176625375542</v>
      </c>
      <c r="J23" s="161">
        <f t="shared" si="2"/>
        <v>380.43919844302616</v>
      </c>
      <c r="K23" s="161">
        <f t="shared" si="2"/>
        <v>377.82522374694167</v>
      </c>
      <c r="L23" s="161">
        <f t="shared" si="2"/>
        <v>379.79104861302011</v>
      </c>
    </row>
    <row r="24" spans="2:14" ht="10.5" customHeight="1">
      <c r="B24" s="74"/>
      <c r="C24" s="78" t="s">
        <v>71</v>
      </c>
      <c r="D24" s="77" t="s">
        <v>58</v>
      </c>
      <c r="E24" s="173" t="s">
        <v>63</v>
      </c>
      <c r="F24" s="163" t="str">
        <f>'Input | Inflation and Disc Rate'!$F$7</f>
        <v>2019–20</v>
      </c>
      <c r="G24" s="69"/>
      <c r="H24" s="161">
        <f>H23/'Input | Inflation and Disc Rate'!G15</f>
        <v>309.26682730362035</v>
      </c>
      <c r="I24" s="161">
        <f>I23/'Input | Inflation and Disc Rate'!H15</f>
        <v>311.87367880203118</v>
      </c>
      <c r="J24" s="161">
        <f>J23/'Input | Inflation and Disc Rate'!I15</f>
        <v>337.97427262293303</v>
      </c>
      <c r="K24" s="161">
        <f>K23/'Input | Inflation and Disc Rate'!J15</f>
        <v>322.43234568762267</v>
      </c>
      <c r="L24" s="161">
        <f>L23/'Input | Inflation and Disc Rate'!K15</f>
        <v>313.75601294858603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72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2025-26</v>
      </c>
      <c r="I28" s="68" t="str">
        <f>'Input | General'!E18</f>
        <v>2026–27</v>
      </c>
      <c r="J28" s="68" t="str">
        <f>'Input | General'!F18</f>
        <v>2027–28</v>
      </c>
      <c r="K28" s="68" t="str">
        <f>'Input | General'!G18</f>
        <v>2028–29</v>
      </c>
      <c r="L28" s="68" t="str">
        <f>'Input | General'!H18</f>
        <v>2029–30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73</v>
      </c>
      <c r="D30" s="79" t="s">
        <v>49</v>
      </c>
      <c r="E30" s="79" t="s">
        <v>63</v>
      </c>
      <c r="F30" s="79" t="s">
        <v>69</v>
      </c>
      <c r="G30" s="69"/>
      <c r="H30" s="139">
        <v>21.335556188512555</v>
      </c>
      <c r="I30" s="139">
        <v>6.9666248674510678</v>
      </c>
      <c r="J30" s="139">
        <v>0.50577340448800456</v>
      </c>
      <c r="K30" s="139">
        <v>0</v>
      </c>
      <c r="L30" s="139">
        <v>0</v>
      </c>
    </row>
    <row r="31" spans="2:14" ht="11.25" customHeight="1">
      <c r="C31" s="85" t="s">
        <v>73</v>
      </c>
      <c r="D31" s="66" t="s">
        <v>58</v>
      </c>
      <c r="E31" s="79" t="s">
        <v>63</v>
      </c>
      <c r="F31" s="163" t="str">
        <f>F24</f>
        <v>2019–20</v>
      </c>
      <c r="G31" s="69"/>
      <c r="H31" s="162">
        <f>IF(H30&lt;&gt;"",H30/('Input | Inflation and Disc Rate'!K10*(1+'Input | Inflation and Disc Rate'!L9)^0.5),"")</f>
        <v>17.409623097586</v>
      </c>
      <c r="I31" s="162">
        <f>IF(I30&lt;&gt;"",I30/('Input | Inflation and Disc Rate'!L10*(1+'Input | Inflation and Disc Rate'!M9)^0.5),"")</f>
        <v>5.5460522987076128</v>
      </c>
      <c r="J31" s="162">
        <f>IF(J30&lt;&gt;"",J30/('Input | Inflation and Disc Rate'!M10*(1+'Input | Inflation and Disc Rate'!N9)^0.5),"")</f>
        <v>0.39282006058754171</v>
      </c>
      <c r="K31" s="162">
        <f>IF(K30&lt;&gt;"",K30/('Input | Inflation and Disc Rate'!N10*(1+'Input | Inflation and Disc Rate'!O9)^0.5),"")</f>
        <v>0</v>
      </c>
      <c r="L31" s="162">
        <f>IF(L30&lt;&gt;"",L30/('Input | Inflation and Disc Rate'!O10*(1+'Input | Inflation and Disc Rate'!P9)^0.5),"")</f>
        <v>0</v>
      </c>
    </row>
    <row r="32" spans="2:14" ht="11.25" customHeight="1">
      <c r="C32" s="85" t="s">
        <v>73</v>
      </c>
      <c r="D32" s="66" t="s">
        <v>52</v>
      </c>
      <c r="E32" s="79" t="s">
        <v>63</v>
      </c>
      <c r="F32" s="79" t="s">
        <v>69</v>
      </c>
      <c r="G32" s="69"/>
      <c r="H32" s="162">
        <f>IF(H30&lt;&gt;"",H31*'Input | Inflation and Disc Rate'!K15*(1+'Input | Inflation and Disc Rate'!L14)^0.5,"")</f>
        <v>21.335556188512552</v>
      </c>
      <c r="I32" s="162">
        <f>IF(I30&lt;&gt;"",I31*'Input | Inflation and Disc Rate'!L15*(1+'Input | Inflation and Disc Rate'!M14)^0.5,"")</f>
        <v>6.9666248674510669</v>
      </c>
      <c r="J32" s="162">
        <f>IF(J30&lt;&gt;"",J31*'Input | Inflation and Disc Rate'!M15*(1+'Input | Inflation and Disc Rate'!N14)^0.5,"")</f>
        <v>0.50577340448800456</v>
      </c>
      <c r="K32" s="162">
        <f>IF(K30&lt;&gt;"",K31*'Input | Inflation and Disc Rate'!N15*(1+'Input | Inflation and Disc Rate'!O14)^0.5,"")</f>
        <v>0</v>
      </c>
      <c r="L32" s="162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16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20:H21">
    <cfRule type="expression" dxfId="8" priority="8">
      <formula>IF($H$6&lt;&gt;"","FALSE","TRUE")</formula>
    </cfRule>
  </conditionalFormatting>
  <conditionalFormatting sqref="H8:L10">
    <cfRule type="expression" dxfId="7" priority="1">
      <formula>IF($H$6&lt;&gt;"","FALSE","TRUE")</formula>
    </cfRule>
  </conditionalFormatting>
  <conditionalFormatting sqref="H18:L19">
    <cfRule type="expression" dxfId="6" priority="13">
      <formula>IF($H$6&lt;&gt;"","FALSE","TRUE")</formula>
    </cfRule>
  </conditionalFormatting>
  <conditionalFormatting sqref="H30:L30">
    <cfRule type="expression" dxfId="5" priority="2">
      <formula>IF($H$6&lt;&gt;"","FALSE","TRUE")</formula>
    </cfRule>
  </conditionalFormatting>
  <conditionalFormatting sqref="I20:L21">
    <cfRule type="expression" dxfId="4" priority="3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topLeftCell="A11" zoomScaleNormal="100" workbookViewId="0">
      <selection activeCell="E45" sqref="E45:H45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SA Power Networks 2025-30 Regulatory proposal - Capital expenditure sharing scheme model</v>
      </c>
      <c r="C1" s="2"/>
      <c r="J1" s="117"/>
      <c r="K1" s="100" t="s">
        <v>17</v>
      </c>
      <c r="L1" s="136" t="s">
        <v>18</v>
      </c>
      <c r="M1" s="174" t="s">
        <v>19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74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75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76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77</v>
      </c>
      <c r="D7" s="87" t="str">
        <f>IF('Input | General'!D14="Yes",'Input | General'!D13,"n/a")</f>
        <v>2020–21</v>
      </c>
      <c r="E7" s="87" t="str">
        <f>IF('Input | General'!E14="Yes",'Input | General'!E13,"n/a")</f>
        <v>2021–22</v>
      </c>
      <c r="F7" s="87" t="str">
        <f>IF('Input | General'!F14="Yes",'Input | General'!F13,"n/a")</f>
        <v>2022–23</v>
      </c>
      <c r="G7" s="87" t="str">
        <f>IF('Input | General'!G14="Yes",'Input | General'!G13,"n/a")</f>
        <v>2023–24</v>
      </c>
      <c r="H7" s="128" t="str">
        <f>IF('Input | General'!H14="Yes",'Input | General'!H13,"n/a")</f>
        <v>2024–25</v>
      </c>
      <c r="I7" s="93"/>
    </row>
    <row r="8" spans="2:23" ht="11.25" customHeight="1">
      <c r="C8" s="111" t="s">
        <v>78</v>
      </c>
      <c r="D8" s="144">
        <f>'Input | Inflation and Disc Rate'!G20</f>
        <v>2.4166123692419772E-2</v>
      </c>
      <c r="E8" s="145">
        <f>'Input | Inflation and Disc Rate'!H20</f>
        <v>2.2405149377671484E-2</v>
      </c>
      <c r="F8" s="145">
        <f>'Input | Inflation and Disc Rate'!I20</f>
        <v>2.1622476556407522E-2</v>
      </c>
      <c r="G8" s="145">
        <f>'Input | Inflation and Disc Rate'!J20</f>
        <v>2.2220313702952722E-2</v>
      </c>
      <c r="H8" s="146">
        <f>'Input | Inflation and Disc Rate'!K20</f>
        <v>2.2816943674785595E-2</v>
      </c>
      <c r="I8" s="93"/>
      <c r="J8" s="80"/>
      <c r="K8" s="80"/>
    </row>
    <row r="9" spans="2:23" ht="11.25" customHeight="1">
      <c r="C9" s="131" t="s">
        <v>79</v>
      </c>
      <c r="D9" s="145">
        <f>'Input | Inflation and Disc Rate'!G22</f>
        <v>3.2979945755177154E-2</v>
      </c>
      <c r="E9" s="145">
        <f>'Input | Inflation and Disc Rate'!H22</f>
        <v>5.8171882419040477E-2</v>
      </c>
      <c r="F9" s="145">
        <f>'Input | Inflation and Disc Rate'!I22</f>
        <v>0.10163412970798102</v>
      </c>
      <c r="G9" s="145">
        <f>'Input | Inflation and Disc Rate'!J22</f>
        <v>6.4131346564773706E-2</v>
      </c>
      <c r="H9" s="146">
        <f>'Input | Inflation and Disc Rate'!K22</f>
        <v>5.6569902816053341E-2</v>
      </c>
      <c r="I9" s="93"/>
      <c r="J9" s="80"/>
      <c r="K9" s="80"/>
    </row>
    <row r="10" spans="2:23" ht="11.25" customHeight="1">
      <c r="C10" s="109" t="s">
        <v>80</v>
      </c>
      <c r="D10" s="147">
        <f>'Input | Reported Capex'!H$12*'Input | Inflation and Disc Rate'!G$15*(1+'Input | Inflation and Disc Rate'!G$20)^0.5</f>
        <v>346.50136135047296</v>
      </c>
      <c r="E10" s="148">
        <f>'Input | Reported Capex'!I$12*'Input | Inflation and Disc Rate'!H$15*(1+'Input | Inflation and Disc Rate'!H$20)^0.5</f>
        <v>355.11213417757762</v>
      </c>
      <c r="F10" s="148">
        <f>'Input | Reported Capex'!J$12*'Input | Inflation and Disc Rate'!I$15*(1+'Input | Inflation and Disc Rate'!I$20)^0.5</f>
        <v>369.8026585310954</v>
      </c>
      <c r="G10" s="148">
        <f>'Input | Reported Capex'!K$12*'Input | Inflation and Disc Rate'!J$15*(1+'Input | Inflation and Disc Rate'!J$20)^0.5</f>
        <v>381.55352714522536</v>
      </c>
      <c r="H10" s="149">
        <f>'Input | Reported Capex'!L$12*'Input | Inflation and Disc Rate'!K$15*(1+'Input | Inflation and Disc Rate'!K$20)^0.5</f>
        <v>371.35936498242614</v>
      </c>
      <c r="I10" s="93"/>
      <c r="J10" s="80"/>
      <c r="K10" s="80"/>
      <c r="N10" s="124"/>
    </row>
    <row r="11" spans="2:23" ht="11.25" customHeight="1">
      <c r="C11" s="109" t="s">
        <v>81</v>
      </c>
      <c r="D11" s="150">
        <f>'Input | Reported Capex'!H23*(1+D$9)^0.5</f>
        <v>317.03029716502562</v>
      </c>
      <c r="E11" s="148">
        <f>'Input | Reported Capex'!I23*(1+E$9)^0.5</f>
        <v>334.89719084374985</v>
      </c>
      <c r="F11" s="148">
        <f>'Input | Reported Capex'!J23*(1+F$9)^0.5</f>
        <v>399.30426517344847</v>
      </c>
      <c r="G11" s="148">
        <f>'Input | Reported Capex'!K23*(1+G$9)^0.5</f>
        <v>389.75219210651051</v>
      </c>
      <c r="H11" s="149">
        <f>'Input | Reported Capex'!L23*(1+H$9)^0.5</f>
        <v>390.3856472384179</v>
      </c>
      <c r="I11" s="93"/>
      <c r="J11" s="80"/>
      <c r="K11" s="80"/>
    </row>
    <row r="12" spans="2:23" s="14" customFormat="1" ht="11.25" customHeight="1">
      <c r="C12" s="109" t="s">
        <v>82</v>
      </c>
      <c r="D12" s="176">
        <f>(D10-D11)</f>
        <v>29.471064185447347</v>
      </c>
      <c r="E12" s="177">
        <f>(E10-E11)</f>
        <v>20.214943333827762</v>
      </c>
      <c r="F12" s="177">
        <f t="shared" ref="F12:H12" si="0">(F10-F11)</f>
        <v>-29.501606642353067</v>
      </c>
      <c r="G12" s="177">
        <f t="shared" si="0"/>
        <v>-8.1986649612851465</v>
      </c>
      <c r="H12" s="178">
        <f t="shared" si="0"/>
        <v>-19.026282255991759</v>
      </c>
      <c r="I12" s="93"/>
      <c r="J12" s="80"/>
      <c r="K12" s="80"/>
    </row>
    <row r="13" spans="2:23" ht="11.25" customHeight="1">
      <c r="C13" s="109" t="s">
        <v>83</v>
      </c>
      <c r="D13" s="89"/>
      <c r="E13" s="177">
        <f>$D$12*$E$8</f>
        <v>0.66030359539389194</v>
      </c>
      <c r="F13" s="177">
        <f>$D$12*$F$8*(1+'Input | Inflation and Disc Rate'!H13)</f>
        <v>0.65952982888942724</v>
      </c>
      <c r="G13" s="177">
        <f>$D$12*$G$8*(1+'Input | Inflation and Disc Rate'!H13)*(1+'Input | Inflation and Disc Rate'!I13)</f>
        <v>0.73084644121120079</v>
      </c>
      <c r="H13" s="178">
        <f>$D$12*$H$8*(1+'Input | Inflation and Disc Rate'!H13)*(1+'Input | Inflation and Disc Rate'!I13)*(1+'Input | Inflation and Disc Rate'!J13)</f>
        <v>0.78123942269870206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84</v>
      </c>
      <c r="D14" s="89"/>
      <c r="E14" s="130"/>
      <c r="F14" s="177">
        <f>$E$12*F$8</f>
        <v>0.4370971383247973</v>
      </c>
      <c r="G14" s="177">
        <f>$E$12*G$8*(1+'Input | Inflation and Disc Rate'!I13)</f>
        <v>0.48436154668879317</v>
      </c>
      <c r="H14" s="178">
        <f>$E$12*H$8*(1+'Input | Inflation and Disc Rate'!I13)*(1+'Input | Inflation and Disc Rate'!J13)</f>
        <v>0.51775901718217721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85</v>
      </c>
      <c r="D15" s="89"/>
      <c r="E15" s="129"/>
      <c r="F15" s="129"/>
      <c r="G15" s="177">
        <f>$F$12*G$8</f>
        <v>-0.65553495433419895</v>
      </c>
      <c r="H15" s="178">
        <f>$F$12*$H$8*(1+'Input | Inflation and Disc Rate'!J13)</f>
        <v>-0.70073509345429474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86</v>
      </c>
      <c r="D16" s="89"/>
      <c r="E16" s="129"/>
      <c r="F16" s="129"/>
      <c r="G16" s="129"/>
      <c r="H16" s="178">
        <f>$G$12*$H$8</f>
        <v>-0.18706847663008142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87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88</v>
      </c>
      <c r="D18" s="179">
        <f>SUM(D13:D17)</f>
        <v>0</v>
      </c>
      <c r="E18" s="180">
        <f>SUM(E13:E17)</f>
        <v>0.66030359539389194</v>
      </c>
      <c r="F18" s="180">
        <f t="shared" ref="F18:H18" si="1">SUM(F13:F17)</f>
        <v>1.0966269672142246</v>
      </c>
      <c r="G18" s="180">
        <f t="shared" si="1"/>
        <v>0.55967303356579501</v>
      </c>
      <c r="H18" s="181">
        <f t="shared" si="1"/>
        <v>0.41119486979650322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89</v>
      </c>
      <c r="D19" s="179">
        <f>E19*(1+E$9)</f>
        <v>1.3106510252619763</v>
      </c>
      <c r="E19" s="180">
        <f>F19*(1+F$9)</f>
        <v>1.2385993684369634</v>
      </c>
      <c r="F19" s="180">
        <f>G19*(1+G$9)</f>
        <v>1.124329153423459</v>
      </c>
      <c r="G19" s="180">
        <f>H19*(1+H$9)</f>
        <v>1.0565699028160533</v>
      </c>
      <c r="H19" s="182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90</v>
      </c>
      <c r="D20" s="176">
        <f>D12*D19</f>
        <v>38.626280490218072</v>
      </c>
      <c r="E20" s="177">
        <f>E12*E19</f>
        <v>25.038216046268069</v>
      </c>
      <c r="F20" s="177">
        <f t="shared" ref="F20:H20" si="2">F12*F19</f>
        <v>-33.169516420828721</v>
      </c>
      <c r="G20" s="177">
        <f t="shared" si="2"/>
        <v>-8.6624626413664298</v>
      </c>
      <c r="H20" s="178">
        <f t="shared" si="2"/>
        <v>-19.026282255991759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91</v>
      </c>
      <c r="D21" s="179">
        <f>D18*D19</f>
        <v>0</v>
      </c>
      <c r="E21" s="180">
        <f>E18*E19</f>
        <v>0.8178516162315308</v>
      </c>
      <c r="F21" s="180">
        <f t="shared" ref="F21:H21" si="3">F18*F19</f>
        <v>1.2329696696693044</v>
      </c>
      <c r="G21" s="180">
        <f t="shared" si="3"/>
        <v>0.59133368268337783</v>
      </c>
      <c r="H21" s="181">
        <f t="shared" si="3"/>
        <v>0.41119486979650322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92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77</v>
      </c>
      <c r="D24" s="105" t="str">
        <f>'Input | General'!$D$18</f>
        <v>2025-26</v>
      </c>
      <c r="E24" s="105" t="str">
        <f>'Input | General'!$E$18</f>
        <v>2026–27</v>
      </c>
      <c r="F24" s="105" t="str">
        <f>'Input | General'!$F$18</f>
        <v>2027–28</v>
      </c>
      <c r="G24" s="105" t="str">
        <f>'Input | General'!$G$18</f>
        <v>2028–29</v>
      </c>
      <c r="H24" s="106" t="str">
        <f>'Input | General'!$H$18</f>
        <v>2029–30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93</v>
      </c>
      <c r="D25" s="151">
        <f>'Input | Inflation and Disc Rate'!L$22</f>
        <v>6.0409691525473486E-2</v>
      </c>
      <c r="E25" s="151">
        <f>'Input | Inflation and Disc Rate'!M$22</f>
        <v>6.0856852279962403E-2</v>
      </c>
      <c r="F25" s="151">
        <f>'Input | Inflation and Disc Rate'!N$22</f>
        <v>6.1570705349265564E-2</v>
      </c>
      <c r="G25" s="151">
        <f>'Input | Inflation and Disc Rate'!O$22</f>
        <v>6.2645889761755891E-2</v>
      </c>
      <c r="H25" s="152">
        <f>'Input | Inflation and Disc Rate'!P$22</f>
        <v>6.3690766985334157E-2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94</v>
      </c>
      <c r="D26" s="148">
        <f>'Input | Reported Capex'!H32</f>
        <v>21.335556188512552</v>
      </c>
      <c r="E26" s="148">
        <f>'Input | Reported Capex'!I32</f>
        <v>6.9666248674510669</v>
      </c>
      <c r="F26" s="148">
        <f>'Input | Reported Capex'!J32</f>
        <v>0.50577340448800456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95</v>
      </c>
      <c r="D27" s="177">
        <f>1/(1+D25)^(0.5)</f>
        <v>0.97109821505817406</v>
      </c>
      <c r="E27" s="177">
        <f>1/((1+E25)^(0.5)*(1+D25))</f>
        <v>0.91558341828371381</v>
      </c>
      <c r="F27" s="177">
        <f>1/((1+F25)^(0.5)*(1+E25)*(1+D25))</f>
        <v>0.86277005477004298</v>
      </c>
      <c r="G27" s="177">
        <f>1/((1+G25)^(0.5)*(1+F25)*(1+E25)*(1+D25))</f>
        <v>0.81231844932749619</v>
      </c>
      <c r="H27" s="178">
        <f>1/((1+H25)^(0.5)*(1+G25)*(1+F25)*(1+E25)*(1+D25))</f>
        <v>0.76405450174218892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96</v>
      </c>
      <c r="D28" s="180">
        <f>D26*D27</f>
        <v>20.718920531937918</v>
      </c>
      <c r="E28" s="180">
        <f t="shared" ref="E28:G28" si="4">E26*E27</f>
        <v>6.3785262100411728</v>
      </c>
      <c r="F28" s="180">
        <f t="shared" si="4"/>
        <v>0.43636614789134681</v>
      </c>
      <c r="G28" s="180">
        <f t="shared" si="4"/>
        <v>0</v>
      </c>
      <c r="H28" s="181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97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98</v>
      </c>
      <c r="D31" s="164">
        <f>SUM('Input | Reported Capex'!H12:L12)</f>
        <v>1626.3356703926711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81</v>
      </c>
      <c r="D32" s="165">
        <f>SUM('Input | Reported Capex'!H24:L24)</f>
        <v>1595.3031373647932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99</v>
      </c>
      <c r="D33" s="183">
        <f>(D31-D32)/D31</f>
        <v>1.9081259541202357E-2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100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101</v>
      </c>
      <c r="D35" s="164">
        <f>SUM(D20:H20)-SUM(D28:H28)</f>
        <v>-24.727577671571211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102</v>
      </c>
      <c r="D36" s="165">
        <f>D35-D37</f>
        <v>-17.309304370099849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103</v>
      </c>
      <c r="D37" s="165">
        <f>D34*D35</f>
        <v>-7.4182733014713627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104</v>
      </c>
      <c r="D38" s="165">
        <f>SUM(D21:H21)</f>
        <v>3.0533498383807167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105</v>
      </c>
      <c r="D39" s="166">
        <f>D37-D38</f>
        <v>-10.471623139852079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106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2025-26</v>
      </c>
      <c r="E43" s="104" t="str">
        <f>'Input | General'!E18</f>
        <v>2026–27</v>
      </c>
      <c r="F43" s="104" t="str">
        <f>'Input | General'!F18</f>
        <v>2027–28</v>
      </c>
      <c r="G43" s="104" t="str">
        <f>'Input | General'!G18</f>
        <v>2028–29</v>
      </c>
      <c r="H43" s="104" t="str">
        <f>'Input | General'!H18</f>
        <v>2029–30</v>
      </c>
    </row>
    <row r="44" spans="2:15" s="24" customFormat="1" ht="11.25" customHeight="1">
      <c r="C44" s="96" t="s">
        <v>107</v>
      </c>
      <c r="D44" s="171">
        <f>1/(1+'Input | Inflation and Disc Rate'!L21)</f>
        <v>0.96660753687140077</v>
      </c>
      <c r="E44" s="170">
        <f>D44/(1+'Input | Inflation and Disc Rate'!M21)</f>
        <v>0.93393630173934028</v>
      </c>
      <c r="F44" s="170">
        <f>E44/(1+'Input | Inflation and Disc Rate'!N21)</f>
        <v>0.90176255284650964</v>
      </c>
      <c r="G44" s="170">
        <f>F44/(1+'Input | Inflation and Disc Rate'!O21)</f>
        <v>0.86981620648332902</v>
      </c>
      <c r="H44" s="170">
        <f>G44/(1+'Input | Inflation and Disc Rate'!P21)</f>
        <v>0.83817744716562415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7">
        <f>D39/(SUM(D44:H44))</f>
        <v>-2.3217131975984771</v>
      </c>
      <c r="E45" s="184">
        <f>D45</f>
        <v>-2.3217131975984771</v>
      </c>
      <c r="F45" s="184">
        <f t="shared" ref="F45:H45" si="5">E45</f>
        <v>-2.3217131975984771</v>
      </c>
      <c r="G45" s="184">
        <f t="shared" si="5"/>
        <v>-2.3217131975984771</v>
      </c>
      <c r="H45" s="185">
        <f t="shared" si="5"/>
        <v>-2.3217131975984771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8">
        <f>SUM(D45:H45)</f>
        <v>-11.608565987992385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16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F8" sqref="F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SA Power Networks 2025-30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17</v>
      </c>
      <c r="L1" s="136" t="s">
        <v>18</v>
      </c>
      <c r="M1" s="174" t="s">
        <v>19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12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186"/>
      <c r="K3" s="186"/>
      <c r="L3" s="186"/>
      <c r="M3" s="54"/>
      <c r="N3" s="186"/>
      <c r="O3" s="186"/>
      <c r="P3" s="186"/>
      <c r="Q3" s="186"/>
      <c r="R3" s="186"/>
      <c r="S3" s="186"/>
      <c r="T3" s="186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108</v>
      </c>
      <c r="C4" s="34"/>
      <c r="D4" s="34"/>
      <c r="E4" s="141" t="s">
        <v>63</v>
      </c>
      <c r="F4" s="141" t="s">
        <v>109</v>
      </c>
      <c r="G4" s="36"/>
      <c r="H4" s="36"/>
      <c r="I4" s="36"/>
      <c r="J4" s="56" t="s">
        <v>110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111</v>
      </c>
      <c r="D6" s="59" t="s">
        <v>46</v>
      </c>
      <c r="E6" s="59" t="s">
        <v>47</v>
      </c>
      <c r="F6" s="59" t="s">
        <v>61</v>
      </c>
      <c r="H6" s="59"/>
      <c r="I6" s="59"/>
      <c r="J6" s="60" t="str">
        <f>'Calc | CESS Revenue Increments'!D43</f>
        <v>2025-26</v>
      </c>
      <c r="K6" s="60" t="str">
        <f>'Calc | CESS Revenue Increments'!E43</f>
        <v>2026–27</v>
      </c>
      <c r="L6" s="60" t="str">
        <f>'Calc | CESS Revenue Increments'!F43</f>
        <v>2027–28</v>
      </c>
      <c r="M6" s="60" t="str">
        <f>'Calc | CESS Revenue Increments'!G43</f>
        <v>2028–29</v>
      </c>
      <c r="N6" s="60" t="str">
        <f>'Calc | CESS Revenue Increments'!H43</f>
        <v>2029–30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113</v>
      </c>
      <c r="D8" s="27" t="s">
        <v>10</v>
      </c>
      <c r="E8" s="45" t="str">
        <f>$E$4</f>
        <v>$millions</v>
      </c>
      <c r="F8" s="45" t="str">
        <f>$F$4</f>
        <v>2024-25</v>
      </c>
      <c r="H8" s="59"/>
      <c r="I8" s="59"/>
      <c r="J8" s="162">
        <f>'Calc | CESS Revenue Increments'!D45</f>
        <v>-2.3217131975984771</v>
      </c>
      <c r="K8" s="162">
        <f>'Calc | CESS Revenue Increments'!E45</f>
        <v>-2.3217131975984771</v>
      </c>
      <c r="L8" s="162">
        <f>'Calc | CESS Revenue Increments'!F45</f>
        <v>-2.3217131975984771</v>
      </c>
      <c r="M8" s="162">
        <f>'Calc | CESS Revenue Increments'!G45</f>
        <v>-2.3217131975984771</v>
      </c>
      <c r="N8" s="162">
        <f>'Calc | CESS Revenue Increments'!H45</f>
        <v>-2.3217131975984771</v>
      </c>
      <c r="O8" s="169">
        <f>SUM(J8:N8)</f>
        <v>-11.608565987992385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16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SA Power Networks 2025-30 Regulatory proposal - Capital expenditure sharing scheme model</v>
      </c>
      <c r="C1" s="30"/>
      <c r="D1" s="31"/>
      <c r="E1" s="31"/>
      <c r="F1" s="31"/>
      <c r="G1" s="31"/>
      <c r="H1" s="99"/>
      <c r="I1" s="100" t="s">
        <v>17</v>
      </c>
      <c r="J1" s="136" t="s">
        <v>18</v>
      </c>
      <c r="K1" s="143" t="s">
        <v>114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14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115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116</v>
      </c>
      <c r="D6" s="47"/>
      <c r="E6" s="47" t="s">
        <v>117</v>
      </c>
      <c r="F6" s="47"/>
    </row>
    <row r="7" spans="1:29" ht="10">
      <c r="C7" s="48" t="s">
        <v>118</v>
      </c>
      <c r="D7" s="45"/>
      <c r="E7" s="142" t="s">
        <v>119</v>
      </c>
    </row>
    <row r="8" spans="1:29" ht="10">
      <c r="C8" s="48" t="s">
        <v>120</v>
      </c>
      <c r="D8" s="45"/>
      <c r="E8" s="142" t="s">
        <v>121</v>
      </c>
    </row>
    <row r="9" spans="1:29" ht="10">
      <c r="C9" s="48" t="s">
        <v>122</v>
      </c>
      <c r="D9" s="45"/>
      <c r="E9" s="142" t="s">
        <v>63</v>
      </c>
      <c r="S9" s="49"/>
    </row>
    <row r="10" spans="1:29" ht="10">
      <c r="D10" s="43"/>
      <c r="E10" s="43"/>
    </row>
    <row r="11" spans="1:29" ht="10">
      <c r="C11" s="48" t="s">
        <v>41</v>
      </c>
      <c r="D11" s="45"/>
      <c r="E11" s="142" t="s">
        <v>41</v>
      </c>
    </row>
    <row r="12" spans="1:29" ht="10">
      <c r="C12" s="48" t="s">
        <v>42</v>
      </c>
      <c r="D12" s="45"/>
      <c r="E12" s="142" t="s">
        <v>42</v>
      </c>
    </row>
    <row r="13" spans="1:29" ht="10">
      <c r="C13" s="48" t="s">
        <v>123</v>
      </c>
      <c r="D13" s="45"/>
      <c r="E13" s="142" t="s">
        <v>124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125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117</v>
      </c>
      <c r="F18" s="47"/>
    </row>
    <row r="19" spans="3:19" ht="10.5">
      <c r="C19" s="48" t="s">
        <v>123</v>
      </c>
      <c r="D19" s="47"/>
      <c r="E19" s="142" t="s">
        <v>124</v>
      </c>
      <c r="F19" s="47"/>
    </row>
    <row r="20" spans="3:19" ht="10.5">
      <c r="C20" s="48" t="s">
        <v>69</v>
      </c>
      <c r="D20" s="45"/>
      <c r="E20" s="142" t="s">
        <v>69</v>
      </c>
      <c r="F20" s="47"/>
    </row>
    <row r="21" spans="3:19" ht="10.5">
      <c r="C21" s="48" t="s">
        <v>126</v>
      </c>
      <c r="D21" s="45"/>
      <c r="E21" s="142" t="s">
        <v>126</v>
      </c>
      <c r="F21" s="47"/>
    </row>
    <row r="22" spans="3:19" ht="10.5">
      <c r="C22" s="48" t="s">
        <v>127</v>
      </c>
      <c r="D22" s="45"/>
      <c r="E22" s="142" t="s">
        <v>127</v>
      </c>
      <c r="F22" s="47"/>
    </row>
    <row r="23" spans="3:19" ht="10">
      <c r="C23" s="48" t="s">
        <v>128</v>
      </c>
      <c r="D23" s="45"/>
      <c r="E23" s="142" t="s">
        <v>128</v>
      </c>
    </row>
    <row r="24" spans="3:19" ht="10">
      <c r="C24" s="48" t="s">
        <v>129</v>
      </c>
      <c r="D24" s="45"/>
      <c r="E24" s="142" t="s">
        <v>129</v>
      </c>
    </row>
    <row r="25" spans="3:19" ht="10">
      <c r="C25" s="48" t="s">
        <v>130</v>
      </c>
      <c r="D25" s="45"/>
      <c r="E25" s="142" t="s">
        <v>130</v>
      </c>
      <c r="S25" s="49"/>
    </row>
    <row r="26" spans="3:19" ht="10">
      <c r="C26" s="48" t="s">
        <v>131</v>
      </c>
      <c r="D26" s="45"/>
      <c r="E26" s="142" t="s">
        <v>131</v>
      </c>
      <c r="S26" s="49"/>
    </row>
    <row r="27" spans="3:19" ht="10">
      <c r="C27" s="48" t="s">
        <v>132</v>
      </c>
      <c r="D27" s="45"/>
      <c r="E27" s="142" t="s">
        <v>132</v>
      </c>
      <c r="S27" s="49"/>
    </row>
    <row r="28" spans="3:19" ht="10">
      <c r="C28" s="48" t="s">
        <v>133</v>
      </c>
      <c r="D28" s="45"/>
      <c r="E28" s="142" t="s">
        <v>133</v>
      </c>
      <c r="S28" s="49"/>
    </row>
    <row r="29" spans="3:19" ht="10">
      <c r="C29" s="48" t="s">
        <v>134</v>
      </c>
      <c r="D29" s="45"/>
      <c r="E29" s="142" t="s">
        <v>134</v>
      </c>
      <c r="S29" s="49"/>
    </row>
    <row r="30" spans="3:19" ht="10">
      <c r="C30" s="48" t="s">
        <v>135</v>
      </c>
      <c r="D30" s="45"/>
      <c r="E30" s="142" t="s">
        <v>135</v>
      </c>
      <c r="S30" s="49"/>
    </row>
    <row r="31" spans="3:19" ht="10">
      <c r="C31" s="48" t="s">
        <v>136</v>
      </c>
      <c r="D31" s="45"/>
      <c r="E31" s="142" t="s">
        <v>136</v>
      </c>
      <c r="S31" s="49"/>
    </row>
    <row r="32" spans="3:19" ht="10">
      <c r="C32" s="48" t="s">
        <v>137</v>
      </c>
      <c r="D32" s="45"/>
      <c r="E32" s="142" t="s">
        <v>137</v>
      </c>
      <c r="S32" s="49"/>
    </row>
    <row r="33" spans="1:29" ht="10">
      <c r="C33" s="48" t="s">
        <v>138</v>
      </c>
      <c r="D33" s="45"/>
      <c r="E33" s="142" t="s">
        <v>138</v>
      </c>
      <c r="S33" s="49"/>
    </row>
    <row r="34" spans="1:29" ht="10">
      <c r="C34" s="48" t="s">
        <v>139</v>
      </c>
      <c r="D34" s="45"/>
      <c r="E34" s="142" t="s">
        <v>139</v>
      </c>
      <c r="S34" s="49"/>
    </row>
    <row r="35" spans="1:29" ht="10">
      <c r="C35" s="48" t="s">
        <v>140</v>
      </c>
      <c r="D35" s="45"/>
      <c r="E35" s="142" t="s">
        <v>140</v>
      </c>
      <c r="S35" s="49"/>
    </row>
    <row r="36" spans="1:29" ht="10">
      <c r="C36" s="48" t="s">
        <v>141</v>
      </c>
      <c r="D36" s="45"/>
      <c r="E36" s="142" t="s">
        <v>141</v>
      </c>
      <c r="S36" s="49"/>
    </row>
    <row r="37" spans="1:29" ht="10">
      <c r="C37" s="48" t="s">
        <v>142</v>
      </c>
      <c r="D37" s="45"/>
      <c r="E37" s="142" t="s">
        <v>142</v>
      </c>
      <c r="S37" s="49"/>
    </row>
    <row r="38" spans="1:29" ht="10">
      <c r="C38" s="48" t="s">
        <v>109</v>
      </c>
      <c r="D38" s="45"/>
      <c r="E38" s="142" t="s">
        <v>109</v>
      </c>
    </row>
    <row r="39" spans="1:29" ht="10">
      <c r="C39" s="48" t="s">
        <v>28</v>
      </c>
      <c r="D39" s="45"/>
      <c r="E39" s="172" t="s">
        <v>28</v>
      </c>
    </row>
    <row r="40" spans="1:29" s="42" customFormat="1" ht="13">
      <c r="A40" s="34"/>
      <c r="B40" s="35" t="s">
        <v>16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O15">
    <cfRule type="expression" dxfId="3" priority="8" stopIfTrue="1">
      <formula>#REF!="Actual"</formula>
    </cfRule>
  </conditionalFormatting>
  <conditionalFormatting sqref="O38:O39">
    <cfRule type="expression" dxfId="2" priority="7" stopIfTrue="1">
      <formula>#REF!="Actual"</formula>
    </cfRule>
  </conditionalFormatting>
  <conditionalFormatting sqref="O11:P15">
    <cfRule type="expression" dxfId="1" priority="9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7057c79-7d51-421d-a905-1d0948ddf619">
      <UserInfo>
        <DisplayName>Pratiban Parthiban</DisplayName>
        <AccountId>1353</AccountId>
        <AccountType/>
      </UserInfo>
    </SharedWithUsers>
    <TaxCatchAll xmlns="a7057c79-7d51-421d-a905-1d0948ddf619" xsi:nil="true"/>
    <Hyperlink xmlns="d3f9e2a3-ddce-444d-9f34-47b009369a7d">
      <Url xsi:nil="true"/>
      <Description xsi:nil="true"/>
    </Hyperlink>
    <lcf76f155ced4ddcb4097134ff3c332f xmlns="d3f9e2a3-ddce-444d-9f34-47b009369a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0DC2F-4C7B-4F21-AF9E-38DE576A4A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12400-8B8C-41CF-8B9E-5A84925FC238}">
  <ds:schemaRefs>
    <ds:schemaRef ds:uri="http://www.w3.org/XML/1998/namespace"/>
    <ds:schemaRef ds:uri="http://schemas.microsoft.com/office/infopath/2007/PartnerControls"/>
    <ds:schemaRef ds:uri="d3f9e2a3-ddce-444d-9f34-47b009369a7d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7057c79-7d51-421d-a905-1d0948ddf61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8CCB55-C5C5-4FFA-B8FD-17A1DBF23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202310 - FINAL RIN</dc:subject>
  <dc:creator>AER</dc:creator>
  <cp:keywords>DNSP; CESS; 2026-30</cp:keywords>
  <dc:description/>
  <cp:lastModifiedBy>Debbie Voltz</cp:lastModifiedBy>
  <cp:revision/>
  <dcterms:created xsi:type="dcterms:W3CDTF">2017-09-22T02:00:05Z</dcterms:created>
  <dcterms:modified xsi:type="dcterms:W3CDTF">2024-01-29T06:13:53Z</dcterms:modified>
  <cp:category>DNSP; CESS; 2026-30</cp:category>
  <cp:contentStatus>202310 - 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0x010100F847192EE784F942B38F164D75803B86</vt:lpwstr>
  </property>
  <property fmtid="{D5CDD505-2E9C-101B-9397-08002B2CF9AE}" pid="4" name="MediaServiceImageTags">
    <vt:lpwstr/>
  </property>
</Properties>
</file>