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g Proposal documentation/Attachments/6. Opex/"/>
    </mc:Choice>
  </mc:AlternateContent>
  <xr:revisionPtr revIDLastSave="556" documentId="8_{5B91B40D-E1DC-49B2-85E2-83FE55920D74}" xr6:coauthVersionLast="47" xr6:coauthVersionMax="47" xr10:uidLastSave="{32A003BA-F90E-4A72-86E3-E5AEFA3AAD0A}"/>
  <bookViews>
    <workbookView xWindow="-120" yWindow="-120" windowWidth="29040" windowHeight="15720" tabRatio="711" xr2:uid="{5C9D1998-822D-4EA3-A1C9-0F42E9EA8FD1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Info|Source data" sheetId="59" r:id="rId9"/>
    <sheet name="Lookup|Tables" sheetId="4" r:id="rId10"/>
    <sheet name="Check|List" sheetId="16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anscount" hidden="1">1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Month">'Input|General'!$G$9</definedName>
    <definedName name="Nominal_to_Real">'Input|Rate of change'!$C$26:$C$31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  <definedName name="Units">'Input|General'!$G$16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3" l="1"/>
  <c r="C14" i="53"/>
  <c r="C15" i="53"/>
  <c r="C16" i="53"/>
  <c r="C17" i="53"/>
  <c r="C18" i="53"/>
  <c r="C19" i="53"/>
  <c r="C20" i="53"/>
  <c r="C21" i="53"/>
  <c r="C22" i="53"/>
  <c r="C12" i="53"/>
  <c r="C34" i="53"/>
  <c r="G40" i="59" l="1"/>
  <c r="F40" i="59"/>
  <c r="N62" i="58" s="1"/>
  <c r="Q42" i="2" l="1"/>
  <c r="R42" i="2"/>
  <c r="S42" i="2"/>
  <c r="T42" i="2"/>
  <c r="P42" i="2"/>
  <c r="Q40" i="2"/>
  <c r="R40" i="2"/>
  <c r="S40" i="2"/>
  <c r="T40" i="2"/>
  <c r="P40" i="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F44" i="53"/>
  <c r="E44" i="53"/>
  <c r="E36" i="53"/>
  <c r="E35" i="53"/>
  <c r="E34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12" i="53"/>
  <c r="J96" i="2"/>
  <c r="K96" i="2"/>
  <c r="L96" i="2"/>
  <c r="M96" i="2"/>
  <c r="J97" i="2"/>
  <c r="K97" i="2"/>
  <c r="L97" i="2"/>
  <c r="M97" i="2"/>
  <c r="J98" i="2"/>
  <c r="K98" i="2"/>
  <c r="L98" i="2"/>
  <c r="M98" i="2"/>
  <c r="J99" i="2"/>
  <c r="K99" i="2"/>
  <c r="L99" i="2"/>
  <c r="M99" i="2"/>
  <c r="J100" i="2"/>
  <c r="K100" i="2"/>
  <c r="L100" i="2"/>
  <c r="M100" i="2"/>
  <c r="K95" i="2"/>
  <c r="L95" i="2"/>
  <c r="M95" i="2"/>
  <c r="J95" i="2"/>
  <c r="C106" i="2" a="1"/>
  <c r="C109" i="2" s="1"/>
  <c r="E100" i="2"/>
  <c r="E99" i="2"/>
  <c r="E98" i="2"/>
  <c r="E97" i="2"/>
  <c r="E96" i="2"/>
  <c r="E95" i="2"/>
  <c r="Q58" i="2"/>
  <c r="R58" i="2"/>
  <c r="S58" i="2"/>
  <c r="T58" i="2"/>
  <c r="P58" i="2"/>
  <c r="F68" i="58"/>
  <c r="F66" i="58"/>
  <c r="F65" i="58"/>
  <c r="F64" i="58"/>
  <c r="F63" i="58"/>
  <c r="E68" i="58"/>
  <c r="E66" i="58"/>
  <c r="E65" i="58"/>
  <c r="E64" i="58"/>
  <c r="E63" i="58"/>
  <c r="E62" i="58"/>
  <c r="E47" i="58"/>
  <c r="E56" i="58"/>
  <c r="E54" i="58"/>
  <c r="E53" i="58"/>
  <c r="E52" i="58"/>
  <c r="E51" i="58"/>
  <c r="E37" i="58"/>
  <c r="E45" i="58"/>
  <c r="E44" i="58"/>
  <c r="E43" i="58"/>
  <c r="E42" i="58"/>
  <c r="E41" i="58"/>
  <c r="F13" i="58" a="1"/>
  <c r="F13" i="58" s="1"/>
  <c r="E29" i="58"/>
  <c r="E27" i="58"/>
  <c r="E26" i="58"/>
  <c r="E25" i="58"/>
  <c r="E24" i="58"/>
  <c r="E23" i="58"/>
  <c r="E22" i="58"/>
  <c r="E21" i="58"/>
  <c r="E20" i="58"/>
  <c r="E19" i="58"/>
  <c r="E15" i="58"/>
  <c r="E13" i="58"/>
  <c r="P83" i="55"/>
  <c r="P84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9" i="55"/>
  <c r="H74" i="55"/>
  <c r="H78" i="55" s="1"/>
  <c r="H82" i="55" s="1"/>
  <c r="I82" i="55" s="1"/>
  <c r="P82" i="55" s="1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6" i="55" s="1"/>
  <c r="H73" i="55"/>
  <c r="H21" i="55"/>
  <c r="I76" i="55" l="1"/>
  <c r="P76" i="55" s="1"/>
  <c r="H80" i="55"/>
  <c r="H81" i="55" s="1"/>
  <c r="H77" i="55"/>
  <c r="I77" i="55" s="1"/>
  <c r="P77" i="55" s="1"/>
  <c r="I78" i="55"/>
  <c r="P78" i="55" s="1"/>
  <c r="C106" i="2"/>
  <c r="C107" i="2"/>
  <c r="C108" i="2"/>
  <c r="I72" i="55"/>
  <c r="P72" i="55" s="1"/>
  <c r="I48" i="55"/>
  <c r="P48" i="55" s="1"/>
  <c r="I71" i="55"/>
  <c r="P71" i="55" s="1"/>
  <c r="I47" i="55"/>
  <c r="P47" i="55" s="1"/>
  <c r="I60" i="55"/>
  <c r="P60" i="55" s="1"/>
  <c r="I36" i="55"/>
  <c r="P36" i="55" s="1"/>
  <c r="I70" i="55"/>
  <c r="P70" i="55" s="1"/>
  <c r="I58" i="55"/>
  <c r="P58" i="55" s="1"/>
  <c r="I46" i="55"/>
  <c r="P46" i="55" s="1"/>
  <c r="I69" i="55"/>
  <c r="P69" i="55" s="1"/>
  <c r="I57" i="55"/>
  <c r="P57" i="55" s="1"/>
  <c r="H75" i="55"/>
  <c r="I75" i="55" s="1"/>
  <c r="P75" i="55" s="1"/>
  <c r="I33" i="55"/>
  <c r="P33" i="55" s="1"/>
  <c r="I66" i="55"/>
  <c r="P66" i="55" s="1"/>
  <c r="I54" i="55"/>
  <c r="P54" i="55" s="1"/>
  <c r="I42" i="55"/>
  <c r="P42" i="55" s="1"/>
  <c r="I30" i="55"/>
  <c r="P30" i="55" s="1"/>
  <c r="I38" i="55"/>
  <c r="P38" i="55" s="1"/>
  <c r="I28" i="55"/>
  <c r="I73" i="55"/>
  <c r="P73" i="55" s="1"/>
  <c r="I61" i="55"/>
  <c r="P61" i="55" s="1"/>
  <c r="I53" i="55"/>
  <c r="P53" i="55" s="1"/>
  <c r="I37" i="55"/>
  <c r="P37" i="55" s="1"/>
  <c r="I29" i="55"/>
  <c r="I63" i="55"/>
  <c r="P63" i="55" s="1"/>
  <c r="I39" i="55"/>
  <c r="P39" i="55" s="1"/>
  <c r="I27" i="55"/>
  <c r="I26" i="55"/>
  <c r="I45" i="55"/>
  <c r="P45" i="55" s="1"/>
  <c r="I68" i="55"/>
  <c r="P68" i="55" s="1"/>
  <c r="I56" i="55"/>
  <c r="P56" i="55" s="1"/>
  <c r="I44" i="55"/>
  <c r="P44" i="55" s="1"/>
  <c r="I32" i="55"/>
  <c r="P32" i="55" s="1"/>
  <c r="I67" i="55"/>
  <c r="P67" i="55" s="1"/>
  <c r="I55" i="55"/>
  <c r="P55" i="55" s="1"/>
  <c r="I43" i="55"/>
  <c r="P43" i="55" s="1"/>
  <c r="I31" i="55"/>
  <c r="P31" i="55" s="1"/>
  <c r="I65" i="55"/>
  <c r="P65" i="55" s="1"/>
  <c r="I64" i="55"/>
  <c r="P64" i="55" s="1"/>
  <c r="I51" i="55"/>
  <c r="P51" i="55" s="1"/>
  <c r="I62" i="55"/>
  <c r="P62" i="55" s="1"/>
  <c r="I49" i="55"/>
  <c r="P49" i="55" s="1"/>
  <c r="I59" i="55"/>
  <c r="P59" i="55" s="1"/>
  <c r="I34" i="55"/>
  <c r="P34" i="55" s="1"/>
  <c r="I52" i="55"/>
  <c r="P52" i="55" s="1"/>
  <c r="I40" i="55"/>
  <c r="P40" i="55" s="1"/>
  <c r="I25" i="55"/>
  <c r="I50" i="55"/>
  <c r="P50" i="55" s="1"/>
  <c r="I74" i="55"/>
  <c r="P74" i="55" s="1"/>
  <c r="I35" i="55"/>
  <c r="P35" i="55" s="1"/>
  <c r="I41" i="55"/>
  <c r="P41" i="55" s="1"/>
  <c r="H79" i="55" l="1"/>
  <c r="I79" i="55" s="1"/>
  <c r="P79" i="55" s="1"/>
  <c r="I81" i="55"/>
  <c r="P81" i="55" s="1"/>
  <c r="H84" i="55"/>
  <c r="I80" i="55"/>
  <c r="P80" i="55" s="1"/>
  <c r="M1" i="55" l="1"/>
  <c r="I84" i="55"/>
  <c r="H83" i="55"/>
  <c r="I83" i="55" s="1"/>
  <c r="S15" i="54" l="1"/>
  <c r="S16" i="54"/>
  <c r="C87" i="2"/>
  <c r="C88" i="2"/>
  <c r="C89" i="2"/>
  <c r="C90" i="2"/>
  <c r="C91" i="2"/>
  <c r="C86" i="2"/>
  <c r="B2" i="55" l="1"/>
  <c r="F29" i="58"/>
  <c r="B2" i="59"/>
  <c r="B1" i="59"/>
  <c r="N102" i="2" l="1" a="1"/>
  <c r="N102" i="2" s="1"/>
  <c r="C78" i="4" l="1"/>
  <c r="K47" i="58" l="1"/>
  <c r="L47" i="58"/>
  <c r="N47" i="58"/>
  <c r="O47" i="58"/>
  <c r="P47" i="58"/>
  <c r="Q47" i="58"/>
  <c r="R47" i="58"/>
  <c r="S47" i="58"/>
  <c r="J47" i="58"/>
  <c r="W56" i="58"/>
  <c r="W29" i="58"/>
  <c r="T102" i="2" l="1" a="1"/>
  <c r="T102" i="2" s="1"/>
  <c r="S102" i="2" a="1"/>
  <c r="S102" i="2" s="1"/>
  <c r="R102" i="2" a="1"/>
  <c r="R102" i="2" s="1"/>
  <c r="Q102" i="2" a="1"/>
  <c r="Q102" i="2" s="1"/>
  <c r="O102" i="2" a="1"/>
  <c r="O102" i="2" s="1"/>
  <c r="M102" i="2" a="1"/>
  <c r="M102" i="2" s="1"/>
  <c r="L102" i="2" a="1"/>
  <c r="L102" i="2" s="1"/>
  <c r="K102" i="2" a="1"/>
  <c r="K102" i="2" s="1"/>
  <c r="J102" i="2" a="1"/>
  <c r="J102" i="2" s="1"/>
  <c r="C100" i="2"/>
  <c r="C99" i="2"/>
  <c r="C98" i="2"/>
  <c r="C97" i="2"/>
  <c r="C96" i="2"/>
  <c r="C95" i="2"/>
  <c r="W102" i="2" l="1"/>
  <c r="S1" i="58" l="1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28" i="42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G70" i="4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 l="1"/>
  <c r="G72" i="4" s="1"/>
  <c r="G73" i="4" s="1"/>
  <c r="G74" i="4" s="1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N4" i="42"/>
  <c r="M4" i="42"/>
  <c r="L4" i="42"/>
  <c r="K4" i="42"/>
  <c r="K35" i="42" s="1"/>
  <c r="J4" i="42"/>
  <c r="J35" i="42" s="1"/>
  <c r="S4" i="53"/>
  <c r="S10" i="53" s="1"/>
  <c r="R4" i="53"/>
  <c r="Q4" i="53"/>
  <c r="P4" i="53"/>
  <c r="P42" i="53" s="1"/>
  <c r="O4" i="53"/>
  <c r="N4" i="53"/>
  <c r="N42" i="53" s="1"/>
  <c r="M4" i="53"/>
  <c r="L4" i="53"/>
  <c r="L42" i="53" s="1"/>
  <c r="K4" i="53"/>
  <c r="J4" i="53"/>
  <c r="J4" i="2"/>
  <c r="J104" i="2" s="1"/>
  <c r="T4" i="2"/>
  <c r="T104" i="2" s="1"/>
  <c r="S4" i="2"/>
  <c r="S104" i="2" s="1"/>
  <c r="R4" i="2"/>
  <c r="R104" i="2" s="1"/>
  <c r="Q4" i="2"/>
  <c r="Q104" i="2" s="1"/>
  <c r="P4" i="2"/>
  <c r="P104" i="2" s="1"/>
  <c r="O4" i="2"/>
  <c r="O104" i="2" s="1"/>
  <c r="N4" i="2"/>
  <c r="N104" i="2" s="1"/>
  <c r="M4" i="2"/>
  <c r="M104" i="2" s="1"/>
  <c r="L4" i="2"/>
  <c r="L104" i="2" s="1"/>
  <c r="K4" i="2"/>
  <c r="K104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S107" i="2" l="1"/>
  <c r="S108" i="2"/>
  <c r="S109" i="2"/>
  <c r="S106" i="2"/>
  <c r="R107" i="2"/>
  <c r="R106" i="2"/>
  <c r="R109" i="2"/>
  <c r="R108" i="2"/>
  <c r="Q107" i="2"/>
  <c r="Q108" i="2"/>
  <c r="Q109" i="2"/>
  <c r="Q106" i="2"/>
  <c r="P107" i="2"/>
  <c r="P109" i="2"/>
  <c r="P106" i="2"/>
  <c r="P108" i="2"/>
  <c r="T109" i="2"/>
  <c r="T106" i="2"/>
  <c r="T108" i="2"/>
  <c r="T107" i="2"/>
  <c r="N34" i="58"/>
  <c r="R34" i="58"/>
  <c r="K108" i="2"/>
  <c r="K107" i="2"/>
  <c r="K106" i="2"/>
  <c r="K109" i="2"/>
  <c r="O108" i="2"/>
  <c r="O107" i="2"/>
  <c r="O106" i="2"/>
  <c r="O109" i="2"/>
  <c r="L109" i="2"/>
  <c r="L108" i="2"/>
  <c r="L107" i="2"/>
  <c r="L106" i="2"/>
  <c r="N107" i="2"/>
  <c r="N108" i="2"/>
  <c r="N109" i="2"/>
  <c r="N106" i="2"/>
  <c r="M106" i="2"/>
  <c r="M109" i="2"/>
  <c r="M108" i="2"/>
  <c r="M107" i="2"/>
  <c r="J107" i="2"/>
  <c r="J108" i="2"/>
  <c r="J106" i="2"/>
  <c r="J109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O49" i="42"/>
  <c r="O12" i="42"/>
  <c r="Q49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O10" i="2"/>
  <c r="O12" i="2" s="1"/>
  <c r="K10" i="2"/>
  <c r="K12" i="2" s="1"/>
  <c r="M14" i="2"/>
  <c r="Q14" i="2"/>
  <c r="J24" i="2"/>
  <c r="K75" i="2"/>
  <c r="O75" i="2"/>
  <c r="S75" i="2"/>
  <c r="J64" i="2"/>
  <c r="Q64" i="2"/>
  <c r="M64" i="2"/>
  <c r="L10" i="58"/>
  <c r="P10" i="58"/>
  <c r="J34" i="58"/>
  <c r="J10" i="2"/>
  <c r="J12" i="2" s="1"/>
  <c r="Q10" i="2"/>
  <c r="M10" i="2"/>
  <c r="M12" i="2" s="1"/>
  <c r="K14" i="2"/>
  <c r="O14" i="2"/>
  <c r="S14" i="2"/>
  <c r="J49" i="2"/>
  <c r="M75" i="2"/>
  <c r="Q75" i="2"/>
  <c r="J113" i="2"/>
  <c r="S64" i="2"/>
  <c r="O64" i="2"/>
  <c r="K64" i="2"/>
  <c r="M34" i="58"/>
  <c r="M10" i="58"/>
  <c r="O34" i="58"/>
  <c r="O10" i="58"/>
  <c r="S34" i="58"/>
  <c r="S10" i="58"/>
  <c r="L64" i="2"/>
  <c r="L75" i="2"/>
  <c r="L14" i="2"/>
  <c r="L10" i="2"/>
  <c r="L12" i="2" s="1"/>
  <c r="P64" i="2"/>
  <c r="P75" i="2"/>
  <c r="P14" i="2"/>
  <c r="P10" i="2"/>
  <c r="R64" i="2"/>
  <c r="R75" i="2"/>
  <c r="R14" i="2"/>
  <c r="R10" i="2"/>
  <c r="T64" i="2"/>
  <c r="T75" i="2"/>
  <c r="T14" i="2"/>
  <c r="T10" i="2"/>
  <c r="J32" i="53"/>
  <c r="J10" i="53"/>
  <c r="R32" i="53"/>
  <c r="R10" i="53"/>
  <c r="L49" i="42"/>
  <c r="L24" i="2"/>
  <c r="P24" i="2"/>
  <c r="T24" i="2"/>
  <c r="R36" i="2"/>
  <c r="N36" i="2"/>
  <c r="N49" i="2"/>
  <c r="R49" i="2"/>
  <c r="L113" i="2"/>
  <c r="P113" i="2"/>
  <c r="T113" i="2"/>
  <c r="L10" i="53"/>
  <c r="P32" i="53"/>
  <c r="K34" i="58"/>
  <c r="K10" i="58"/>
  <c r="Q34" i="58"/>
  <c r="Q10" i="58"/>
  <c r="N64" i="2"/>
  <c r="N75" i="2"/>
  <c r="N14" i="2"/>
  <c r="N10" i="2"/>
  <c r="N12" i="2" s="1"/>
  <c r="N32" i="53"/>
  <c r="N10" i="53"/>
  <c r="J49" i="42"/>
  <c r="N24" i="2"/>
  <c r="R24" i="2"/>
  <c r="T36" i="2"/>
  <c r="P36" i="2"/>
  <c r="L36" i="2"/>
  <c r="L49" i="2"/>
  <c r="P49" i="2"/>
  <c r="T49" i="2"/>
  <c r="N113" i="2"/>
  <c r="R113" i="2"/>
  <c r="P10" i="53"/>
  <c r="L32" i="53"/>
  <c r="J42" i="53"/>
  <c r="R42" i="53"/>
  <c r="K42" i="53"/>
  <c r="K32" i="53"/>
  <c r="K10" i="53"/>
  <c r="M42" i="53"/>
  <c r="M32" i="53"/>
  <c r="M10" i="53"/>
  <c r="O42" i="53"/>
  <c r="O32" i="53"/>
  <c r="O10" i="53"/>
  <c r="Q42" i="53"/>
  <c r="Q32" i="53"/>
  <c r="Q10" i="53"/>
  <c r="S42" i="53"/>
  <c r="S32" i="53"/>
  <c r="K49" i="42"/>
  <c r="M49" i="42"/>
  <c r="S49" i="42"/>
  <c r="J14" i="2"/>
  <c r="K24" i="2"/>
  <c r="M24" i="2"/>
  <c r="O24" i="2"/>
  <c r="Q24" i="2"/>
  <c r="S24" i="2"/>
  <c r="J36" i="2"/>
  <c r="S36" i="2"/>
  <c r="Q36" i="2"/>
  <c r="O36" i="2"/>
  <c r="M36" i="2"/>
  <c r="K36" i="2"/>
  <c r="K49" i="2"/>
  <c r="M49" i="2"/>
  <c r="O49" i="2"/>
  <c r="Q49" i="2"/>
  <c r="S49" i="2"/>
  <c r="J75" i="2"/>
  <c r="K113" i="2"/>
  <c r="M113" i="2"/>
  <c r="O113" i="2"/>
  <c r="Q113" i="2"/>
  <c r="S113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5" i="2"/>
  <c r="Q28" i="42" l="1"/>
  <c r="M28" i="42"/>
  <c r="S28" i="42"/>
  <c r="R28" i="42"/>
  <c r="P28" i="42"/>
  <c r="J28" i="42"/>
  <c r="O28" i="42"/>
  <c r="N28" i="42"/>
  <c r="K28" i="42"/>
  <c r="L28" i="42"/>
  <c r="E49" i="42"/>
  <c r="E46" i="42"/>
  <c r="E43" i="42"/>
  <c r="E37" i="42"/>
  <c r="F27" i="58"/>
  <c r="F26" i="58"/>
  <c r="F25" i="58"/>
  <c r="F24" i="58"/>
  <c r="F23" i="58"/>
  <c r="F22" i="58"/>
  <c r="F21" i="58"/>
  <c r="F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6" i="42"/>
  <c r="E106" i="42"/>
  <c r="F108" i="42" l="1"/>
  <c r="F107" i="42"/>
  <c r="F100" i="42"/>
  <c r="F98" i="42"/>
  <c r="F97" i="42"/>
  <c r="F96" i="42"/>
  <c r="F90" i="42"/>
  <c r="F74" i="42"/>
  <c r="S46" i="53"/>
  <c r="Q46" i="53"/>
  <c r="O46" i="53"/>
  <c r="N28" i="53"/>
  <c r="M46" i="53"/>
  <c r="L28" i="53"/>
  <c r="K46" i="53"/>
  <c r="J28" i="53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K117" i="2"/>
  <c r="S117" i="2"/>
  <c r="Q117" i="2"/>
  <c r="O117" i="2"/>
  <c r="M117" i="2"/>
  <c r="C24" i="4"/>
  <c r="S9" i="54"/>
  <c r="K14" i="42" l="1"/>
  <c r="M14" i="42"/>
  <c r="O14" i="42"/>
  <c r="Q14" i="42"/>
  <c r="S14" i="42"/>
  <c r="N14" i="42"/>
  <c r="P14" i="42"/>
  <c r="R14" i="42"/>
  <c r="J104" i="42"/>
  <c r="L104" i="42"/>
  <c r="N104" i="42"/>
  <c r="P104" i="42"/>
  <c r="R104" i="42"/>
  <c r="K104" i="42"/>
  <c r="M104" i="42"/>
  <c r="O104" i="42"/>
  <c r="Q104" i="42"/>
  <c r="S104" i="42"/>
  <c r="J94" i="42"/>
  <c r="J72" i="42"/>
  <c r="J58" i="42"/>
  <c r="L94" i="42"/>
  <c r="L72" i="42"/>
  <c r="L58" i="42"/>
  <c r="N94" i="42"/>
  <c r="N72" i="42"/>
  <c r="N58" i="42"/>
  <c r="N61" i="42" s="1"/>
  <c r="P94" i="42"/>
  <c r="P72" i="42"/>
  <c r="P58" i="42"/>
  <c r="P61" i="42" s="1"/>
  <c r="R94" i="42"/>
  <c r="R72" i="42"/>
  <c r="R58" i="42"/>
  <c r="R61" i="42" s="1"/>
  <c r="K58" i="42"/>
  <c r="M58" i="42"/>
  <c r="O58" i="42"/>
  <c r="O61" i="42" s="1"/>
  <c r="Q58" i="42"/>
  <c r="Q61" i="42" s="1"/>
  <c r="S58" i="42"/>
  <c r="S61" i="42" s="1"/>
  <c r="K72" i="42"/>
  <c r="M72" i="42"/>
  <c r="O72" i="42"/>
  <c r="Q72" i="42"/>
  <c r="S72" i="42"/>
  <c r="K94" i="42"/>
  <c r="M94" i="42"/>
  <c r="O94" i="42"/>
  <c r="Q94" i="42"/>
  <c r="S94" i="42"/>
  <c r="M28" i="53"/>
  <c r="K28" i="53"/>
  <c r="J38" i="53"/>
  <c r="L38" i="53"/>
  <c r="N38" i="53"/>
  <c r="P38" i="53"/>
  <c r="R38" i="53"/>
  <c r="J46" i="53"/>
  <c r="L46" i="53"/>
  <c r="N46" i="53"/>
  <c r="P46" i="53"/>
  <c r="R46" i="53"/>
  <c r="K38" i="53"/>
  <c r="M38" i="53"/>
  <c r="O38" i="53"/>
  <c r="Q38" i="53"/>
  <c r="S38" i="53"/>
  <c r="K47" i="2"/>
  <c r="M47" i="2"/>
  <c r="Q60" i="2"/>
  <c r="M60" i="2"/>
  <c r="O47" i="2"/>
  <c r="K60" i="2"/>
  <c r="O60" i="2"/>
  <c r="S60" i="2"/>
  <c r="L60" i="2"/>
  <c r="L47" i="2"/>
  <c r="L117" i="2"/>
  <c r="L73" i="2"/>
  <c r="N60" i="2"/>
  <c r="N47" i="2"/>
  <c r="N117" i="2"/>
  <c r="N73" i="2"/>
  <c r="P60" i="2"/>
  <c r="P117" i="2"/>
  <c r="P73" i="2"/>
  <c r="R60" i="2"/>
  <c r="R117" i="2"/>
  <c r="R73" i="2"/>
  <c r="T60" i="2"/>
  <c r="T117" i="2"/>
  <c r="T73" i="2"/>
  <c r="J60" i="2"/>
  <c r="J117" i="2"/>
  <c r="J73" i="2"/>
  <c r="J47" i="2"/>
  <c r="R12" i="2"/>
  <c r="T12" i="2"/>
  <c r="P12" i="2"/>
  <c r="S12" i="2"/>
  <c r="Q12" i="2"/>
  <c r="S73" i="2"/>
  <c r="Q73" i="2"/>
  <c r="O73" i="2"/>
  <c r="M73" i="2"/>
  <c r="K73" i="2"/>
  <c r="J61" i="42" l="1"/>
  <c r="L61" i="42"/>
  <c r="M61" i="42"/>
  <c r="K61" i="42"/>
  <c r="W73" i="2"/>
  <c r="W46" i="53"/>
  <c r="W38" i="53"/>
  <c r="W60" i="2"/>
  <c r="W117" i="2"/>
  <c r="P47" i="2" l="1"/>
  <c r="S47" i="2"/>
  <c r="Q47" i="2"/>
  <c r="R47" i="2"/>
  <c r="T47" i="2"/>
  <c r="W47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90" i="42" l="1"/>
  <c r="E108" i="42" l="1"/>
  <c r="F17" i="42" l="1"/>
  <c r="F15" i="42"/>
  <c r="F54" i="42"/>
  <c r="F52" i="42"/>
  <c r="C96" i="42" l="1"/>
  <c r="C97" i="42"/>
  <c r="C98" i="42"/>
  <c r="F13" i="44"/>
  <c r="E54" i="42"/>
  <c r="F33" i="42"/>
  <c r="E52" i="42"/>
  <c r="F13" i="42"/>
  <c r="E13" i="42"/>
  <c r="E15" i="42"/>
  <c r="E13" i="44"/>
  <c r="E107" i="42"/>
  <c r="E17" i="42"/>
  <c r="E96" i="42"/>
  <c r="E97" i="42"/>
  <c r="E98" i="42"/>
  <c r="E100" i="42"/>
  <c r="E33" i="42"/>
  <c r="S11" i="54"/>
  <c r="S14" i="54"/>
  <c r="G15" i="16"/>
  <c r="G16" i="16"/>
  <c r="G11" i="16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8" i="2"/>
  <c r="C79" i="2"/>
  <c r="C80" i="2"/>
  <c r="C81" i="2"/>
  <c r="C82" i="2"/>
  <c r="C77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l="1" a="1"/>
  <c r="M68" i="42" s="1"/>
  <c r="J68" i="42" a="1"/>
  <c r="J68" i="42" s="1"/>
  <c r="L68" i="42" a="1"/>
  <c r="L68" i="42" s="1"/>
  <c r="K68" i="42" a="1"/>
  <c r="K68" i="42" s="1"/>
  <c r="N68" i="42" a="1"/>
  <c r="N68" i="42" s="1"/>
  <c r="C26" i="2" a="1"/>
  <c r="C16" i="2" a="1"/>
  <c r="P67" i="42"/>
  <c r="O67" i="42"/>
  <c r="O68" i="42" s="1" a="1"/>
  <c r="O68" i="42" s="1"/>
  <c r="S67" i="42"/>
  <c r="Q67" i="42"/>
  <c r="S68" i="42" l="1" a="1"/>
  <c r="S68" i="42" s="1"/>
  <c r="R68" i="42" a="1"/>
  <c r="R68" i="42" s="1"/>
  <c r="Q68" i="42" a="1"/>
  <c r="Q68" i="42" s="1"/>
  <c r="P68" i="42" a="1"/>
  <c r="P68" i="42" s="1"/>
  <c r="C26" i="2"/>
  <c r="C28" i="2"/>
  <c r="C30" i="2"/>
  <c r="C27" i="2"/>
  <c r="C29" i="2"/>
  <c r="C31" i="2"/>
  <c r="C16" i="2"/>
  <c r="C18" i="2"/>
  <c r="C20" i="2"/>
  <c r="C17" i="2"/>
  <c r="C19" i="2"/>
  <c r="C21" i="2"/>
  <c r="O21" i="2" s="1"/>
  <c r="N21" i="2" l="1"/>
  <c r="M19" i="2"/>
  <c r="M29" i="2" s="1"/>
  <c r="N20" i="2"/>
  <c r="O20" i="2" s="1"/>
  <c r="J16" i="2"/>
  <c r="K16" i="2" s="1"/>
  <c r="K26" i="2" s="1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13" i="42" s="1"/>
  <c r="R26" i="42" s="1"/>
  <c r="R31" i="2"/>
  <c r="Q31" i="2"/>
  <c r="P13" i="42" s="1"/>
  <c r="P26" i="42" s="1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P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S13" i="42" l="1"/>
  <c r="S26" i="42" s="1"/>
  <c r="P20" i="42"/>
  <c r="S20" i="42"/>
  <c r="R20" i="42"/>
  <c r="Q20" i="42"/>
  <c r="M21" i="2"/>
  <c r="O30" i="2"/>
  <c r="K18" i="2"/>
  <c r="K28" i="2" s="1"/>
  <c r="O31" i="2"/>
  <c r="J17" i="2"/>
  <c r="J27" i="2" s="1"/>
  <c r="L19" i="2"/>
  <c r="L29" i="2" s="1"/>
  <c r="L16" i="2"/>
  <c r="L26" i="2" s="1"/>
  <c r="M18" i="2"/>
  <c r="L17" i="2"/>
  <c r="L27" i="2" s="1"/>
  <c r="P31" i="2"/>
  <c r="M20" i="2"/>
  <c r="M30" i="2" s="1"/>
  <c r="N31" i="2"/>
  <c r="M47" i="58" s="1"/>
  <c r="N19" i="2"/>
  <c r="N29" i="2" s="1"/>
  <c r="Q13" i="42"/>
  <c r="Q26" i="42" s="1"/>
  <c r="J26" i="2"/>
  <c r="N30" i="2"/>
  <c r="M12" i="42" l="1"/>
  <c r="M16" i="2"/>
  <c r="M26" i="2" s="1"/>
  <c r="L21" i="2"/>
  <c r="L20" i="2"/>
  <c r="L30" i="2" s="1"/>
  <c r="M17" i="2"/>
  <c r="K19" i="2"/>
  <c r="K29" i="2" s="1"/>
  <c r="O19" i="2"/>
  <c r="O29" i="2" s="1"/>
  <c r="N18" i="2"/>
  <c r="N28" i="2" s="1"/>
  <c r="J18" i="2"/>
  <c r="J28" i="2" s="1"/>
  <c r="P29" i="2"/>
  <c r="P27" i="2"/>
  <c r="P28" i="2"/>
  <c r="M31" i="2"/>
  <c r="M28" i="2"/>
  <c r="N16" i="2" l="1"/>
  <c r="O16" i="2" s="1"/>
  <c r="L20" i="42"/>
  <c r="L13" i="42"/>
  <c r="L26" i="42" s="1"/>
  <c r="K21" i="2"/>
  <c r="O18" i="2"/>
  <c r="J19" i="2"/>
  <c r="J29" i="2" s="1"/>
  <c r="N17" i="2"/>
  <c r="M27" i="2"/>
  <c r="K20" i="2"/>
  <c r="K30" i="2" s="1"/>
  <c r="L31" i="2"/>
  <c r="Q75" i="42" l="1"/>
  <c r="S77" i="42"/>
  <c r="S82" i="42"/>
  <c r="O83" i="42"/>
  <c r="S80" i="42"/>
  <c r="R85" i="42"/>
  <c r="S78" i="42"/>
  <c r="Q81" i="42"/>
  <c r="O84" i="42"/>
  <c r="Q79" i="42"/>
  <c r="R75" i="42"/>
  <c r="O78" i="42"/>
  <c r="O81" i="42"/>
  <c r="R83" i="42"/>
  <c r="R88" i="42"/>
  <c r="Q86" i="42"/>
  <c r="P84" i="42"/>
  <c r="S75" i="42"/>
  <c r="P78" i="42"/>
  <c r="O88" i="42"/>
  <c r="S85" i="42"/>
  <c r="O79" i="42"/>
  <c r="R81" i="42"/>
  <c r="S88" i="42"/>
  <c r="P74" i="42"/>
  <c r="O76" i="42"/>
  <c r="P76" i="42"/>
  <c r="Q76" i="42"/>
  <c r="R76" i="42"/>
  <c r="S76" i="42"/>
  <c r="O77" i="42"/>
  <c r="P77" i="42"/>
  <c r="R79" i="42"/>
  <c r="O82" i="42"/>
  <c r="Q84" i="42"/>
  <c r="S86" i="42"/>
  <c r="Q74" i="42"/>
  <c r="P87" i="42"/>
  <c r="S74" i="42"/>
  <c r="P80" i="42"/>
  <c r="R82" i="42"/>
  <c r="Q87" i="42"/>
  <c r="Q80" i="42"/>
  <c r="R87" i="42"/>
  <c r="R80" i="42"/>
  <c r="S87" i="42"/>
  <c r="Q78" i="42"/>
  <c r="P83" i="42"/>
  <c r="R78" i="42"/>
  <c r="Q83" i="42"/>
  <c r="P81" i="42"/>
  <c r="O86" i="42"/>
  <c r="S83" i="42"/>
  <c r="P79" i="42"/>
  <c r="S81" i="42"/>
  <c r="O75" i="42"/>
  <c r="Q77" i="42"/>
  <c r="S79" i="42"/>
  <c r="P82" i="42"/>
  <c r="R84" i="42"/>
  <c r="O87" i="42"/>
  <c r="R74" i="42"/>
  <c r="R77" i="42"/>
  <c r="O80" i="42"/>
  <c r="Q82" i="42"/>
  <c r="S84" i="42"/>
  <c r="P75" i="42"/>
  <c r="O85" i="42"/>
  <c r="P85" i="42"/>
  <c r="Q85" i="42"/>
  <c r="P88" i="42"/>
  <c r="Q88" i="42"/>
  <c r="P86" i="42"/>
  <c r="R86" i="42"/>
  <c r="L24" i="42"/>
  <c r="N22" i="42"/>
  <c r="J24" i="42"/>
  <c r="M24" i="42"/>
  <c r="J22" i="42"/>
  <c r="N26" i="2"/>
  <c r="L22" i="42"/>
  <c r="P22" i="42"/>
  <c r="S17" i="42"/>
  <c r="N24" i="42"/>
  <c r="Q22" i="42"/>
  <c r="K17" i="42"/>
  <c r="S22" i="42"/>
  <c r="Q24" i="42"/>
  <c r="S15" i="42"/>
  <c r="O15" i="42"/>
  <c r="O74" i="42"/>
  <c r="M38" i="42"/>
  <c r="O38" i="42"/>
  <c r="S38" i="42"/>
  <c r="Q38" i="42"/>
  <c r="L38" i="42"/>
  <c r="K74" i="42"/>
  <c r="R38" i="42"/>
  <c r="P38" i="42"/>
  <c r="J74" i="42"/>
  <c r="M74" i="42"/>
  <c r="L74" i="42"/>
  <c r="J38" i="42"/>
  <c r="N38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O17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1" i="2" s="1"/>
  <c r="J20" i="2"/>
  <c r="J30" i="2" s="1"/>
  <c r="O17" i="2"/>
  <c r="M29" i="42" s="1"/>
  <c r="N27" i="2"/>
  <c r="O28" i="2"/>
  <c r="P26" i="2"/>
  <c r="O26" i="2"/>
  <c r="K31" i="2"/>
  <c r="N20" i="42" l="1"/>
  <c r="N13" i="42"/>
  <c r="N26" i="42" s="1"/>
  <c r="O20" i="42"/>
  <c r="O13" i="42"/>
  <c r="O26" i="42" s="1"/>
  <c r="M20" i="42"/>
  <c r="M13" i="42"/>
  <c r="M26" i="42" s="1"/>
  <c r="J79" i="42"/>
  <c r="L76" i="42"/>
  <c r="N88" i="42"/>
  <c r="Q29" i="42"/>
  <c r="J78" i="42"/>
  <c r="K80" i="42"/>
  <c r="S96" i="42"/>
  <c r="P29" i="42"/>
  <c r="P50" i="42"/>
  <c r="K44" i="42"/>
  <c r="M98" i="42"/>
  <c r="M16" i="44" s="1"/>
  <c r="J76" i="42"/>
  <c r="K41" i="42"/>
  <c r="M76" i="42"/>
  <c r="R29" i="42"/>
  <c r="S98" i="42"/>
  <c r="S16" i="44" s="1"/>
  <c r="K97" i="42"/>
  <c r="K15" i="44" s="1"/>
  <c r="S47" i="42"/>
  <c r="M44" i="42"/>
  <c r="J88" i="42"/>
  <c r="L96" i="42"/>
  <c r="L14" i="44" s="1"/>
  <c r="M81" i="42"/>
  <c r="Q98" i="42"/>
  <c r="Q16" i="44" s="1"/>
  <c r="R47" i="42"/>
  <c r="J47" i="42"/>
  <c r="N79" i="42"/>
  <c r="L80" i="42"/>
  <c r="K47" i="42"/>
  <c r="M97" i="42"/>
  <c r="M15" i="44" s="1"/>
  <c r="N76" i="42"/>
  <c r="J80" i="42"/>
  <c r="O29" i="42"/>
  <c r="M50" i="42"/>
  <c r="J96" i="42"/>
  <c r="J14" i="44" s="1"/>
  <c r="L98" i="42"/>
  <c r="L16" i="44" s="1"/>
  <c r="J41" i="42"/>
  <c r="L78" i="42"/>
  <c r="Q44" i="42"/>
  <c r="K81" i="42"/>
  <c r="L88" i="42"/>
  <c r="Q41" i="42"/>
  <c r="Q50" i="42"/>
  <c r="J98" i="42"/>
  <c r="J16" i="44" s="1"/>
  <c r="O96" i="42"/>
  <c r="O14" i="44" s="1"/>
  <c r="N41" i="42"/>
  <c r="P44" i="42"/>
  <c r="P96" i="42"/>
  <c r="P14" i="44" s="1"/>
  <c r="L29" i="42"/>
  <c r="N78" i="42"/>
  <c r="N75" i="42"/>
  <c r="K96" i="42"/>
  <c r="K14" i="44" s="1"/>
  <c r="M96" i="42"/>
  <c r="N47" i="42"/>
  <c r="L50" i="42"/>
  <c r="N50" i="42"/>
  <c r="J81" i="42"/>
  <c r="L77" i="42"/>
  <c r="S97" i="42"/>
  <c r="S15" i="44" s="1"/>
  <c r="N44" i="42"/>
  <c r="P97" i="42"/>
  <c r="P15" i="44" s="1"/>
  <c r="Q97" i="42"/>
  <c r="Q15" i="44" s="1"/>
  <c r="J77" i="42"/>
  <c r="K50" i="42"/>
  <c r="N29" i="42"/>
  <c r="J50" i="42"/>
  <c r="R96" i="42"/>
  <c r="R14" i="44" s="1"/>
  <c r="L44" i="42"/>
  <c r="L47" i="42"/>
  <c r="S41" i="42"/>
  <c r="N97" i="42"/>
  <c r="N15" i="44" s="1"/>
  <c r="O97" i="42"/>
  <c r="O15" i="44" s="1"/>
  <c r="R44" i="42"/>
  <c r="R97" i="42"/>
  <c r="R15" i="44" s="1"/>
  <c r="R50" i="42"/>
  <c r="K88" i="42"/>
  <c r="O98" i="42"/>
  <c r="O16" i="44" s="1"/>
  <c r="R98" i="42"/>
  <c r="R16" i="44" s="1"/>
  <c r="N77" i="42"/>
  <c r="N81" i="42"/>
  <c r="K78" i="42"/>
  <c r="L79" i="42"/>
  <c r="M41" i="42"/>
  <c r="M78" i="42"/>
  <c r="L97" i="42"/>
  <c r="L15" i="44" s="1"/>
  <c r="N96" i="42"/>
  <c r="N14" i="44" s="1"/>
  <c r="P47" i="42"/>
  <c r="M47" i="42"/>
  <c r="R41" i="42"/>
  <c r="L41" i="42"/>
  <c r="J29" i="42"/>
  <c r="P41" i="42"/>
  <c r="J97" i="42"/>
  <c r="J15" i="44" s="1"/>
  <c r="Q47" i="42"/>
  <c r="O47" i="42"/>
  <c r="K98" i="42"/>
  <c r="K16" i="44" s="1"/>
  <c r="L75" i="42"/>
  <c r="S50" i="42"/>
  <c r="M88" i="42"/>
  <c r="O50" i="42"/>
  <c r="O44" i="42"/>
  <c r="L81" i="42"/>
  <c r="O41" i="42"/>
  <c r="P98" i="42"/>
  <c r="P16" i="44" s="1"/>
  <c r="N80" i="42"/>
  <c r="K75" i="42"/>
  <c r="M80" i="42"/>
  <c r="K76" i="42"/>
  <c r="J44" i="42"/>
  <c r="M77" i="42"/>
  <c r="Q96" i="42"/>
  <c r="K77" i="42"/>
  <c r="J75" i="42"/>
  <c r="M79" i="42"/>
  <c r="K29" i="42"/>
  <c r="S44" i="42"/>
  <c r="S29" i="42"/>
  <c r="M75" i="42"/>
  <c r="N98" i="42"/>
  <c r="N16" i="44" s="1"/>
  <c r="K79" i="42"/>
  <c r="M14" i="44"/>
  <c r="J13" i="42"/>
  <c r="J26" i="42" s="1"/>
  <c r="J20" i="42"/>
  <c r="M35" i="42" s="1"/>
  <c r="O27" i="2"/>
  <c r="K52" i="42" l="1"/>
  <c r="K54" i="42" s="1"/>
  <c r="Q100" i="42"/>
  <c r="L100" i="42"/>
  <c r="M100" i="42"/>
  <c r="P100" i="42"/>
  <c r="K100" i="42"/>
  <c r="R52" i="42"/>
  <c r="R54" i="42" s="1"/>
  <c r="S52" i="42"/>
  <c r="S54" i="42" s="1"/>
  <c r="N100" i="42"/>
  <c r="Q52" i="42"/>
  <c r="Q54" i="42" s="1"/>
  <c r="S100" i="42"/>
  <c r="M90" i="42"/>
  <c r="J90" i="42"/>
  <c r="R100" i="42"/>
  <c r="N90" i="42"/>
  <c r="Q14" i="44"/>
  <c r="S14" i="44"/>
  <c r="K90" i="42"/>
  <c r="L90" i="42"/>
  <c r="P52" i="42"/>
  <c r="P54" i="42" s="1"/>
  <c r="O100" i="42"/>
  <c r="J52" i="42"/>
  <c r="J54" i="42" s="1"/>
  <c r="J100" i="42"/>
  <c r="O33" i="42"/>
  <c r="O52" i="42" s="1"/>
  <c r="L35" i="42"/>
  <c r="O35" i="42"/>
  <c r="L33" i="42"/>
  <c r="L52" i="42" s="1"/>
  <c r="N35" i="42"/>
  <c r="K106" i="42" l="1"/>
  <c r="K13" i="44" s="1"/>
  <c r="K107" i="42"/>
  <c r="K108" i="42" s="1"/>
  <c r="L106" i="42"/>
  <c r="L13" i="44" s="1"/>
  <c r="L107" i="42"/>
  <c r="L108" i="42" s="1"/>
  <c r="J107" i="42"/>
  <c r="J108" i="42" s="1"/>
  <c r="J106" i="42"/>
  <c r="J13" i="44" s="1"/>
  <c r="O54" i="42"/>
  <c r="L54" i="42"/>
  <c r="M106" i="42" l="1"/>
  <c r="M13" i="44" s="1"/>
  <c r="M107" i="42"/>
  <c r="M108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7" i="42"/>
  <c r="N108" i="42" s="1"/>
  <c r="N106" i="42"/>
  <c r="N13" i="44" s="1"/>
  <c r="Q28" i="53" l="1"/>
  <c r="Q90" i="42"/>
  <c r="R28" i="53"/>
  <c r="R90" i="42"/>
  <c r="P28" i="53"/>
  <c r="P90" i="42"/>
  <c r="O28" i="53"/>
  <c r="O90" i="42"/>
  <c r="S28" i="53"/>
  <c r="S90" i="42"/>
  <c r="S107" i="42" l="1"/>
  <c r="S106" i="42"/>
  <c r="S13" i="44" s="1"/>
  <c r="Q107" i="42"/>
  <c r="Q106" i="42"/>
  <c r="Q13" i="44" s="1"/>
  <c r="W28" i="53"/>
  <c r="S1" i="53" s="1"/>
  <c r="G14" i="16" s="1"/>
  <c r="S1" i="16" s="1"/>
  <c r="R106" i="42"/>
  <c r="R13" i="44" s="1"/>
  <c r="R107" i="42"/>
  <c r="O106" i="42"/>
  <c r="O107" i="42"/>
  <c r="P107" i="42"/>
  <c r="P106" i="42"/>
  <c r="P13" i="44" s="1"/>
  <c r="O13" i="44" l="1"/>
  <c r="P108" i="42"/>
  <c r="R108" i="42"/>
  <c r="Q108" i="42"/>
  <c r="V1" i="44"/>
  <c r="V1" i="54"/>
  <c r="V1" i="53"/>
  <c r="V1" i="42"/>
  <c r="P1" i="55"/>
  <c r="W1" i="2"/>
  <c r="V1" i="58"/>
  <c r="V1" i="4"/>
  <c r="O108" i="42"/>
  <c r="S108" i="4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<sst xmlns="http://schemas.openxmlformats.org/spreadsheetml/2006/main" count="848" uniqueCount="289">
  <si>
    <t>AER opex model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</si>
  <si>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</si>
  <si>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</si>
  <si>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</si>
  <si>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</si>
  <si>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</si>
  <si>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</si>
  <si>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</si>
  <si>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</si>
  <si>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</si>
  <si>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</si>
  <si>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</si>
  <si>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</si>
  <si>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</si>
  <si>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</si>
  <si>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</si>
  <si>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</t>
  </si>
  <si>
    <t>Output | Models</t>
  </si>
  <si>
    <t>Outputs the forecasts needed as a post tax revenue model inputs</t>
  </si>
  <si>
    <t>Lookup | Tables</t>
  </si>
  <si>
    <t>Includes the lookup tables used within this opex model.</t>
  </si>
  <si>
    <t>Check | List</t>
  </si>
  <si>
    <t>Shows checks on the calculations within the model</t>
  </si>
  <si>
    <t>Source data</t>
  </si>
  <si>
    <t>Summary of source data for key inputs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</si>
  <si>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</si>
  <si>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</si>
  <si>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</si>
  <si>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</si>
  <si>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</si>
  <si>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</si>
  <si>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</si>
  <si>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</si>
  <si>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</si>
  <si>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</si>
  <si>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</si>
  <si>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</si>
  <si>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</si>
  <si>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</si>
  <si>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SA Power Networks</t>
  </si>
  <si>
    <t>Decision stage</t>
  </si>
  <si>
    <t>AER</t>
  </si>
  <si>
    <t>Proposal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</si>
  <si>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</si>
  <si>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</si>
  <si>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</si>
  <si>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</si>
  <si>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</si>
  <si>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</si>
  <si>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Trend from base or final year</t>
  </si>
  <si>
    <t>Final</t>
  </si>
  <si>
    <t>Units</t>
  </si>
  <si>
    <t>$millions</t>
  </si>
  <si>
    <t>Index value, old base</t>
  </si>
  <si>
    <t>Percentage Change from Corresponding Quarter of Previous Year</t>
  </si>
  <si>
    <t>Index value, new base</t>
  </si>
  <si>
    <t>Forecast annual CPI growth</t>
  </si>
  <si>
    <t>Forecast and actual index value</t>
  </si>
  <si>
    <t>ABS</t>
  </si>
  <si>
    <t>Calculated</t>
  </si>
  <si>
    <t>RBA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</si>
  <si>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</si>
  <si>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</si>
  <si>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</si>
  <si>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</si>
  <si>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</si>
  <si>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</si>
  <si>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</si>
  <si>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</si>
  <si>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Excludes debt raising costs</t>
  </si>
  <si>
    <t>Allowances related to category specific forecasts</t>
  </si>
  <si>
    <t>Total opex, categories forecast specifically</t>
  </si>
  <si>
    <t>Actual</t>
  </si>
  <si>
    <t>Estimate</t>
  </si>
  <si>
    <t>RIN</t>
  </si>
  <si>
    <t>nominal</t>
  </si>
  <si>
    <t>Categories of opex to be excluded from forecast opex (excluding category specific forecasts)</t>
  </si>
  <si>
    <t>Movement in provisions</t>
  </si>
  <si>
    <t>Total opex to be trended</t>
  </si>
  <si>
    <t>Expenditure related to category specific forecasts</t>
  </si>
  <si>
    <t>Input | Adjustments</t>
  </si>
  <si>
    <t>Adjustment</t>
  </si>
  <si>
    <t>Software as a service</t>
  </si>
  <si>
    <t>External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</si>
  <si>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</si>
  <si>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</si>
  <si>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</si>
  <si>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</si>
  <si>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</si>
  <si>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</si>
  <si>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</si>
  <si>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</si>
  <si>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</si>
  <si>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- KPMG forecast</t>
  </si>
  <si>
    <t>external</t>
  </si>
  <si>
    <t>WPI - Oxford Economics forecast</t>
  </si>
  <si>
    <t>WPI - Average</t>
  </si>
  <si>
    <t>Superannuation Guarantee Increase</t>
  </si>
  <si>
    <t>WPI - average + super guarentee increase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</si>
  <si>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</si>
  <si>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</si>
  <si>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</si>
  <si>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</si>
  <si>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</si>
  <si>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</si>
  <si>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</si>
  <si>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</si>
  <si>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</si>
  <si>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Circuit Length (km)</t>
  </si>
  <si>
    <t>Ratcheted Maximum Demand (MW)</t>
  </si>
  <si>
    <t>Growth rate</t>
  </si>
  <si>
    <t>Output elasticities</t>
  </si>
  <si>
    <t>SFA CD</t>
  </si>
  <si>
    <t>LSE CD</t>
  </si>
  <si>
    <t>LSE TLG</t>
  </si>
  <si>
    <t>SFA TLG</t>
  </si>
  <si>
    <t>Output weights</t>
  </si>
  <si>
    <t>Forecast output growth</t>
  </si>
  <si>
    <t>Input | Forecast productivity</t>
  </si>
  <si>
    <t>Partial factor productivity</t>
  </si>
  <si>
    <t>Input |Step changes</t>
  </si>
  <si>
    <t>Step change</t>
  </si>
  <si>
    <t>Input | Category specifc forecasts</t>
  </si>
  <si>
    <t>Category specific forecasts</t>
  </si>
  <si>
    <t>Input | Debt raising costs</t>
  </si>
  <si>
    <t>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</si>
  <si>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</si>
  <si>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</si>
  <si>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</si>
  <si>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</si>
  <si>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</si>
  <si>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</si>
  <si>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</si>
  <si>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</si>
  <si>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</si>
  <si>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</si>
  <si>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</si>
  <si>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</si>
  <si>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</si>
  <si>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</si>
  <si>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</si>
  <si>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</si>
  <si>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</si>
  <si>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</si>
  <si>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</t>
  </si>
  <si>
    <t>Forecast productivity change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</si>
  <si>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</si>
  <si>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</si>
  <si>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</si>
  <si>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</si>
  <si>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</si>
  <si>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</si>
  <si>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</si>
  <si>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</si>
  <si>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</si>
  <si>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</si>
  <si>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</si>
  <si>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</si>
  <si>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</si>
  <si>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</si>
  <si>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</si>
  <si>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Source of data</t>
  </si>
  <si>
    <t>Supporting document/link</t>
  </si>
  <si>
    <t>Actual inflation</t>
  </si>
  <si>
    <t>Australian Bureau of Statistics</t>
  </si>
  <si>
    <t>https://www.abs.gov.au/statistics/economy/price-indexes-and-inflation/consumer-price-index-australia/sep-quarter-2023/640101.xlsx</t>
  </si>
  <si>
    <t>Forecast inflation</t>
  </si>
  <si>
    <t>Pre-Dec 2025: RBA statement of monetary policy, August 2023.
Post-Dec 2025: RBA inflation target of 2.5% (2-3%)</t>
  </si>
  <si>
    <t>https://www.rba.gov.au/publications/smp/2023/aug/forecasts.html</t>
  </si>
  <si>
    <t>Reported Opex</t>
  </si>
  <si>
    <t>Opex allowances</t>
  </si>
  <si>
    <t>Total opex and debt raising costs</t>
  </si>
  <si>
    <t>SA Power Networks, 2020-25 PTRM, final decision.</t>
  </si>
  <si>
    <t>Total Opex (Actuals)</t>
  </si>
  <si>
    <t>SA Power Networks, Annual RIN, table 8.4.1</t>
  </si>
  <si>
    <t>Total Opex (Estimate)</t>
  </si>
  <si>
    <t>SA Power networks estimate, will be updated with actual for revised proposal.</t>
  </si>
  <si>
    <t>Adjustments</t>
  </si>
  <si>
    <t>June $2022</t>
  </si>
  <si>
    <t>June $2025</t>
  </si>
  <si>
    <t>IT Applications Refresh</t>
  </si>
  <si>
    <t>Business Case</t>
  </si>
  <si>
    <t>5.12.4 - IT Applications Refresh</t>
  </si>
  <si>
    <t>Data, Analytics and Intelligent Systems Refresh</t>
  </si>
  <si>
    <t>5.12.8 - Data, Analytics &amp; Intelligent Systems Refresh</t>
  </si>
  <si>
    <t xml:space="preserve">Click Replacement </t>
  </si>
  <si>
    <t>5.12.10 - Click Replacement</t>
  </si>
  <si>
    <t>Enterprise Data Warehouse Replacement &amp; Consolidation</t>
  </si>
  <si>
    <t>5.12.11 - Enterprise Data Warehouse Replacement &amp; Consolidation</t>
  </si>
  <si>
    <t>SAP Small Module Lifecycle Management and Optimisation</t>
  </si>
  <si>
    <t>5.12.14 - SAP Small Module Lifecycle Management &amp; Optimisation</t>
  </si>
  <si>
    <t>Asset and Work Phase 3</t>
  </si>
  <si>
    <t>5.12.15 - Assets &amp; Work Phase 3 (Asset Management Transformation Program)</t>
  </si>
  <si>
    <t>Customer Technology Program</t>
  </si>
  <si>
    <t>New Self Service</t>
  </si>
  <si>
    <t xml:space="preserve">5.12.22 - Customer Program: Personalised on Demand Services </t>
  </si>
  <si>
    <t>Customer Portals Consolidation</t>
  </si>
  <si>
    <t xml:space="preserve">5.12.18 - Customer Program: Consolidate Customer Portals </t>
  </si>
  <si>
    <t>Website Replacement</t>
  </si>
  <si>
    <t xml:space="preserve">5.12.17 - Customer Program: Website replacement </t>
  </si>
  <si>
    <t>Meter Data Insights System Replacement</t>
  </si>
  <si>
    <t xml:space="preserve">5.12.20 - Customer Program: Meter Data Insights System Replacement </t>
  </si>
  <si>
    <t>CRM Replacement &amp; Data Consolidation</t>
  </si>
  <si>
    <t>5.12.21 - Customer Program: CRM Replacement &amp; Data Consolidation</t>
  </si>
  <si>
    <t>Average annual cost</t>
  </si>
  <si>
    <t>KPMG forecast used in the Electranet 2023-28 final decision has been used as a placeholder. An average of the 2023/28 period was used.</t>
  </si>
  <si>
    <t>https://www.aer.gov.au/system/files/AER%20-%20ElectraNet%202023-28%20-%20Final%20decision%20-%20Opex%20model%20-%20April%202023.xlsx</t>
  </si>
  <si>
    <t>Consultant report, Oxford Economics</t>
  </si>
  <si>
    <t>6.2 - Oxford Economics - Utilities Construction Wage Forecasts to 2029-30</t>
  </si>
  <si>
    <t>Labour/non-labour weights</t>
  </si>
  <si>
    <t>As per AER 2023 benchmarking results and other recent AER determinations</t>
  </si>
  <si>
    <t>Customer Numbers</t>
  </si>
  <si>
    <t>Forecast growth based on 10 year average of historical RINs</t>
  </si>
  <si>
    <t>Rate of change forecast model (available on request)</t>
  </si>
  <si>
    <t>Circuit Length</t>
  </si>
  <si>
    <t>Ratcheted Maximum Demand</t>
  </si>
  <si>
    <t>Based on historical RINs and ESOO forecasts</t>
  </si>
  <si>
    <t>As per 2023 AER annual benchmarking results</t>
  </si>
  <si>
    <t>https://www.aer.gov.au/system/files/2023-11/Quantonomics%20%E2%80%93%20Benchmarking%20results%20for%20the%20AER%20%E2%80%93%20Distribution%20%E2%80%93%20November%202023.pdf</t>
  </si>
  <si>
    <t>Cyber Security Uplift</t>
  </si>
  <si>
    <t>5.12.9 - Cyber Security Uplift</t>
  </si>
  <si>
    <t>Smart Meter Rollout - IT upgrades</t>
  </si>
  <si>
    <t>19.4 - Legacy Metering Transition - Towards 2030</t>
  </si>
  <si>
    <t>IT Infrastructure Refresh</t>
  </si>
  <si>
    <t xml:space="preserve">5.12.7 - IT Infrastructure Refresh </t>
  </si>
  <si>
    <t xml:space="preserve">Operationalising Cyber Security </t>
  </si>
  <si>
    <t>5.12.6 - Cyber Security Refresh</t>
  </si>
  <si>
    <t>CER Compliance</t>
  </si>
  <si>
    <t>5.7.3 - CER Compliance</t>
  </si>
  <si>
    <t>CER Integration</t>
  </si>
  <si>
    <t>5.7.4 - CER Integration</t>
  </si>
  <si>
    <t>Network Visability</t>
  </si>
  <si>
    <t>5.7.6 - Visibility</t>
  </si>
  <si>
    <t>Increases to Insurance Premiums</t>
  </si>
  <si>
    <t>6.4 - Insurance Premium Increase</t>
  </si>
  <si>
    <t>Network Program Uplift</t>
  </si>
  <si>
    <t>5.2.5 - Resourcing Plan for Delivering the Network Program</t>
  </si>
  <si>
    <t>Reliability Improvements</t>
  </si>
  <si>
    <t>5.9.5 - Worst Served Customers Reliability Improvement Programs</t>
  </si>
  <si>
    <t>Transitioning to Electric Vehicles</t>
  </si>
  <si>
    <t>5.10.1 – Fleet Business Case</t>
  </si>
  <si>
    <t>Enactment of the Small Compensation Claims Regime</t>
  </si>
  <si>
    <t>6.5 – National Energy Retail Law Claims Regime</t>
  </si>
  <si>
    <t>Unit Denominations</t>
  </si>
  <si>
    <t>Ref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</si>
  <si>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</si>
  <si>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</si>
  <si>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</si>
  <si>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</si>
  <si>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</si>
  <si>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</si>
  <si>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</si>
  <si>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</si>
  <si>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</si>
  <si>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</si>
  <si>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</si>
  <si>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</si>
  <si>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</si>
  <si>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</si>
  <si>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</si>
  <si>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</si>
  <si>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</si>
  <si>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</si>
  <si>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</si>
  <si>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</si>
  <si>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</si>
  <si>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</si>
  <si>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</si>
  <si>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</si>
  <si>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</si>
  <si>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</si>
  <si>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</si>
  <si>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</si>
  <si>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</si>
  <si>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</si>
  <si>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</si>
  <si>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</si>
  <si>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</si>
  <si>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</si>
  <si>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</si>
  <si>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</si>
  <si>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</si>
  <si>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</si>
  <si>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Option 1</t>
  </si>
  <si>
    <t>Base</t>
  </si>
  <si>
    <t>Option 2</t>
  </si>
  <si>
    <t>Check List</t>
  </si>
  <si>
    <t>Sheet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</si>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</sst>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dd\-mmm"/>
    <numFmt numFmtId="169" formatCode="dd/mmm"/>
    <numFmt numFmtId="170" formatCode="_(#,##0_);\(#,##0\);_(&quot;-&quot;_)"/>
    <numFmt numFmtId="171" formatCode="_(#,##0.00%_);\(#,##0.00%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_-* ##\ ##0.00_-;\-* ##\ ##0.00_-;_-* &quot;-&quot;??_-;_-@_-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,##0.000_-;\-* #,##0.000_-;_-* &quot;-&quot;??_-;_-@_-"/>
    <numFmt numFmtId="211" formatCode="_-* #,##0.000000_-;\-* #,##0.000000_-;_-* &quot;-&quot;??_-;_-@_-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2"/>
      <color indexed="8"/>
      <name val="Verdana"/>
      <family val="2"/>
    </font>
    <font>
      <b/>
      <sz val="12"/>
      <color theme="0"/>
      <name val="Calibri"/>
      <family val="2"/>
      <scheme val="minor"/>
    </font>
    <font>
      <sz val="8"/>
      <color rgb="FF7030A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45">
    <xf numFmtId="0" fontId="0" fillId="0" borderId="0"/>
    <xf numFmtId="169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0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/>
    <xf numFmtId="177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41" fontId="21" fillId="4" borderId="0" applyNumberFormat="0" applyFont="0" applyBorder="0" applyAlignment="0">
      <alignment horizontal="right"/>
    </xf>
    <xf numFmtId="41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9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1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41" fontId="21" fillId="36" borderId="0" applyFont="0" applyBorder="0" applyAlignment="0">
      <alignment horizontal="right"/>
      <protection locked="0"/>
    </xf>
    <xf numFmtId="41" fontId="21" fillId="36" borderId="0" applyFont="0" applyBorder="0" applyAlignment="0">
      <alignment horizontal="right"/>
      <protection locked="0"/>
    </xf>
    <xf numFmtId="182" fontId="21" fillId="6" borderId="0" applyFont="0" applyBorder="0">
      <alignment horizontal="right"/>
      <protection locked="0"/>
    </xf>
    <xf numFmtId="182" fontId="21" fillId="6" borderId="0" applyFont="0" applyBorder="0">
      <alignment horizontal="right"/>
      <protection locked="0"/>
    </xf>
    <xf numFmtId="41" fontId="21" fillId="10" borderId="0" applyFont="0" applyBorder="0">
      <alignment horizontal="right"/>
      <protection locked="0"/>
    </xf>
    <xf numFmtId="41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3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4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5" fontId="21" fillId="0" borderId="0" applyFill="0" applyBorder="0"/>
    <xf numFmtId="185" fontId="21" fillId="0" borderId="0" applyFill="0" applyBorder="0"/>
    <xf numFmtId="185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6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7" fontId="21" fillId="0" borderId="0"/>
    <xf numFmtId="187" fontId="21" fillId="0" borderId="0"/>
    <xf numFmtId="187" fontId="21" fillId="0" borderId="0"/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3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42" borderId="0"/>
    <xf numFmtId="201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2" fillId="0" borderId="0"/>
    <xf numFmtId="0" fontId="21" fillId="0" borderId="0"/>
    <xf numFmtId="9" fontId="2" fillId="0" borderId="0" applyFont="0" applyFill="0" applyBorder="0" applyAlignment="0" applyProtection="0"/>
    <xf numFmtId="0" fontId="92" fillId="50" borderId="0">
      <alignment vertical="center"/>
      <protection locked="0"/>
    </xf>
    <xf numFmtId="0" fontId="2" fillId="0" borderId="0"/>
    <xf numFmtId="43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6" fillId="50" borderId="31">
      <alignment vertical="center"/>
    </xf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7" fillId="0" borderId="0"/>
    <xf numFmtId="9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" fillId="0" borderId="0"/>
    <xf numFmtId="166" fontId="97" fillId="0" borderId="0" applyFont="0" applyFill="0" applyBorder="0" applyAlignment="0" applyProtection="0"/>
    <xf numFmtId="0" fontId="97" fillId="0" borderId="0"/>
    <xf numFmtId="207" fontId="21" fillId="0" borderId="0" applyFill="0" applyBorder="0">
      <alignment vertical="center"/>
    </xf>
    <xf numFmtId="0" fontId="1" fillId="0" borderId="0"/>
  </cellStyleXfs>
  <cellXfs count="21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1" xfId="0" applyFont="1" applyFill="1" applyBorder="1"/>
    <xf numFmtId="167" fontId="5" fillId="3" borderId="0" xfId="0" applyNumberFormat="1" applyFont="1" applyFill="1"/>
    <xf numFmtId="167" fontId="6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8" fillId="0" borderId="0" xfId="0" applyNumberFormat="1" applyFont="1"/>
    <xf numFmtId="0" fontId="5" fillId="5" borderId="0" xfId="0" applyFont="1" applyFill="1"/>
    <xf numFmtId="0" fontId="5" fillId="6" borderId="0" xfId="0" applyFont="1" applyFill="1"/>
    <xf numFmtId="167" fontId="11" fillId="0" borderId="0" xfId="0" applyNumberFormat="1" applyFont="1"/>
    <xf numFmtId="167" fontId="7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left" indent="1"/>
    </xf>
    <xf numFmtId="167" fontId="6" fillId="0" borderId="0" xfId="0" applyNumberFormat="1" applyFont="1" applyAlignment="1">
      <alignment horizontal="center"/>
    </xf>
    <xf numFmtId="167" fontId="0" fillId="0" borderId="0" xfId="0" applyNumberFormat="1"/>
    <xf numFmtId="43" fontId="11" fillId="0" borderId="6" xfId="0" applyNumberFormat="1" applyFont="1" applyBorder="1" applyAlignment="1">
      <alignment horizontal="center"/>
    </xf>
    <xf numFmtId="167" fontId="16" fillId="0" borderId="0" xfId="3" applyNumberFormat="1" applyFont="1" applyAlignment="1" applyProtection="1"/>
    <xf numFmtId="167" fontId="6" fillId="3" borderId="0" xfId="0" applyNumberFormat="1" applyFont="1" applyFill="1"/>
    <xf numFmtId="167" fontId="17" fillId="0" borderId="0" xfId="0" applyNumberFormat="1" applyFont="1" applyAlignment="1">
      <alignment horizontal="center"/>
    </xf>
    <xf numFmtId="172" fontId="14" fillId="0" borderId="0" xfId="5" applyNumberFormat="1" applyBorder="1" applyAlignment="1" applyProtection="1">
      <alignment horizontal="center" vertical="center"/>
    </xf>
    <xf numFmtId="173" fontId="11" fillId="0" borderId="0" xfId="5" applyNumberFormat="1" applyFont="1" applyBorder="1" applyAlignment="1" applyProtection="1">
      <alignment horizontal="center" vertical="center"/>
    </xf>
    <xf numFmtId="173" fontId="19" fillId="0" borderId="0" xfId="5" applyNumberFormat="1" applyFont="1" applyBorder="1" applyAlignment="1" applyProtection="1">
      <alignment horizontal="center" vertical="center"/>
    </xf>
    <xf numFmtId="174" fontId="5" fillId="0" borderId="0" xfId="0" applyNumberFormat="1" applyFont="1"/>
    <xf numFmtId="176" fontId="14" fillId="0" borderId="0" xfId="5" applyNumberFormat="1" applyBorder="1" applyAlignment="1" applyProtection="1">
      <alignment horizontal="center" vertical="center"/>
    </xf>
    <xf numFmtId="167" fontId="6" fillId="3" borderId="0" xfId="0" applyNumberFormat="1" applyFont="1" applyFill="1" applyAlignment="1">
      <alignment horizontal="center"/>
    </xf>
    <xf numFmtId="167" fontId="16" fillId="0" borderId="0" xfId="3" applyNumberFormat="1" applyFont="1" applyAlignment="1" applyProtection="1">
      <alignment horizontal="center"/>
    </xf>
    <xf numFmtId="0" fontId="70" fillId="38" borderId="0" xfId="0" applyFont="1" applyFill="1" applyAlignment="1">
      <alignment horizontal="left" vertical="center"/>
    </xf>
    <xf numFmtId="0" fontId="70" fillId="38" borderId="0" xfId="0" applyFont="1" applyFill="1" applyAlignment="1">
      <alignment horizontal="left" indent="9"/>
    </xf>
    <xf numFmtId="0" fontId="71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43" fontId="22" fillId="38" borderId="0" xfId="0" applyNumberFormat="1" applyFont="1" applyFill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2" fillId="39" borderId="4" xfId="0" applyFont="1" applyFill="1" applyBorder="1"/>
    <xf numFmtId="168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Alignment="1">
      <alignment horizontal="left"/>
    </xf>
    <xf numFmtId="0" fontId="72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5" fillId="40" borderId="0" xfId="0" applyFont="1" applyFill="1" applyAlignment="1">
      <alignment horizontal="center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7" fontId="17" fillId="0" borderId="0" xfId="0" applyNumberFormat="1" applyFont="1" applyAlignment="1">
      <alignment horizontal="center" wrapText="1"/>
    </xf>
    <xf numFmtId="192" fontId="5" fillId="41" borderId="3" xfId="0" applyNumberFormat="1" applyFont="1" applyFill="1" applyBorder="1" applyAlignment="1" applyProtection="1">
      <alignment horizontal="center"/>
      <protection locked="0"/>
    </xf>
    <xf numFmtId="196" fontId="5" fillId="0" borderId="0" xfId="0" applyNumberFormat="1" applyFont="1" applyAlignment="1">
      <alignment horizontal="left"/>
    </xf>
    <xf numFmtId="194" fontId="5" fillId="0" borderId="0" xfId="0" applyNumberFormat="1" applyFont="1"/>
    <xf numFmtId="167" fontId="6" fillId="0" borderId="0" xfId="0" applyNumberFormat="1" applyFont="1" applyAlignment="1">
      <alignment horizontal="center" wrapText="1"/>
    </xf>
    <xf numFmtId="167" fontId="18" fillId="40" borderId="9" xfId="0" applyNumberFormat="1" applyFont="1" applyFill="1" applyBorder="1" applyAlignment="1" applyProtection="1">
      <alignment horizontal="center"/>
      <protection locked="0"/>
    </xf>
    <xf numFmtId="0" fontId="72" fillId="38" borderId="1" xfId="0" applyFont="1" applyFill="1" applyBorder="1" applyAlignment="1">
      <alignment horizontal="left" indent="9"/>
    </xf>
    <xf numFmtId="0" fontId="22" fillId="38" borderId="2" xfId="0" applyFont="1" applyFill="1" applyBorder="1"/>
    <xf numFmtId="0" fontId="73" fillId="38" borderId="2" xfId="0" applyFont="1" applyFill="1" applyBorder="1"/>
    <xf numFmtId="0" fontId="73" fillId="39" borderId="4" xfId="0" applyFont="1" applyFill="1" applyBorder="1"/>
    <xf numFmtId="0" fontId="73" fillId="39" borderId="4" xfId="0" applyFont="1" applyFill="1" applyBorder="1" applyAlignment="1">
      <alignment horizontal="center"/>
    </xf>
    <xf numFmtId="0" fontId="18" fillId="39" borderId="4" xfId="0" applyFont="1" applyFill="1" applyBorder="1" applyAlignment="1">
      <alignment horizontal="center" vertical="center"/>
    </xf>
    <xf numFmtId="0" fontId="18" fillId="39" borderId="4" xfId="0" applyFont="1" applyFill="1" applyBorder="1" applyAlignment="1">
      <alignment vertical="center"/>
    </xf>
    <xf numFmtId="0" fontId="73" fillId="39" borderId="4" xfId="0" applyFont="1" applyFill="1" applyBorder="1" applyAlignment="1">
      <alignment wrapText="1"/>
    </xf>
    <xf numFmtId="44" fontId="18" fillId="39" borderId="4" xfId="0" applyNumberFormat="1" applyFont="1" applyFill="1" applyBorder="1" applyAlignment="1">
      <alignment horizontal="center" wrapText="1"/>
    </xf>
    <xf numFmtId="0" fontId="73" fillId="3" borderId="0" xfId="0" applyFont="1" applyFill="1" applyAlignment="1">
      <alignment wrapText="1"/>
    </xf>
    <xf numFmtId="0" fontId="73" fillId="3" borderId="0" xfId="0" applyFont="1" applyFill="1"/>
    <xf numFmtId="0" fontId="73" fillId="0" borderId="0" xfId="0" applyFont="1"/>
    <xf numFmtId="167" fontId="5" fillId="0" borderId="0" xfId="0" applyNumberFormat="1" applyFont="1" applyAlignment="1">
      <alignment horizontal="center"/>
    </xf>
    <xf numFmtId="167" fontId="16" fillId="0" borderId="0" xfId="3" applyNumberFormat="1" applyFont="1" applyFill="1" applyAlignment="1" applyProtection="1">
      <alignment horizontal="center"/>
    </xf>
    <xf numFmtId="197" fontId="5" fillId="0" borderId="0" xfId="0" applyNumberFormat="1" applyFont="1" applyAlignment="1">
      <alignment horizontal="center"/>
    </xf>
    <xf numFmtId="167" fontId="6" fillId="0" borderId="7" xfId="0" applyNumberFormat="1" applyFont="1" applyBorder="1" applyAlignment="1">
      <alignment horizontal="center"/>
    </xf>
    <xf numFmtId="167" fontId="7" fillId="0" borderId="8" xfId="0" applyNumberFormat="1" applyFont="1" applyBorder="1" applyAlignment="1">
      <alignment horizontal="left" indent="1"/>
    </xf>
    <xf numFmtId="167" fontId="6" fillId="0" borderId="8" xfId="0" applyNumberFormat="1" applyFont="1" applyBorder="1" applyAlignment="1">
      <alignment horizontal="center"/>
    </xf>
    <xf numFmtId="197" fontId="7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10" fontId="5" fillId="0" borderId="0" xfId="2" applyNumberFormat="1" applyFont="1" applyAlignment="1" applyProtection="1">
      <alignment horizontal="center"/>
    </xf>
    <xf numFmtId="167" fontId="7" fillId="0" borderId="8" xfId="0" applyNumberFormat="1" applyFont="1" applyBorder="1"/>
    <xf numFmtId="17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left" indent="2"/>
    </xf>
    <xf numFmtId="167" fontId="17" fillId="0" borderId="8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left" indent="1"/>
    </xf>
    <xf numFmtId="194" fontId="7" fillId="0" borderId="0" xfId="0" applyNumberFormat="1" applyFont="1" applyAlignment="1">
      <alignment horizontal="center"/>
    </xf>
    <xf numFmtId="200" fontId="5" fillId="0" borderId="0" xfId="0" applyNumberFormat="1" applyFont="1" applyAlignment="1">
      <alignment horizontal="center"/>
    </xf>
    <xf numFmtId="200" fontId="7" fillId="0" borderId="0" xfId="0" applyNumberFormat="1" applyFont="1" applyAlignment="1">
      <alignment horizontal="center"/>
    </xf>
    <xf numFmtId="198" fontId="11" fillId="0" borderId="4" xfId="5" applyNumberFormat="1" applyFont="1" applyBorder="1" applyAlignment="1" applyProtection="1">
      <alignment horizontal="center" vertical="center"/>
    </xf>
    <xf numFmtId="43" fontId="11" fillId="0" borderId="3" xfId="0" applyNumberFormat="1" applyFont="1" applyBorder="1" applyAlignment="1">
      <alignment horizontal="center"/>
    </xf>
    <xf numFmtId="43" fontId="11" fillId="0" borderId="0" xfId="0" applyNumberFormat="1" applyFont="1" applyAlignment="1">
      <alignment horizontal="center"/>
    </xf>
    <xf numFmtId="0" fontId="9" fillId="38" borderId="2" xfId="0" applyFont="1" applyFill="1" applyBorder="1"/>
    <xf numFmtId="0" fontId="10" fillId="38" borderId="2" xfId="0" applyFont="1" applyFill="1" applyBorder="1" applyAlignment="1">
      <alignment horizontal="center"/>
    </xf>
    <xf numFmtId="0" fontId="10" fillId="38" borderId="2" xfId="0" applyFont="1" applyFill="1" applyBorder="1"/>
    <xf numFmtId="167" fontId="7" fillId="0" borderId="7" xfId="0" applyNumberFormat="1" applyFont="1" applyBorder="1"/>
    <xf numFmtId="167" fontId="5" fillId="0" borderId="7" xfId="0" applyNumberFormat="1" applyFont="1" applyBorder="1"/>
    <xf numFmtId="167" fontId="7" fillId="0" borderId="4" xfId="0" applyNumberFormat="1" applyFont="1" applyBorder="1" applyAlignment="1">
      <alignment horizontal="left"/>
    </xf>
    <xf numFmtId="167" fontId="6" fillId="0" borderId="4" xfId="0" applyNumberFormat="1" applyFont="1" applyBorder="1" applyAlignment="1">
      <alignment horizontal="center"/>
    </xf>
    <xf numFmtId="43" fontId="5" fillId="0" borderId="0" xfId="0" applyNumberFormat="1" applyFont="1"/>
    <xf numFmtId="10" fontId="5" fillId="0" borderId="0" xfId="2" applyNumberFormat="1" applyFont="1" applyBorder="1" applyAlignment="1" applyProtection="1">
      <alignment horizontal="center"/>
    </xf>
    <xf numFmtId="167" fontId="6" fillId="0" borderId="0" xfId="6" applyNumberFormat="1" applyFont="1" applyAlignment="1" applyProtection="1">
      <alignment horizontal="center"/>
    </xf>
    <xf numFmtId="171" fontId="14" fillId="0" borderId="0" xfId="2" applyNumberFormat="1" applyFont="1" applyFill="1" applyBorder="1" applyAlignment="1" applyProtection="1">
      <alignment horizontal="center" vertical="center"/>
    </xf>
    <xf numFmtId="175" fontId="5" fillId="0" borderId="0" xfId="0" applyNumberFormat="1" applyFont="1"/>
    <xf numFmtId="167" fontId="5" fillId="0" borderId="0" xfId="0" applyNumberFormat="1" applyFont="1" applyAlignment="1">
      <alignment horizontal="left"/>
    </xf>
    <xf numFmtId="193" fontId="5" fillId="8" borderId="3" xfId="0" applyNumberFormat="1" applyFont="1" applyFill="1" applyBorder="1" applyAlignment="1">
      <alignment horizontal="left" indent="1"/>
    </xf>
    <xf numFmtId="0" fontId="74" fillId="39" borderId="4" xfId="0" applyFont="1" applyFill="1" applyBorder="1"/>
    <xf numFmtId="199" fontId="7" fillId="0" borderId="0" xfId="0" applyNumberFormat="1" applyFont="1" applyAlignment="1">
      <alignment horizontal="center"/>
    </xf>
    <xf numFmtId="167" fontId="5" fillId="0" borderId="0" xfId="0" applyNumberFormat="1" applyFont="1" applyProtection="1">
      <protection locked="0"/>
    </xf>
    <xf numFmtId="202" fontId="7" fillId="0" borderId="0" xfId="0" applyNumberFormat="1" applyFont="1" applyAlignment="1">
      <alignment horizontal="center"/>
    </xf>
    <xf numFmtId="203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4" fontId="73" fillId="39" borderId="4" xfId="0" applyNumberFormat="1" applyFont="1" applyFill="1" applyBorder="1" applyAlignment="1">
      <alignment horizontal="center" wrapText="1"/>
    </xf>
    <xf numFmtId="204" fontId="90" fillId="38" borderId="2" xfId="0" applyNumberFormat="1" applyFont="1" applyFill="1" applyBorder="1" applyAlignment="1">
      <alignment horizontal="center"/>
    </xf>
    <xf numFmtId="204" fontId="73" fillId="38" borderId="2" xfId="0" applyNumberFormat="1" applyFont="1" applyFill="1" applyBorder="1" applyAlignment="1">
      <alignment horizontal="left"/>
    </xf>
    <xf numFmtId="204" fontId="7" fillId="0" borderId="7" xfId="0" applyNumberFormat="1" applyFont="1" applyBorder="1" applyAlignment="1">
      <alignment horizontal="center"/>
    </xf>
    <xf numFmtId="204" fontId="5" fillId="0" borderId="0" xfId="0" applyNumberFormat="1" applyFont="1" applyAlignment="1">
      <alignment horizontal="left" indent="1"/>
    </xf>
    <xf numFmtId="204" fontId="6" fillId="0" borderId="0" xfId="0" applyNumberFormat="1" applyFont="1" applyAlignment="1">
      <alignment horizontal="center"/>
    </xf>
    <xf numFmtId="204" fontId="7" fillId="0" borderId="0" xfId="0" applyNumberFormat="1" applyFont="1" applyAlignment="1">
      <alignment horizontal="center"/>
    </xf>
    <xf numFmtId="2" fontId="5" fillId="0" borderId="0" xfId="0" applyNumberFormat="1" applyFont="1" applyAlignment="1" applyProtection="1">
      <alignment horizontal="center"/>
      <protection locked="0"/>
    </xf>
    <xf numFmtId="167" fontId="13" fillId="0" borderId="0" xfId="3" applyNumberFormat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5" fontId="5" fillId="0" borderId="0" xfId="2" applyNumberFormat="1" applyFont="1" applyFill="1" applyBorder="1" applyAlignment="1" applyProtection="1">
      <alignment horizontal="center"/>
      <protection locked="0"/>
    </xf>
    <xf numFmtId="0" fontId="73" fillId="38" borderId="27" xfId="0" applyFont="1" applyFill="1" applyBorder="1"/>
    <xf numFmtId="204" fontId="17" fillId="0" borderId="0" xfId="0" applyNumberFormat="1" applyFont="1" applyAlignment="1">
      <alignment horizontal="center"/>
    </xf>
    <xf numFmtId="167" fontId="7" fillId="0" borderId="7" xfId="0" applyNumberFormat="1" applyFont="1" applyBorder="1" applyAlignment="1">
      <alignment horizontal="left" indent="1"/>
    </xf>
    <xf numFmtId="204" fontId="6" fillId="0" borderId="7" xfId="0" applyNumberFormat="1" applyFont="1" applyBorder="1" applyAlignment="1">
      <alignment horizontal="center"/>
    </xf>
    <xf numFmtId="205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204" fontId="5" fillId="0" borderId="3" xfId="0" applyNumberFormat="1" applyFont="1" applyBorder="1" applyAlignment="1" applyProtection="1">
      <alignment horizontal="center"/>
      <protection locked="0"/>
    </xf>
    <xf numFmtId="2" fontId="11" fillId="0" borderId="4" xfId="5" applyNumberFormat="1" applyFont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4" fontId="5" fillId="0" borderId="0" xfId="0" applyNumberFormat="1" applyFont="1" applyProtection="1">
      <protection locked="0"/>
    </xf>
    <xf numFmtId="194" fontId="7" fillId="0" borderId="0" xfId="0" applyNumberFormat="1" applyFont="1" applyProtection="1">
      <protection locked="0"/>
    </xf>
    <xf numFmtId="204" fontId="6" fillId="0" borderId="22" xfId="0" applyNumberFormat="1" applyFont="1" applyBorder="1" applyAlignment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1" fontId="5" fillId="0" borderId="0" xfId="2" applyNumberFormat="1" applyFont="1" applyAlignment="1" applyProtection="1">
      <alignment horizontal="center"/>
      <protection locked="0"/>
    </xf>
    <xf numFmtId="173" fontId="11" fillId="0" borderId="0" xfId="5" applyNumberFormat="1" applyFont="1" applyBorder="1" applyAlignment="1">
      <alignment horizontal="center" vertical="center"/>
      <protection locked="0"/>
    </xf>
    <xf numFmtId="167" fontId="14" fillId="0" borderId="0" xfId="5" applyNumberFormat="1" applyBorder="1" applyAlignment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left" indent="1"/>
      <protection locked="0"/>
    </xf>
    <xf numFmtId="204" fontId="5" fillId="0" borderId="0" xfId="2" applyNumberFormat="1" applyFont="1" applyFill="1" applyBorder="1" applyAlignment="1" applyProtection="1">
      <alignment horizontal="center"/>
      <protection locked="0"/>
    </xf>
    <xf numFmtId="181" fontId="5" fillId="0" borderId="0" xfId="2" applyNumberFormat="1" applyFont="1" applyFill="1" applyBorder="1" applyAlignment="1" applyProtection="1">
      <alignment horizontal="center"/>
      <protection locked="0"/>
    </xf>
    <xf numFmtId="204" fontId="6" fillId="0" borderId="22" xfId="0" applyNumberFormat="1" applyFont="1" applyBorder="1" applyAlignment="1" applyProtection="1">
      <alignment horizontal="center"/>
      <protection locked="0"/>
    </xf>
    <xf numFmtId="167" fontId="6" fillId="0" borderId="0" xfId="0" applyNumberFormat="1" applyFont="1" applyAlignment="1" applyProtection="1">
      <alignment horizontal="center"/>
      <protection locked="0"/>
    </xf>
    <xf numFmtId="204" fontId="18" fillId="8" borderId="9" xfId="0" applyNumberFormat="1" applyFont="1" applyFill="1" applyBorder="1" applyAlignment="1" applyProtection="1">
      <alignment horizontal="center"/>
      <protection locked="0"/>
    </xf>
    <xf numFmtId="206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93" fontId="7" fillId="8" borderId="28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204" fontId="5" fillId="0" borderId="0" xfId="0" applyNumberFormat="1" applyFont="1" applyAlignment="1" applyProtection="1">
      <alignment horizontal="center"/>
      <protection locked="0"/>
    </xf>
    <xf numFmtId="192" fontId="91" fillId="0" borderId="0" xfId="0" applyNumberFormat="1" applyFont="1" applyProtection="1">
      <protection locked="0"/>
    </xf>
    <xf numFmtId="181" fontId="6" fillId="0" borderId="0" xfId="2" applyNumberFormat="1" applyFont="1" applyAlignment="1" applyProtection="1">
      <alignment horizontal="center"/>
      <protection locked="0"/>
    </xf>
    <xf numFmtId="0" fontId="13" fillId="0" borderId="0" xfId="3"/>
    <xf numFmtId="167" fontId="13" fillId="0" borderId="0" xfId="3" applyNumberFormat="1" applyAlignment="1" applyProtection="1"/>
    <xf numFmtId="10" fontId="14" fillId="0" borderId="0" xfId="270" applyNumberFormat="1" applyFont="1" applyFill="1" applyAlignment="1">
      <alignment horizontal="center"/>
    </xf>
    <xf numFmtId="10" fontId="14" fillId="41" borderId="3" xfId="2" applyNumberFormat="1" applyFont="1" applyFill="1" applyBorder="1" applyAlignment="1" applyProtection="1">
      <alignment horizontal="center"/>
      <protection locked="0"/>
    </xf>
    <xf numFmtId="10" fontId="14" fillId="0" borderId="0" xfId="2" applyNumberFormat="1" applyFont="1" applyAlignment="1" applyProtection="1">
      <alignment horizontal="center"/>
      <protection locked="0"/>
    </xf>
    <xf numFmtId="10" fontId="93" fillId="41" borderId="3" xfId="2" applyNumberFormat="1" applyFont="1" applyFill="1" applyBorder="1" applyAlignment="1" applyProtection="1">
      <alignment horizontal="center"/>
      <protection locked="0"/>
    </xf>
    <xf numFmtId="10" fontId="93" fillId="0" borderId="0" xfId="2" applyNumberFormat="1" applyFont="1" applyAlignment="1" applyProtection="1">
      <alignment horizontal="center"/>
      <protection locked="0"/>
    </xf>
    <xf numFmtId="167" fontId="93" fillId="0" borderId="0" xfId="0" applyNumberFormat="1" applyFont="1" applyAlignment="1" applyProtection="1">
      <alignment horizontal="center"/>
      <protection locked="0"/>
    </xf>
    <xf numFmtId="167" fontId="17" fillId="0" borderId="0" xfId="0" applyNumberFormat="1" applyFont="1" applyAlignment="1">
      <alignment horizontal="left"/>
    </xf>
    <xf numFmtId="0" fontId="13" fillId="0" borderId="0" xfId="3" applyFill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3" fillId="41" borderId="3" xfId="2" applyNumberFormat="1" applyFont="1" applyFill="1" applyBorder="1" applyAlignment="1" applyProtection="1">
      <alignment horizontal="center"/>
      <protection locked="0"/>
    </xf>
    <xf numFmtId="0" fontId="93" fillId="41" borderId="3" xfId="0" applyFont="1" applyFill="1" applyBorder="1" applyAlignment="1" applyProtection="1">
      <alignment horizontal="left" indent="1"/>
      <protection locked="0"/>
    </xf>
    <xf numFmtId="0" fontId="5" fillId="41" borderId="3" xfId="0" applyFont="1" applyFill="1" applyBorder="1" applyAlignment="1" applyProtection="1">
      <alignment horizontal="left" indent="1"/>
      <protection locked="0"/>
    </xf>
    <xf numFmtId="166" fontId="5" fillId="0" borderId="0" xfId="0" applyNumberFormat="1" applyFont="1" applyAlignment="1">
      <alignment horizontal="left"/>
    </xf>
    <xf numFmtId="0" fontId="94" fillId="0" borderId="0" xfId="0" applyFont="1"/>
    <xf numFmtId="0" fontId="95" fillId="0" borderId="0" xfId="0" applyFont="1" applyAlignment="1">
      <alignment horizontal="center"/>
    </xf>
    <xf numFmtId="0" fontId="94" fillId="51" borderId="3" xfId="0" applyFont="1" applyFill="1" applyBorder="1" applyAlignment="1">
      <alignment horizontal="center"/>
    </xf>
    <xf numFmtId="210" fontId="5" fillId="0" borderId="0" xfId="0" applyNumberFormat="1" applyFont="1" applyAlignment="1">
      <alignment horizontal="center"/>
    </xf>
    <xf numFmtId="210" fontId="5" fillId="0" borderId="0" xfId="0" applyNumberFormat="1" applyFont="1"/>
    <xf numFmtId="0" fontId="5" fillId="0" borderId="0" xfId="0" applyFont="1" applyAlignment="1">
      <alignment horizontal="center"/>
    </xf>
    <xf numFmtId="202" fontId="5" fillId="0" borderId="0" xfId="0" applyNumberFormat="1" applyFont="1" applyAlignment="1">
      <alignment horizontal="center"/>
    </xf>
    <xf numFmtId="204" fontId="14" fillId="0" borderId="0" xfId="0" applyNumberFormat="1" applyFont="1" applyAlignment="1" applyProtection="1">
      <alignment horizontal="center"/>
      <protection locked="0"/>
    </xf>
    <xf numFmtId="195" fontId="6" fillId="0" borderId="0" xfId="2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/>
    </xf>
    <xf numFmtId="49" fontId="5" fillId="0" borderId="0" xfId="0" applyNumberFormat="1" applyFont="1" applyAlignment="1" applyProtection="1">
      <alignment horizontal="left" indent="1"/>
      <protection locked="0"/>
    </xf>
    <xf numFmtId="181" fontId="5" fillId="41" borderId="0" xfId="0" applyNumberFormat="1" applyFont="1" applyFill="1" applyAlignment="1" applyProtection="1">
      <alignment horizontal="center"/>
      <protection locked="0"/>
    </xf>
    <xf numFmtId="181" fontId="5" fillId="41" borderId="0" xfId="2" applyNumberFormat="1" applyFont="1" applyFill="1" applyBorder="1" applyAlignment="1" applyProtection="1">
      <alignment horizontal="center"/>
      <protection locked="0"/>
    </xf>
    <xf numFmtId="192" fontId="5" fillId="41" borderId="0" xfId="0" applyNumberFormat="1" applyFont="1" applyFill="1" applyAlignment="1" applyProtection="1">
      <alignment horizontal="center"/>
      <protection locked="0"/>
    </xf>
    <xf numFmtId="10" fontId="14" fillId="41" borderId="26" xfId="2" applyNumberFormat="1" applyFont="1" applyFill="1" applyBorder="1" applyAlignment="1" applyProtection="1">
      <alignment horizontal="center"/>
      <protection locked="0"/>
    </xf>
    <xf numFmtId="193" fontId="0" fillId="8" borderId="3" xfId="0" applyNumberFormat="1" applyFill="1" applyBorder="1" applyAlignment="1">
      <alignment horizontal="left" indent="1"/>
    </xf>
    <xf numFmtId="10" fontId="0" fillId="0" borderId="0" xfId="2" applyNumberFormat="1" applyFont="1" applyAlignment="1" applyProtection="1">
      <alignment horizontal="center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9" fontId="0" fillId="8" borderId="3" xfId="2" applyNumberFormat="1" applyFont="1" applyFill="1" applyBorder="1" applyAlignment="1" applyProtection="1">
      <alignment horizontal="center"/>
      <protection locked="0"/>
    </xf>
    <xf numFmtId="2" fontId="14" fillId="0" borderId="0" xfId="0" applyNumberFormat="1" applyFont="1" applyAlignment="1" applyProtection="1">
      <alignment horizontal="center"/>
      <protection locked="0"/>
    </xf>
    <xf numFmtId="167" fontId="14" fillId="0" borderId="0" xfId="0" applyNumberFormat="1" applyFont="1" applyAlignment="1" applyProtection="1">
      <alignment horizontal="center"/>
      <protection locked="0"/>
    </xf>
    <xf numFmtId="195" fontId="14" fillId="0" borderId="0" xfId="2" applyNumberFormat="1" applyFont="1" applyFill="1" applyBorder="1" applyAlignment="1" applyProtection="1">
      <alignment horizontal="center"/>
      <protection locked="0"/>
    </xf>
    <xf numFmtId="0" fontId="13" fillId="0" borderId="0" xfId="3" applyFill="1" applyAlignment="1">
      <alignment wrapText="1"/>
    </xf>
    <xf numFmtId="166" fontId="5" fillId="0" borderId="0" xfId="0" applyNumberFormat="1" applyFont="1"/>
    <xf numFmtId="167" fontId="7" fillId="0" borderId="0" xfId="0" applyNumberFormat="1" applyFont="1" applyAlignment="1">
      <alignment horizontal="right" indent="2"/>
    </xf>
    <xf numFmtId="166" fontId="7" fillId="0" borderId="0" xfId="0" applyNumberFormat="1" applyFont="1"/>
    <xf numFmtId="167" fontId="5" fillId="0" borderId="0" xfId="0" applyNumberFormat="1" applyFont="1" applyAlignment="1">
      <alignment horizontal="left" indent="4"/>
    </xf>
    <xf numFmtId="0" fontId="0" fillId="0" borderId="0" xfId="0" applyAlignment="1">
      <alignment wrapText="1"/>
    </xf>
    <xf numFmtId="2" fontId="5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 wrapText="1"/>
    </xf>
    <xf numFmtId="211" fontId="5" fillId="0" borderId="0" xfId="0" applyNumberFormat="1" applyFont="1"/>
    <xf numFmtId="0" fontId="0" fillId="41" borderId="3" xfId="2" applyNumberFormat="1" applyFont="1" applyFill="1" applyBorder="1" applyAlignment="1" applyProtection="1">
      <alignment horizontal="center"/>
      <protection locked="0"/>
    </xf>
    <xf numFmtId="167" fontId="7" fillId="0" borderId="29" xfId="0" applyNumberFormat="1" applyFont="1" applyBorder="1"/>
    <xf numFmtId="211" fontId="7" fillId="0" borderId="0" xfId="0" applyNumberFormat="1" applyFont="1"/>
    <xf numFmtId="2" fontId="5" fillId="0" borderId="0" xfId="0" applyNumberFormat="1" applyFont="1" applyAlignment="1">
      <alignment horizontal="center"/>
    </xf>
    <xf numFmtId="2" fontId="14" fillId="0" borderId="0" xfId="2" applyNumberFormat="1" applyFont="1" applyFill="1" applyBorder="1" applyAlignment="1" applyProtection="1">
      <alignment horizontal="center"/>
      <protection locked="0"/>
    </xf>
    <xf numFmtId="2" fontId="5" fillId="0" borderId="0" xfId="2" applyNumberFormat="1" applyFont="1" applyFill="1" applyBorder="1" applyAlignment="1" applyProtection="1">
      <alignment horizontal="center"/>
      <protection locked="0"/>
    </xf>
    <xf numFmtId="2" fontId="7" fillId="0" borderId="0" xfId="0" applyNumberFormat="1" applyFont="1" applyAlignment="1">
      <alignment horizontal="center"/>
    </xf>
    <xf numFmtId="0" fontId="73" fillId="38" borderId="2" xfId="0" applyFont="1" applyFill="1" applyBorder="1" applyAlignment="1">
      <alignment horizontal="center"/>
    </xf>
    <xf numFmtId="0" fontId="94" fillId="0" borderId="0" xfId="0" applyFont="1" applyAlignment="1"/>
    <xf numFmtId="0" fontId="94" fillId="0" borderId="30" xfId="0" applyFont="1" applyBorder="1" applyAlignment="1"/>
  </cellXfs>
  <cellStyles count="34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308" xr:uid="{8FC34F8B-9F79-43D8-87B7-0EFE4253969E}"/>
    <cellStyle name="Blockout 2 3" xfId="274" xr:uid="{05D4ABBA-E388-4D09-9C21-E01BAB59B984}"/>
    <cellStyle name="Blockout 3" xfId="307" xr:uid="{33A44531-838C-4E29-B2B3-5EE0BC1634B0}"/>
    <cellStyle name="Blockout 4" xfId="273" xr:uid="{213ADBA0-D604-4666-A8B2-EFD274082498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10" xfId="305" xr:uid="{59F6A28E-9BD2-4E1D-AF5A-C3176321CD51}"/>
    <cellStyle name="Comma 11" xfId="271" xr:uid="{B060894A-4B62-4A21-9FE8-7FEE06FBB232}"/>
    <cellStyle name="Comma 2" xfId="8" xr:uid="{00000000-0005-0000-0000-000044000000}"/>
    <cellStyle name="Comma 2 2" xfId="73" xr:uid="{00000000-0005-0000-0000-000045000000}"/>
    <cellStyle name="Comma 2 2 2" xfId="309" xr:uid="{FF49DAD5-5BCC-4133-BBEE-63E92EAD2474}"/>
    <cellStyle name="Comma 2 2 3" xfId="275" xr:uid="{B17B7DB3-82E7-4CC9-AD3B-562700C1435F}"/>
    <cellStyle name="Comma 2 3" xfId="74" xr:uid="{00000000-0005-0000-0000-000046000000}"/>
    <cellStyle name="Comma 2 3 2" xfId="75" xr:uid="{00000000-0005-0000-0000-000047000000}"/>
    <cellStyle name="Comma 2 3 2 2" xfId="311" xr:uid="{34654510-AD66-432B-AF1A-66AE9DF53C08}"/>
    <cellStyle name="Comma 2 3 2 3" xfId="277" xr:uid="{1387EF88-013F-4C27-9CF0-BE5721D535A2}"/>
    <cellStyle name="Comma 2 3 3" xfId="310" xr:uid="{D0E9660D-D954-4017-89C6-3042A4F6936A}"/>
    <cellStyle name="Comma 2 3 4" xfId="276" xr:uid="{50481945-E2F4-47C8-9263-2F069F5E5871}"/>
    <cellStyle name="Comma 2 4" xfId="76" xr:uid="{00000000-0005-0000-0000-000048000000}"/>
    <cellStyle name="Comma 2 4 2" xfId="312" xr:uid="{485F5E90-417C-4779-ACF2-01707F7615DE}"/>
    <cellStyle name="Comma 2 4 3" xfId="278" xr:uid="{FCEA6723-A3BE-4C50-BFB9-5C5500BDED7A}"/>
    <cellStyle name="Comma 2 5" xfId="77" xr:uid="{00000000-0005-0000-0000-000049000000}"/>
    <cellStyle name="Comma 2 5 2" xfId="313" xr:uid="{F9E2682B-9266-4D81-831A-1BB7C71A54DF}"/>
    <cellStyle name="Comma 2 5 3" xfId="279" xr:uid="{228D8DE6-2CCF-4CB1-AD63-DA4FDAFF8CB6}"/>
    <cellStyle name="Comma 2 6" xfId="306" xr:uid="{E1AB2DDB-40A5-4E4D-BC45-811E7C0CC9D0}"/>
    <cellStyle name="Comma 2 7" xfId="272" xr:uid="{7D34361E-EF1E-434D-BBF3-27BFD3C1B312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3 3 2" xfId="314" xr:uid="{7C970680-2F9E-4D19-9C7F-3F7D177B0AFC}"/>
    <cellStyle name="Comma 3 3 3" xfId="280" xr:uid="{303BEB61-CF06-4738-BF1E-A1CFD11031C0}"/>
    <cellStyle name="Comma 4" xfId="81" xr:uid="{00000000-0005-0000-0000-00004D000000}"/>
    <cellStyle name="Comma 4 2" xfId="315" xr:uid="{73F52099-49D3-456A-85A8-2B7B2C74B7D7}"/>
    <cellStyle name="Comma 4 3" xfId="281" xr:uid="{0EA5146B-7080-4721-A6ED-5D4465230D64}"/>
    <cellStyle name="Comma 5" xfId="82" xr:uid="{00000000-0005-0000-0000-00004E000000}"/>
    <cellStyle name="Comma 5 2" xfId="316" xr:uid="{461CB6F9-3148-45B8-8D96-FCB95513FB48}"/>
    <cellStyle name="Comma 5 3" xfId="282" xr:uid="{390D47E4-E3EC-4C7A-A9E5-65AE42BC80DF}"/>
    <cellStyle name="Comma 6" xfId="83" xr:uid="{00000000-0005-0000-0000-00004F000000}"/>
    <cellStyle name="Comma 6 2" xfId="317" xr:uid="{2BC9D4CE-416E-433E-B737-F7BF174EF9E2}"/>
    <cellStyle name="Comma 6 3" xfId="283" xr:uid="{79CFE7A3-638D-440A-A497-EB98F967A7BC}"/>
    <cellStyle name="Comma 7" xfId="84" xr:uid="{00000000-0005-0000-0000-000050000000}"/>
    <cellStyle name="Comma 7 2" xfId="318" xr:uid="{0828932A-5EBC-4537-AC7D-DDDCFE3D439C}"/>
    <cellStyle name="Comma 7 3" xfId="284" xr:uid="{2A894885-BD22-4046-A4CD-A5B2FF98DE1D}"/>
    <cellStyle name="Comma 8" xfId="85" xr:uid="{00000000-0005-0000-0000-000051000000}"/>
    <cellStyle name="Comma 8 2" xfId="319" xr:uid="{2A3DAD50-AD70-4EA3-8950-48D49B0F7A2A}"/>
    <cellStyle name="Comma 8 3" xfId="285" xr:uid="{9D397335-4CAA-4530-B4CD-5D9449F1486C}"/>
    <cellStyle name="Comma 9" xfId="269" xr:uid="{00000000-0005-0000-0000-000052000000}"/>
    <cellStyle name="Comma 9 2" xfId="341" xr:uid="{09D09F87-8F13-4FFD-9667-29160B972332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11 2 2" xfId="321" xr:uid="{AAEB9540-2F0F-448E-8767-6060628BA7E6}"/>
    <cellStyle name="Currency 11 2 3" xfId="287" xr:uid="{ACDADBB5-7123-4A61-AEFA-F864F5F42422}"/>
    <cellStyle name="Currency 11 3" xfId="320" xr:uid="{6840E9B5-8EF3-4AE3-ABD5-A83FD847E84F}"/>
    <cellStyle name="Currency 11 4" xfId="286" xr:uid="{D50C3293-7170-41C5-BA59-D161D9795E14}"/>
    <cellStyle name="Currency 2" xfId="89" xr:uid="{00000000-0005-0000-0000-000056000000}"/>
    <cellStyle name="Currency 2 2" xfId="90" xr:uid="{00000000-0005-0000-0000-000057000000}"/>
    <cellStyle name="Currency 2 2 2" xfId="323" xr:uid="{2724F7E8-D65B-45E6-A644-5F146423111C}"/>
    <cellStyle name="Currency 2 2 3" xfId="289" xr:uid="{38F908F7-D5C8-4DAD-A091-81E4E01FE84D}"/>
    <cellStyle name="Currency 2 3" xfId="322" xr:uid="{22AC1CC3-2B9E-4BFE-B5A5-5731CC951E2D}"/>
    <cellStyle name="Currency 2 4" xfId="288" xr:uid="{8E6B1D7E-5377-4AE0-9A9B-78101D00F094}"/>
    <cellStyle name="Currency 3" xfId="91" xr:uid="{00000000-0005-0000-0000-000058000000}"/>
    <cellStyle name="Currency 3 2" xfId="92" xr:uid="{00000000-0005-0000-0000-000059000000}"/>
    <cellStyle name="Currency 3 2 2" xfId="325" xr:uid="{766F8BE5-6A87-4F4B-A6A4-0C6DCEDD9A14}"/>
    <cellStyle name="Currency 3 2 3" xfId="291" xr:uid="{50BA660B-B7CE-4EFD-864A-4C0FF8D280DA}"/>
    <cellStyle name="Currency 3 3" xfId="324" xr:uid="{81A687B1-0EEF-4ECE-BDF0-4CA67CF53406}"/>
    <cellStyle name="Currency 3 4" xfId="290" xr:uid="{36728137-0E5C-42CB-BD21-0F2243E1CC7E}"/>
    <cellStyle name="Currency 4" xfId="93" xr:uid="{00000000-0005-0000-0000-00005A000000}"/>
    <cellStyle name="Currency 4 2" xfId="94" xr:uid="{00000000-0005-0000-0000-00005B000000}"/>
    <cellStyle name="Currency 4 2 2" xfId="327" xr:uid="{D28BCED6-4C1C-4DBA-B0E2-C184A241C174}"/>
    <cellStyle name="Currency 4 2 3" xfId="293" xr:uid="{94F5999A-A62D-4737-B3E1-E8922139378E}"/>
    <cellStyle name="Currency 4 3" xfId="326" xr:uid="{6E3D563D-65FB-4521-84A4-38D3BF1F03F4}"/>
    <cellStyle name="Currency 4 4" xfId="292" xr:uid="{4B47DBA0-F875-4859-9C55-ABA1C7A3F368}"/>
    <cellStyle name="Currency 5" xfId="243" xr:uid="{00000000-0005-0000-0000-00005C000000}"/>
    <cellStyle name="Currency 5 2" xfId="336" xr:uid="{74B8B46E-4B87-4EF2-AB28-A638A4DE35CB}"/>
    <cellStyle name="Currency 5 3" xfId="302" xr:uid="{1C725941-8CCA-4F5F-9A5D-DA7182FCFF5D}"/>
    <cellStyle name="Currency 6" xfId="339" xr:uid="{42AE3D35-B021-421A-A321-1EEE8F28B829}"/>
    <cellStyle name="D4_B8B1_005004B79812_.wvu.PrintTitlest" xfId="95" xr:uid="{00000000-0005-0000-0000-00005D000000}"/>
    <cellStyle name="Date" xfId="96" xr:uid="{00000000-0005-0000-0000-00005E000000}"/>
    <cellStyle name="Date 2" xfId="97" xr:uid="{00000000-0005-0000-0000-00005F000000}"/>
    <cellStyle name="dms_1" xfId="304" xr:uid="{742C11EE-B86A-45A4-A4CE-04C8E66F59D9}"/>
    <cellStyle name="Emphasis 1" xfId="98" xr:uid="{00000000-0005-0000-0000-000060000000}"/>
    <cellStyle name="Emphasis 2" xfId="99" xr:uid="{00000000-0005-0000-0000-000061000000}"/>
    <cellStyle name="Emphasis 3" xfId="100" xr:uid="{00000000-0005-0000-0000-000062000000}"/>
    <cellStyle name="Empty_Cell" xfId="247" xr:uid="{00000000-0005-0000-0000-000063000000}"/>
    <cellStyle name="Euro" xfId="101" xr:uid="{00000000-0005-0000-0000-000064000000}"/>
    <cellStyle name="Explanatory Text 2" xfId="102" xr:uid="{00000000-0005-0000-0000-000065000000}"/>
    <cellStyle name="Fixed" xfId="103" xr:uid="{00000000-0005-0000-0000-000066000000}"/>
    <cellStyle name="Fixed 2" xfId="104" xr:uid="{00000000-0005-0000-0000-000067000000}"/>
    <cellStyle name="Gilsans" xfId="105" xr:uid="{00000000-0005-0000-0000-000068000000}"/>
    <cellStyle name="Gilsansl" xfId="106" xr:uid="{00000000-0005-0000-0000-000069000000}"/>
    <cellStyle name="Good 2" xfId="107" xr:uid="{00000000-0005-0000-0000-00006A000000}"/>
    <cellStyle name="Header1" xfId="248" xr:uid="{00000000-0005-0000-0000-00006B000000}"/>
    <cellStyle name="Header2" xfId="249" xr:uid="{00000000-0005-0000-0000-00006C000000}"/>
    <cellStyle name="Header3" xfId="250" xr:uid="{00000000-0005-0000-0000-00006D000000}"/>
    <cellStyle name="Header4" xfId="251" xr:uid="{00000000-0005-0000-0000-00006E000000}"/>
    <cellStyle name="Header5" xfId="252" xr:uid="{00000000-0005-0000-0000-00006F000000}"/>
    <cellStyle name="Heading 1 2" xfId="108" xr:uid="{00000000-0005-0000-0000-000070000000}"/>
    <cellStyle name="Heading 1 2 2" xfId="109" xr:uid="{00000000-0005-0000-0000-000071000000}"/>
    <cellStyle name="Heading 1 3" xfId="110" xr:uid="{00000000-0005-0000-0000-000072000000}"/>
    <cellStyle name="Heading 2 2" xfId="111" xr:uid="{00000000-0005-0000-0000-000073000000}"/>
    <cellStyle name="Heading 2 2 2" xfId="112" xr:uid="{00000000-0005-0000-0000-000074000000}"/>
    <cellStyle name="Heading 2 3" xfId="113" xr:uid="{00000000-0005-0000-0000-000075000000}"/>
    <cellStyle name="Heading 3 2" xfId="114" xr:uid="{00000000-0005-0000-0000-000076000000}"/>
    <cellStyle name="Heading 3 2 2" xfId="115" xr:uid="{00000000-0005-0000-0000-000077000000}"/>
    <cellStyle name="Heading 3 3" xfId="116" xr:uid="{00000000-0005-0000-0000-000078000000}"/>
    <cellStyle name="Heading 4 2" xfId="117" xr:uid="{00000000-0005-0000-0000-000079000000}"/>
    <cellStyle name="Heading 4 2 2" xfId="118" xr:uid="{00000000-0005-0000-0000-00007A000000}"/>
    <cellStyle name="Heading 4 3" xfId="119" xr:uid="{00000000-0005-0000-0000-00007B000000}"/>
    <cellStyle name="Heading(4)" xfId="120" xr:uid="{00000000-0005-0000-0000-00007C000000}"/>
    <cellStyle name="Hyperlink" xfId="3" builtinId="8"/>
    <cellStyle name="Hyperlink 2" xfId="121" xr:uid="{00000000-0005-0000-0000-00007E000000}"/>
    <cellStyle name="Hyperlink Arrow" xfId="122" xr:uid="{00000000-0005-0000-0000-00007F000000}"/>
    <cellStyle name="Hyperlink Text" xfId="123" xr:uid="{00000000-0005-0000-0000-000080000000}"/>
    <cellStyle name="Input 2" xfId="124" xr:uid="{00000000-0005-0000-0000-000081000000}"/>
    <cellStyle name="Input|Date" xfId="1" xr:uid="{00000000-0005-0000-0000-000082000000}"/>
    <cellStyle name="Input1" xfId="125" xr:uid="{00000000-0005-0000-0000-000083000000}"/>
    <cellStyle name="Input1 2" xfId="126" xr:uid="{00000000-0005-0000-0000-000084000000}"/>
    <cellStyle name="Input1 2 2" xfId="329" xr:uid="{D3228D83-937E-4651-8082-CB20DC9746AB}"/>
    <cellStyle name="Input1 2 3" xfId="295" xr:uid="{64B6AFB4-19AE-4631-BF2C-F22758F2FF48}"/>
    <cellStyle name="Input1 3" xfId="328" xr:uid="{F5E58DC3-31D7-46C2-938B-7189AF34E5CA}"/>
    <cellStyle name="Input1 4" xfId="294" xr:uid="{91180957-0D65-43E7-BC35-67E7E32C977D}"/>
    <cellStyle name="Input2" xfId="127" xr:uid="{00000000-0005-0000-0000-000085000000}"/>
    <cellStyle name="Input2 2" xfId="128" xr:uid="{00000000-0005-0000-0000-000086000000}"/>
    <cellStyle name="Input3" xfId="129" xr:uid="{00000000-0005-0000-0000-000087000000}"/>
    <cellStyle name="Input3 2" xfId="130" xr:uid="{00000000-0005-0000-0000-000088000000}"/>
    <cellStyle name="Input3 2 2" xfId="331" xr:uid="{F594DD28-D3B1-475A-8F65-FBCC9EC7B0B0}"/>
    <cellStyle name="Input3 2 3" xfId="297" xr:uid="{4D7E55F1-8B8F-4D90-88E6-7BD951EC9555}"/>
    <cellStyle name="Input3 3" xfId="330" xr:uid="{C750C81D-800E-463A-B94B-3FD77949F13C}"/>
    <cellStyle name="Input3 4" xfId="296" xr:uid="{F4976202-1B02-47F9-A38B-0351151C7A3E}"/>
    <cellStyle name="Inputs_Divider" xfId="253" xr:uid="{00000000-0005-0000-0000-000089000000}"/>
    <cellStyle name="InSheet" xfId="254" xr:uid="{00000000-0005-0000-0000-00008A000000}"/>
    <cellStyle name="K_Number" xfId="343" xr:uid="{1AAEB2F1-CA32-417A-B259-3ADD591670FE}"/>
    <cellStyle name="Lines" xfId="131" xr:uid="{00000000-0005-0000-0000-00008B000000}"/>
    <cellStyle name="Linked Cell 2" xfId="132" xr:uid="{00000000-0005-0000-0000-00008C000000}"/>
    <cellStyle name="Mine" xfId="133" xr:uid="{00000000-0005-0000-0000-00008D000000}"/>
    <cellStyle name="Model Name" xfId="134" xr:uid="{00000000-0005-0000-0000-00008E000000}"/>
    <cellStyle name="Neutral 2" xfId="135" xr:uid="{00000000-0005-0000-0000-00008F000000}"/>
    <cellStyle name="Normal" xfId="0" builtinId="0"/>
    <cellStyle name="Normal - Style1" xfId="136" xr:uid="{00000000-0005-0000-0000-000091000000}"/>
    <cellStyle name="Normal 10" xfId="241" xr:uid="{00000000-0005-0000-0000-000092000000}"/>
    <cellStyle name="Normal 10 2" xfId="265" xr:uid="{00000000-0005-0000-0000-000093000000}"/>
    <cellStyle name="Normal 10 2 2" xfId="334" xr:uid="{15D3F114-FC6C-4FB8-A9F1-85A71679A5D0}"/>
    <cellStyle name="Normal 10 3" xfId="344" xr:uid="{DA6B74E5-A413-4BDA-AAED-580696B7312F}"/>
    <cellStyle name="Normal 10 4" xfId="300" xr:uid="{511A3C74-7CCB-4768-950B-E5AC17760709}"/>
    <cellStyle name="Normal 11" xfId="264" xr:uid="{00000000-0005-0000-0000-000094000000}"/>
    <cellStyle name="Normal 11 2" xfId="337" xr:uid="{193450DA-2A7E-461E-BB5D-87D8E013E8BB}"/>
    <cellStyle name="Normal 11 3" xfId="303" xr:uid="{6227F44F-578F-4523-99A5-41E507F9DB80}"/>
    <cellStyle name="Normal 12" xfId="340" xr:uid="{85C80611-C921-45D6-B565-FDC8304C24FC}"/>
    <cellStyle name="Normal 13" xfId="137" xr:uid="{00000000-0005-0000-0000-000095000000}"/>
    <cellStyle name="Normal 13 2" xfId="7" xr:uid="{00000000-0005-0000-0000-000096000000}"/>
    <cellStyle name="Normal 13_29(d) - Gas extensions -tariffs" xfId="138" xr:uid="{00000000-0005-0000-0000-000097000000}"/>
    <cellStyle name="Normal 15" xfId="139" xr:uid="{00000000-0005-0000-0000-000098000000}"/>
    <cellStyle name="Normal 16" xfId="140" xr:uid="{00000000-0005-0000-0000-000099000000}"/>
    <cellStyle name="Normal 2" xfId="141" xr:uid="{00000000-0005-0000-0000-00009A000000}"/>
    <cellStyle name="Normal 2 2" xfId="142" xr:uid="{00000000-0005-0000-0000-00009B000000}"/>
    <cellStyle name="Normal 2 2 2" xfId="143" xr:uid="{00000000-0005-0000-0000-00009C000000}"/>
    <cellStyle name="Normal 2 3" xfId="144" xr:uid="{00000000-0005-0000-0000-00009D000000}"/>
    <cellStyle name="Normal 2 3 2" xfId="145" xr:uid="{00000000-0005-0000-0000-00009E000000}"/>
    <cellStyle name="Normal 2 3_29(d) - Gas extensions -tariffs" xfId="146" xr:uid="{00000000-0005-0000-0000-00009F000000}"/>
    <cellStyle name="Normal 2 4" xfId="147" xr:uid="{00000000-0005-0000-0000-0000A0000000}"/>
    <cellStyle name="Normal 2 5" xfId="148" xr:uid="{00000000-0005-0000-0000-0000A1000000}"/>
    <cellStyle name="Normal 2_29(d) - Gas extensions -tariffs" xfId="149" xr:uid="{00000000-0005-0000-0000-0000A2000000}"/>
    <cellStyle name="Normal 3" xfId="150" xr:uid="{00000000-0005-0000-0000-0000A3000000}"/>
    <cellStyle name="Normal 3 2" xfId="151" xr:uid="{00000000-0005-0000-0000-0000A4000000}"/>
    <cellStyle name="Normal 3 5" xfId="268" xr:uid="{00000000-0005-0000-0000-0000A5000000}"/>
    <cellStyle name="Normal 3_29(d) - Gas extensions -tariffs" xfId="152" xr:uid="{00000000-0005-0000-0000-0000A6000000}"/>
    <cellStyle name="Normal 38" xfId="153" xr:uid="{00000000-0005-0000-0000-0000A7000000}"/>
    <cellStyle name="Normal 38 2" xfId="154" xr:uid="{00000000-0005-0000-0000-0000A8000000}"/>
    <cellStyle name="Normal 38_29(d) - Gas extensions -tariffs" xfId="155" xr:uid="{00000000-0005-0000-0000-0000A9000000}"/>
    <cellStyle name="Normal 4" xfId="156" xr:uid="{00000000-0005-0000-0000-0000AA000000}"/>
    <cellStyle name="Normal 4 2" xfId="157" xr:uid="{00000000-0005-0000-0000-0000AB000000}"/>
    <cellStyle name="Normal 4 3" xfId="158" xr:uid="{00000000-0005-0000-0000-0000AC000000}"/>
    <cellStyle name="Normal 4 3 2" xfId="332" xr:uid="{A863169B-EA72-47AC-8DA4-18712709F96C}"/>
    <cellStyle name="Normal 4 3 3" xfId="298" xr:uid="{8030E4EF-F7E8-472B-825F-4AF5358D561C}"/>
    <cellStyle name="Normal 4_29(d) - Gas extensions -tariffs" xfId="159" xr:uid="{00000000-0005-0000-0000-0000AD000000}"/>
    <cellStyle name="Normal 40" xfId="160" xr:uid="{00000000-0005-0000-0000-0000AE000000}"/>
    <cellStyle name="Normal 40 2" xfId="161" xr:uid="{00000000-0005-0000-0000-0000AF000000}"/>
    <cellStyle name="Normal 40_29(d) - Gas extensions -tariffs" xfId="162" xr:uid="{00000000-0005-0000-0000-0000B0000000}"/>
    <cellStyle name="Normal 42" xfId="342" xr:uid="{DDF077ED-35F2-4242-BD86-E750C98FBCAF}"/>
    <cellStyle name="Normal 5" xfId="163" xr:uid="{00000000-0005-0000-0000-0000B1000000}"/>
    <cellStyle name="Normal 5 2" xfId="164" xr:uid="{00000000-0005-0000-0000-0000B2000000}"/>
    <cellStyle name="Normal 6" xfId="165" xr:uid="{00000000-0005-0000-0000-0000B3000000}"/>
    <cellStyle name="Normal 6 2" xfId="166" xr:uid="{00000000-0005-0000-0000-0000B4000000}"/>
    <cellStyle name="Normal 7" xfId="9" xr:uid="{00000000-0005-0000-0000-0000B5000000}"/>
    <cellStyle name="Normal 7 2" xfId="167" xr:uid="{00000000-0005-0000-0000-0000B6000000}"/>
    <cellStyle name="Normal 7 2 2" xfId="333" xr:uid="{5F29DCF0-B82D-4953-9E2D-0D3D2BF4909C}"/>
    <cellStyle name="Normal 7 2 3" xfId="299" xr:uid="{150F76CB-23A2-42C8-A4BF-67E39CA41BCC}"/>
    <cellStyle name="Normal 8" xfId="168" xr:uid="{00000000-0005-0000-0000-0000B7000000}"/>
    <cellStyle name="Normal 9" xfId="169" xr:uid="{00000000-0005-0000-0000-0000B8000000}"/>
    <cellStyle name="Note 2" xfId="170" xr:uid="{00000000-0005-0000-0000-0000B9000000}"/>
    <cellStyle name="OffSheet" xfId="255" xr:uid="{00000000-0005-0000-0000-0000BA000000}"/>
    <cellStyle name="Output 2" xfId="171" xr:uid="{00000000-0005-0000-0000-0000BB000000}"/>
    <cellStyle name="Per cent" xfId="2" builtinId="5"/>
    <cellStyle name="Percent [2]" xfId="172" xr:uid="{00000000-0005-0000-0000-0000BD000000}"/>
    <cellStyle name="Percent [2] 2" xfId="173" xr:uid="{00000000-0005-0000-0000-0000BE000000}"/>
    <cellStyle name="Percent [2]_29(d) - Gas extensions -tariffs" xfId="174" xr:uid="{00000000-0005-0000-0000-0000BF000000}"/>
    <cellStyle name="Percent 10" xfId="270" xr:uid="{FAD59EA0-6226-4B62-9BCB-65BD7EA4E7FB}"/>
    <cellStyle name="Percent 2" xfId="4" xr:uid="{00000000-0005-0000-0000-0000C0000000}"/>
    <cellStyle name="Percent 2 2" xfId="175" xr:uid="{00000000-0005-0000-0000-0000C1000000}"/>
    <cellStyle name="Percent 3" xfId="176" xr:uid="{00000000-0005-0000-0000-0000C2000000}"/>
    <cellStyle name="Percent 3 2" xfId="177" xr:uid="{00000000-0005-0000-0000-0000C3000000}"/>
    <cellStyle name="Percent 4" xfId="178" xr:uid="{00000000-0005-0000-0000-0000C4000000}"/>
    <cellStyle name="Percent 5" xfId="242" xr:uid="{00000000-0005-0000-0000-0000C5000000}"/>
    <cellStyle name="Percent 5 2" xfId="335" xr:uid="{BE80DD08-9F3A-4F50-B6E8-C5758C865567}"/>
    <cellStyle name="Percent 5 3" xfId="301" xr:uid="{201FFB6E-AC2B-451D-A694-41AE3C0C3975}"/>
    <cellStyle name="Percent 6" xfId="266" xr:uid="{00000000-0005-0000-0000-0000C6000000}"/>
    <cellStyle name="Percent 6 2" xfId="338" xr:uid="{B540D878-40DE-4B5A-B3D5-183E3AC46245}"/>
    <cellStyle name="Percent 7" xfId="179" xr:uid="{00000000-0005-0000-0000-0000C7000000}"/>
    <cellStyle name="Percentage" xfId="180" xr:uid="{00000000-0005-0000-0000-0000C8000000}"/>
    <cellStyle name="Period Title" xfId="181" xr:uid="{00000000-0005-0000-0000-0000C9000000}"/>
    <cellStyle name="PSChar" xfId="182" xr:uid="{00000000-0005-0000-0000-0000CA000000}"/>
    <cellStyle name="PSDate" xfId="183" xr:uid="{00000000-0005-0000-0000-0000CB000000}"/>
    <cellStyle name="PSDec" xfId="184" xr:uid="{00000000-0005-0000-0000-0000CC000000}"/>
    <cellStyle name="PSDetail" xfId="185" xr:uid="{00000000-0005-0000-0000-0000CD000000}"/>
    <cellStyle name="PSHeading" xfId="186" xr:uid="{00000000-0005-0000-0000-0000CE000000}"/>
    <cellStyle name="PSInt" xfId="187" xr:uid="{00000000-0005-0000-0000-0000CF000000}"/>
    <cellStyle name="PSSpacer" xfId="188" xr:uid="{00000000-0005-0000-0000-0000D0000000}"/>
    <cellStyle name="Ratio" xfId="189" xr:uid="{00000000-0005-0000-0000-0000D1000000}"/>
    <cellStyle name="Ratio 2" xfId="190" xr:uid="{00000000-0005-0000-0000-0000D2000000}"/>
    <cellStyle name="Ratio_29(d) - Gas extensions -tariffs" xfId="191" xr:uid="{00000000-0005-0000-0000-0000D3000000}"/>
    <cellStyle name="Right Date" xfId="192" xr:uid="{00000000-0005-0000-0000-0000D4000000}"/>
    <cellStyle name="Right Number" xfId="193" xr:uid="{00000000-0005-0000-0000-0000D5000000}"/>
    <cellStyle name="Right Year" xfId="194" xr:uid="{00000000-0005-0000-0000-0000D6000000}"/>
    <cellStyle name="SAPError" xfId="195" xr:uid="{00000000-0005-0000-0000-0000D7000000}"/>
    <cellStyle name="SAPError 2" xfId="196" xr:uid="{00000000-0005-0000-0000-0000D8000000}"/>
    <cellStyle name="SAPKey" xfId="197" xr:uid="{00000000-0005-0000-0000-0000D9000000}"/>
    <cellStyle name="SAPKey 2" xfId="198" xr:uid="{00000000-0005-0000-0000-0000DA000000}"/>
    <cellStyle name="SAPLocked" xfId="199" xr:uid="{00000000-0005-0000-0000-0000DB000000}"/>
    <cellStyle name="SAPLocked 2" xfId="200" xr:uid="{00000000-0005-0000-0000-0000DC000000}"/>
    <cellStyle name="SAPOutput" xfId="201" xr:uid="{00000000-0005-0000-0000-0000DD000000}"/>
    <cellStyle name="SAPOutput 2" xfId="202" xr:uid="{00000000-0005-0000-0000-0000DE000000}"/>
    <cellStyle name="SAPSpace" xfId="203" xr:uid="{00000000-0005-0000-0000-0000DF000000}"/>
    <cellStyle name="SAPSpace 2" xfId="204" xr:uid="{00000000-0005-0000-0000-0000E0000000}"/>
    <cellStyle name="SAPText" xfId="205" xr:uid="{00000000-0005-0000-0000-0000E1000000}"/>
    <cellStyle name="SAPText 2" xfId="206" xr:uid="{00000000-0005-0000-0000-0000E2000000}"/>
    <cellStyle name="SAPUnLocked" xfId="207" xr:uid="{00000000-0005-0000-0000-0000E3000000}"/>
    <cellStyle name="SAPUnLocked 2" xfId="208" xr:uid="{00000000-0005-0000-0000-0000E4000000}"/>
    <cellStyle name="Sheet Title" xfId="209" xr:uid="{00000000-0005-0000-0000-0000E5000000}"/>
    <cellStyle name="SheetHeader1" xfId="256" xr:uid="{00000000-0005-0000-0000-0000E6000000}"/>
    <cellStyle name="SheetHeader2" xfId="257" xr:uid="{00000000-0005-0000-0000-0000E7000000}"/>
    <cellStyle name="SheetHeader3" xfId="258" xr:uid="{00000000-0005-0000-0000-0000E8000000}"/>
    <cellStyle name="Style 1" xfId="210" xr:uid="{00000000-0005-0000-0000-0000E9000000}"/>
    <cellStyle name="Style 1 2" xfId="211" xr:uid="{00000000-0005-0000-0000-0000EA000000}"/>
    <cellStyle name="Style 1_29(d) - Gas extensions -tariffs" xfId="212" xr:uid="{00000000-0005-0000-0000-0000EB000000}"/>
    <cellStyle name="Style2" xfId="213" xr:uid="{00000000-0005-0000-0000-0000EC000000}"/>
    <cellStyle name="Style3" xfId="214" xr:uid="{00000000-0005-0000-0000-0000ED000000}"/>
    <cellStyle name="Style4" xfId="215" xr:uid="{00000000-0005-0000-0000-0000EE000000}"/>
    <cellStyle name="Style4 2" xfId="216" xr:uid="{00000000-0005-0000-0000-0000EF000000}"/>
    <cellStyle name="Style4_29(d) - Gas extensions -tariffs" xfId="217" xr:uid="{00000000-0005-0000-0000-0000F0000000}"/>
    <cellStyle name="Style5" xfId="218" xr:uid="{00000000-0005-0000-0000-0000F1000000}"/>
    <cellStyle name="Style5 2" xfId="219" xr:uid="{00000000-0005-0000-0000-0000F2000000}"/>
    <cellStyle name="Style5_29(d) - Gas extensions -tariffs" xfId="220" xr:uid="{00000000-0005-0000-0000-0000F3000000}"/>
    <cellStyle name="Table Head Green" xfId="221" xr:uid="{00000000-0005-0000-0000-0000F4000000}"/>
    <cellStyle name="Table Head_pldt" xfId="222" xr:uid="{00000000-0005-0000-0000-0000F5000000}"/>
    <cellStyle name="Table Source" xfId="223" xr:uid="{00000000-0005-0000-0000-0000F6000000}"/>
    <cellStyle name="Table Units" xfId="224" xr:uid="{00000000-0005-0000-0000-0000F7000000}"/>
    <cellStyle name="Table_Heading" xfId="259" xr:uid="{00000000-0005-0000-0000-0000F8000000}"/>
    <cellStyle name="TableLvl3" xfId="267" xr:uid="{00000000-0005-0000-0000-0000F9000000}"/>
    <cellStyle name="Technical_Input" xfId="260" xr:uid="{00000000-0005-0000-0000-0000FA000000}"/>
    <cellStyle name="Text" xfId="225" xr:uid="{00000000-0005-0000-0000-0000FB000000}"/>
    <cellStyle name="Text 2" xfId="226" xr:uid="{00000000-0005-0000-0000-0000FC000000}"/>
    <cellStyle name="Text 3" xfId="227" xr:uid="{00000000-0005-0000-0000-0000FD000000}"/>
    <cellStyle name="Text Head 1" xfId="228" xr:uid="{00000000-0005-0000-0000-0000FE000000}"/>
    <cellStyle name="Text Head 2" xfId="229" xr:uid="{00000000-0005-0000-0000-0000FF000000}"/>
    <cellStyle name="Text Indent 2" xfId="230" xr:uid="{00000000-0005-0000-0000-000000010000}"/>
    <cellStyle name="Theirs" xfId="231" xr:uid="{00000000-0005-0000-0000-000001010000}"/>
    <cellStyle name="Title 2" xfId="232" xr:uid="{00000000-0005-0000-0000-000002010000}"/>
    <cellStyle name="TOC 1" xfId="233" xr:uid="{00000000-0005-0000-0000-000003010000}"/>
    <cellStyle name="TOC 2" xfId="234" xr:uid="{00000000-0005-0000-0000-000004010000}"/>
    <cellStyle name="TOC 3" xfId="235" xr:uid="{00000000-0005-0000-0000-000005010000}"/>
    <cellStyle name="Total 2" xfId="236" xr:uid="{00000000-0005-0000-0000-000006010000}"/>
    <cellStyle name="Totals" xfId="261" xr:uid="{00000000-0005-0000-0000-000007010000}"/>
    <cellStyle name="unit" xfId="262" xr:uid="{00000000-0005-0000-0000-000008010000}"/>
    <cellStyle name="User_Input" xfId="263" xr:uid="{00000000-0005-0000-0000-000009010000}"/>
    <cellStyle name="Warning Text 2" xfId="237" xr:uid="{00000000-0005-0000-0000-00000A010000}"/>
    <cellStyle name="year" xfId="238" xr:uid="{00000000-0005-0000-0000-00000B010000}"/>
    <cellStyle name="year 2" xfId="239" xr:uid="{00000000-0005-0000-0000-00000C010000}"/>
    <cellStyle name="year_29(d) - Gas extensions -tariffs" xfId="240" xr:uid="{00000000-0005-0000-0000-00000D010000}"/>
  </cellStyles>
  <dxfs count="1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CCFFCC"/>
      <color rgb="FF0000FF"/>
      <color rgb="FF006100"/>
      <color rgb="FFDBE5F1"/>
      <color rgb="FFC6EFCE"/>
      <color rgb="FF9C0006"/>
      <color rgb="FFFFFF99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|Opex%20forecast_fina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utput|Models_fina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|Rate%20of%20change_fina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fo|BC%20refere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|%20Rate%20of%20chan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|Opex forecast_fin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|Models_fina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|Rate of change_final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|BC refere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| Rate of chang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rba.gov.au/publications/smp/2023/aug/forecasts.html" TargetMode="External"/><Relationship Id="rId1" Type="http://schemas.openxmlformats.org/officeDocument/2006/relationships/hyperlink" Target="https://www.abs.gov.au/statistics/economy/price-indexes-and-inflation/consumer-price-index-australia/sep-quarter-2023/640101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D35"/>
  <sheetViews>
    <sheetView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1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55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55" t="s">
        <v>15</v>
      </c>
      <c r="D12" s="7" t="s">
        <v>16</v>
      </c>
    </row>
    <row r="13" spans="1:30">
      <c r="C13" s="155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>
      <c r="C16" s="155" t="s">
        <v>23</v>
      </c>
      <c r="D16" s="7" t="s">
        <v>24</v>
      </c>
    </row>
    <row r="17" spans="1:30" ht="12.75">
      <c r="C17" s="10"/>
      <c r="D17" s="7"/>
    </row>
    <row r="18" spans="1:30" customFormat="1" ht="12.75">
      <c r="A18" s="37"/>
      <c r="B18" s="43" t="s">
        <v>25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D19" s="7"/>
      <c r="F19" s="25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D23" s="7"/>
      <c r="F23" s="25"/>
    </row>
    <row r="24" spans="1:30" hidden="1">
      <c r="C24" s="7"/>
      <c r="D24" s="7"/>
      <c r="F24" s="25"/>
    </row>
    <row r="25" spans="1:30" hidden="1">
      <c r="C25" s="7"/>
      <c r="D25" s="7"/>
      <c r="F25" s="25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2.75" hidden="1">
      <c r="C32" s="10"/>
      <c r="D32" s="7"/>
    </row>
    <row r="34"/>
    <row r="35"/>
  </sheetData>
  <hyperlinks>
    <hyperlink ref="C12" location="'Calc|Opex forecast_final'!A1" display="Calc | Opex Forecast" xr:uid="{00000000-0004-0000-0000-000001000000}"/>
    <hyperlink ref="C13" location="'Output|Models_final'!A1" display="Output | Models" xr:uid="{00000000-0004-0000-0000-000002000000}"/>
    <hyperlink ref="C14" location="'Lookup|Tables'!A1" display="Lookup | Tables" xr:uid="{00000000-0004-0000-0000-000003000000}"/>
    <hyperlink ref="C15" location="'Check|List'!A1" display="Check | List" xr:uid="{00000000-0004-0000-0000-000004000000}"/>
    <hyperlink ref="C7" location="'Input|General'!A1" display="Input | General" xr:uid="{00000000-0004-0000-0000-000005000000}"/>
    <hyperlink ref="C9" location="'Input|Reported opex'!A1" display="Input | Reported opex" xr:uid="{00000000-0004-0000-0000-000006000000}"/>
    <hyperlink ref="C10" location="'Input|Rate of change_final'!A1" display="Input | Rate of change" xr:uid="{00000000-0004-0000-0000-000007000000}"/>
    <hyperlink ref="C11" location="'Input|Step changes'!A1" display="Input | Step changes" xr:uid="{00000000-0004-0000-0000-000008000000}"/>
    <hyperlink ref="C8" location="'Input|Inflation'!A1" display="Input | Inflation" xr:uid="{00000000-0004-0000-0000-000009000000}"/>
    <hyperlink ref="C16" location="'Info|BC reference'!A1" display="Business case reference" xr:uid="{2CC772B0-707B-42A5-8337-D61FC60D174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D28"/>
  <sheetViews>
    <sheetView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7.6640625" style="16" customWidth="1"/>
    <col min="5" max="5" width="15.83203125" style="16" customWidth="1"/>
    <col min="6" max="6" width="10.6640625" style="16" customWidth="1"/>
    <col min="7" max="7" width="19.1640625" style="16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26</v>
      </c>
      <c r="L1" s="33" t="s">
        <v>27</v>
      </c>
      <c r="M1" s="50" t="s">
        <v>28</v>
      </c>
      <c r="N1" s="11" t="s">
        <v>29</v>
      </c>
      <c r="O1" s="12" t="s">
        <v>30</v>
      </c>
      <c r="R1" s="33" t="s">
        <v>31</v>
      </c>
      <c r="S1" s="34" t="str">
        <f>IF(COUNTA($S$5:$S$17)=COUNTIF($S5:$S18,"OK"),"OK","Check")</f>
        <v>OK</v>
      </c>
      <c r="U1" s="132" t="s">
        <v>32</v>
      </c>
      <c r="V1" s="34" t="str">
        <f>'Check|List'!$S$1</f>
        <v>Ok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58"/>
      <c r="G2" s="58"/>
      <c r="H2" s="58"/>
      <c r="I2" s="58"/>
    </row>
    <row r="3" spans="1:30" s="6" customFormat="1" ht="3" customHeight="1">
      <c r="D3" s="27"/>
      <c r="E3" s="27"/>
      <c r="F3" s="27"/>
      <c r="G3" s="27"/>
      <c r="H3" s="27"/>
      <c r="I3" s="27"/>
    </row>
    <row r="4" spans="1:30" customFormat="1" ht="12.75">
      <c r="A4" s="37"/>
      <c r="B4" s="43" t="s">
        <v>33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34</v>
      </c>
      <c r="D6" s="21" t="s">
        <v>35</v>
      </c>
      <c r="E6" s="21"/>
      <c r="F6" s="14"/>
      <c r="G6" s="14" t="s">
        <v>36</v>
      </c>
      <c r="H6" s="14"/>
      <c r="I6" s="8"/>
    </row>
    <row r="7" spans="1:30">
      <c r="C7" s="8" t="s">
        <v>37</v>
      </c>
      <c r="D7" s="16" t="s">
        <v>38</v>
      </c>
      <c r="E7" s="8"/>
      <c r="F7" s="8"/>
      <c r="G7" s="44" t="s">
        <v>39</v>
      </c>
      <c r="H7" s="8"/>
      <c r="I7" s="8"/>
      <c r="S7" s="88" t="str">
        <f>IF(COUNTBLANK($G7),"Check","Ok")</f>
        <v>Ok</v>
      </c>
    </row>
    <row r="8" spans="1:30">
      <c r="C8" s="8" t="s">
        <v>40</v>
      </c>
      <c r="D8" s="16" t="s">
        <v>41</v>
      </c>
      <c r="E8" s="8"/>
      <c r="F8" s="8"/>
      <c r="G8" s="44" t="s">
        <v>42</v>
      </c>
      <c r="H8" s="8"/>
      <c r="I8" s="8"/>
      <c r="S8" s="88" t="str">
        <f>IF(COUNTBLANK($G8),"Check","Ok")</f>
        <v>Ok</v>
      </c>
    </row>
    <row r="9" spans="1:30">
      <c r="C9" s="8" t="s">
        <v>43</v>
      </c>
      <c r="D9" s="16" t="s">
        <v>38</v>
      </c>
      <c r="E9" s="8"/>
      <c r="F9" s="8"/>
      <c r="G9" s="108">
        <v>36678</v>
      </c>
      <c r="H9" s="8"/>
      <c r="I9" s="8"/>
      <c r="S9" s="88" t="str">
        <f>IF(COUNTBLANK($G9),"Check","Ok")</f>
        <v>Ok</v>
      </c>
    </row>
    <row r="10" spans="1:30">
      <c r="C10" s="8" t="s">
        <v>44</v>
      </c>
      <c r="D10" s="16" t="s">
        <v>38</v>
      </c>
      <c r="E10" s="8"/>
      <c r="F10" s="8"/>
      <c r="G10" s="109">
        <v>2021</v>
      </c>
      <c r="H10" s="8"/>
      <c r="I10" s="8"/>
      <c r="S10" s="88" t="str">
        <f t="shared" ref="S10:S16" si="0">IF(COUNTBLANK($G10),"Check","Ok")</f>
        <v>Ok</v>
      </c>
    </row>
    <row r="11" spans="1:30">
      <c r="C11" s="8" t="s">
        <v>45</v>
      </c>
      <c r="D11" s="16" t="s">
        <v>38</v>
      </c>
      <c r="E11" s="8"/>
      <c r="F11" s="8"/>
      <c r="G11" s="109">
        <v>2024</v>
      </c>
      <c r="H11" s="8"/>
      <c r="I11" s="8"/>
      <c r="S11" s="88" t="str">
        <f t="shared" si="0"/>
        <v>Ok</v>
      </c>
    </row>
    <row r="12" spans="1:30">
      <c r="C12" s="8" t="s">
        <v>46</v>
      </c>
      <c r="D12" s="16" t="s">
        <v>38</v>
      </c>
      <c r="E12" s="8"/>
      <c r="F12" s="8"/>
      <c r="G12" s="109">
        <v>2025</v>
      </c>
      <c r="H12" s="8"/>
      <c r="I12" s="8"/>
      <c r="S12" s="88" t="str">
        <f t="shared" si="0"/>
        <v>Ok</v>
      </c>
    </row>
    <row r="13" spans="1:30">
      <c r="C13" s="8" t="s">
        <v>47</v>
      </c>
      <c r="D13" s="16" t="s">
        <v>38</v>
      </c>
      <c r="E13" s="8"/>
      <c r="F13" s="8"/>
      <c r="G13" s="109">
        <v>2026</v>
      </c>
      <c r="H13" s="8"/>
      <c r="I13" s="8"/>
      <c r="S13" s="88" t="str">
        <f t="shared" si="0"/>
        <v>Ok</v>
      </c>
    </row>
    <row r="14" spans="1:30">
      <c r="C14" s="8" t="s">
        <v>48</v>
      </c>
      <c r="D14" s="16" t="s">
        <v>38</v>
      </c>
      <c r="E14" s="8"/>
      <c r="F14" s="8"/>
      <c r="G14" s="109">
        <v>2030</v>
      </c>
      <c r="H14" s="8"/>
      <c r="I14" s="8"/>
      <c r="S14" s="88" t="str">
        <f t="shared" si="0"/>
        <v>Ok</v>
      </c>
    </row>
    <row r="15" spans="1:30">
      <c r="C15" s="8" t="s">
        <v>49</v>
      </c>
      <c r="D15" s="16" t="s">
        <v>41</v>
      </c>
      <c r="E15" s="8"/>
      <c r="F15" s="8"/>
      <c r="G15" s="109" t="s">
        <v>50</v>
      </c>
      <c r="H15" s="8"/>
      <c r="I15" s="8"/>
      <c r="S15" s="88" t="str">
        <f t="shared" si="0"/>
        <v>Ok</v>
      </c>
    </row>
    <row r="16" spans="1:30">
      <c r="C16" s="172" t="s">
        <v>51</v>
      </c>
      <c r="D16" s="173" t="s">
        <v>38</v>
      </c>
      <c r="E16" s="211"/>
      <c r="F16" s="212"/>
      <c r="G16" s="174" t="s">
        <v>52</v>
      </c>
      <c r="H16" s="8"/>
      <c r="I16" s="8"/>
      <c r="S16" s="88" t="str">
        <f t="shared" si="0"/>
        <v>Ok</v>
      </c>
    </row>
    <row r="17" spans="1:30">
      <c r="D17" s="8"/>
      <c r="E17" s="8"/>
      <c r="F17" s="8"/>
      <c r="G17" s="8"/>
      <c r="H17" s="8"/>
      <c r="I17" s="8"/>
    </row>
    <row r="18" spans="1:30" customFormat="1" ht="12.75">
      <c r="A18" s="37"/>
      <c r="B18" s="43" t="s">
        <v>25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  <row r="28" spans="1:30" hidden="1">
      <c r="G28" s="21"/>
      <c r="H28" s="21"/>
    </row>
  </sheetData>
  <dataConsolidate/>
  <mergeCells count="1">
    <mergeCell ref="E16:F16"/>
  </mergeCells>
  <conditionalFormatting sqref="S1">
    <cfRule type="cellIs" dxfId="145" priority="1" operator="equal">
      <formula>"Check"</formula>
    </cfRule>
    <cfRule type="cellIs" dxfId="144" priority="2" operator="equal">
      <formula>"Ok"</formula>
    </cfRule>
  </conditionalFormatting>
  <conditionalFormatting sqref="S7:S16">
    <cfRule type="cellIs" dxfId="143" priority="5" operator="equal">
      <formula>"Check"</formula>
    </cfRule>
    <cfRule type="cellIs" dxfId="142" priority="6" operator="equal">
      <formula>"Ok"</formula>
    </cfRule>
  </conditionalFormatting>
  <conditionalFormatting sqref="V1">
    <cfRule type="cellIs" dxfId="141" priority="3" operator="equal">
      <formula>"Check"</formula>
    </cfRule>
    <cfRule type="cellIs" dxfId="140" priority="4" operator="equal">
      <formula>"Ok"</formula>
    </cfRule>
  </conditionalFormatting>
  <conditionalFormatting sqref="W14:W17">
    <cfRule type="cellIs" dxfId="139" priority="13" operator="equal">
      <formula>"Check"</formula>
    </cfRule>
    <cfRule type="cellIs" dxfId="138" priority="14" operator="equal">
      <formula>"Ok"</formula>
    </cfRule>
  </conditionalFormatting>
  <dataValidations count="3">
    <dataValidation type="list" allowBlank="1" showInputMessage="1" showErrorMessage="1" sqref="F12:F13 I12:I17" xr:uid="{00000000-0002-0000-0100-000000000000}">
      <formula1>#REF!</formula1>
    </dataValidation>
    <dataValidation type="list" allowBlank="1" showInputMessage="1" showErrorMessage="1" sqref="F14:F15 F17" xr:uid="{00000000-0002-0000-0100-000001000000}">
      <formula1>"Real 2010,Real 2011,Real 2012,Real 2013,Real 2014,Real 2015,Nominal"</formula1>
    </dataValidation>
    <dataValidation type="list" allowBlank="1" showInputMessage="1" showErrorMessage="1" sqref="G8" xr:uid="{00000000-0002-0000-0100-000003000000}">
      <formula1>"Proposal, Draft Decision, Revised Proposal, Final Decision"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100-000006000000}">
          <x14:formula1>
            <xm:f>'Lookup|Tables'!$G$79:$G$80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O96"/>
  <sheetViews>
    <sheetView workbookViewId="0"/>
  </sheetViews>
  <sheetFormatPr defaultColWidth="0" defaultRowHeight="0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12" width="15" style="16" customWidth="1"/>
    <col min="13" max="16" width="10.83203125" style="8" customWidth="1"/>
    <col min="17" max="17" width="2.6640625" style="8" customWidth="1"/>
    <col min="18" max="32" width="10.5" style="8" hidden="1" customWidth="1"/>
    <col min="33" max="16384" width="10.5" style="8" hidden="1"/>
  </cols>
  <sheetData>
    <row r="1" spans="1:24" s="32" customFormat="1" ht="15.75">
      <c r="B1" s="29" t="str">
        <f>Index!$B$1</f>
        <v>AER opex model</v>
      </c>
      <c r="C1" s="29"/>
      <c r="D1" s="29"/>
      <c r="E1" s="29"/>
      <c r="F1" s="31" t="s">
        <v>26</v>
      </c>
      <c r="G1" s="33" t="s">
        <v>27</v>
      </c>
      <c r="H1" s="50" t="s">
        <v>28</v>
      </c>
      <c r="I1" s="11" t="s">
        <v>29</v>
      </c>
      <c r="J1" s="12" t="s">
        <v>30</v>
      </c>
      <c r="L1" s="33" t="s">
        <v>31</v>
      </c>
      <c r="M1" s="34" t="str">
        <f>IF(COUNTA(P9:P84)=COUNTIF(P9:P84,"OK"),"OK","Check")</f>
        <v>OK</v>
      </c>
      <c r="O1" s="132" t="s">
        <v>32</v>
      </c>
      <c r="P1" s="34" t="str">
        <f>'Check|List'!$S$1</f>
        <v>Ok</v>
      </c>
    </row>
    <row r="2" spans="1:24" s="36" customFormat="1" ht="13.5" thickBot="1">
      <c r="B2" s="35" t="str">
        <f>Index!C8</f>
        <v>Input | Inflation</v>
      </c>
      <c r="C2" s="35"/>
      <c r="D2" s="35"/>
      <c r="E2" s="35"/>
      <c r="F2" s="35"/>
      <c r="G2" s="35"/>
      <c r="H2" s="35"/>
      <c r="I2" s="58"/>
      <c r="J2" s="58"/>
      <c r="K2" s="58"/>
      <c r="L2" s="58"/>
    </row>
    <row r="3" spans="1:24" s="6" customFormat="1" ht="3" customHeight="1">
      <c r="D3" s="27"/>
      <c r="E3" s="27"/>
      <c r="F3" s="27"/>
      <c r="G3" s="27"/>
      <c r="H3" s="27"/>
      <c r="I3" s="27"/>
      <c r="J3" s="27"/>
      <c r="K3" s="27"/>
      <c r="L3" s="27"/>
    </row>
    <row r="4" spans="1:24" customFormat="1" ht="12.75">
      <c r="A4" s="37"/>
      <c r="B4" s="43" t="s">
        <v>7</v>
      </c>
      <c r="C4" s="37"/>
      <c r="D4" s="37"/>
      <c r="E4" s="37"/>
      <c r="F4" s="37"/>
      <c r="G4" s="37"/>
      <c r="H4" s="37"/>
      <c r="I4" s="38"/>
      <c r="J4" s="38"/>
      <c r="K4" s="38"/>
      <c r="L4" s="38"/>
      <c r="M4" s="39"/>
      <c r="N4" s="40"/>
      <c r="O4" s="39"/>
      <c r="P4" s="40"/>
      <c r="Q4" s="39"/>
      <c r="R4" s="41"/>
      <c r="S4" s="41"/>
      <c r="T4" s="41"/>
      <c r="U4" s="41"/>
      <c r="V4" s="41"/>
      <c r="W4" s="42"/>
      <c r="X4" s="42"/>
    </row>
    <row r="5" spans="1:24" ht="11.25" customHeight="1"/>
    <row r="6" spans="1:24" ht="53.25">
      <c r="D6" s="52" t="s">
        <v>53</v>
      </c>
      <c r="E6" s="52" t="s">
        <v>54</v>
      </c>
      <c r="F6" s="52" t="s">
        <v>55</v>
      </c>
      <c r="G6" s="52" t="s">
        <v>56</v>
      </c>
      <c r="H6" s="52" t="s">
        <v>57</v>
      </c>
      <c r="I6" s="52" t="s">
        <v>54</v>
      </c>
      <c r="J6" s="52"/>
      <c r="K6" s="8"/>
      <c r="L6" s="8"/>
    </row>
    <row r="7" spans="1:24" ht="11.25">
      <c r="C7" s="9" t="s">
        <v>35</v>
      </c>
      <c r="D7" s="56" t="s">
        <v>58</v>
      </c>
      <c r="E7" s="56" t="s">
        <v>59</v>
      </c>
      <c r="F7" s="56" t="s">
        <v>58</v>
      </c>
      <c r="G7" s="56" t="s">
        <v>60</v>
      </c>
      <c r="H7" s="56" t="s">
        <v>59</v>
      </c>
      <c r="I7" s="56" t="s">
        <v>59</v>
      </c>
      <c r="J7" s="56"/>
      <c r="K7" s="8"/>
      <c r="L7" s="8"/>
    </row>
    <row r="8" spans="1:24" ht="11.25">
      <c r="C8" s="9" t="s">
        <v>61</v>
      </c>
      <c r="D8" s="56" t="s">
        <v>62</v>
      </c>
      <c r="E8" s="56" t="s">
        <v>63</v>
      </c>
      <c r="F8" s="56" t="s">
        <v>62</v>
      </c>
      <c r="G8" s="56" t="s">
        <v>63</v>
      </c>
      <c r="H8" s="56" t="s">
        <v>62</v>
      </c>
      <c r="I8" s="56" t="s">
        <v>63</v>
      </c>
      <c r="J8" s="56"/>
      <c r="K8" s="8"/>
      <c r="L8" s="8"/>
    </row>
    <row r="9" spans="1:24" ht="11.25">
      <c r="C9" s="54">
        <v>39172</v>
      </c>
      <c r="D9" s="53">
        <v>155.6</v>
      </c>
      <c r="E9" s="8"/>
      <c r="F9" s="8"/>
      <c r="G9" s="8"/>
      <c r="H9" s="8"/>
      <c r="I9" s="8"/>
      <c r="J9" s="8"/>
      <c r="K9" s="8"/>
      <c r="L9" s="8"/>
      <c r="P9" s="88" t="str">
        <f>IF(C9&gt;EOMONTH(DATE('Input|General'!$G$12,MONTH('Input|General'!$G$9),1),0),"Ok",IF(D9="","Check","Ok"))</f>
        <v>Ok</v>
      </c>
    </row>
    <row r="10" spans="1:24" ht="11.25">
      <c r="C10" s="54">
        <v>39263</v>
      </c>
      <c r="D10" s="53">
        <v>157.5</v>
      </c>
      <c r="E10" s="8"/>
      <c r="F10" s="8"/>
      <c r="G10" s="8"/>
      <c r="H10" s="8"/>
      <c r="I10" s="8"/>
      <c r="J10" s="8"/>
      <c r="K10" s="8"/>
      <c r="L10" s="8"/>
      <c r="P10" s="88" t="str">
        <f>IF(C10&gt;EOMONTH(DATE('Input|General'!$G$12,MONTH('Input|General'!$G$9),1),0),"Ok",IF(D10="","Check","Ok"))</f>
        <v>Ok</v>
      </c>
    </row>
    <row r="11" spans="1:24" ht="11.25">
      <c r="C11" s="54">
        <v>39355</v>
      </c>
      <c r="D11" s="53">
        <v>158.6</v>
      </c>
      <c r="E11" s="8"/>
      <c r="F11" s="8"/>
      <c r="G11" s="8"/>
      <c r="H11" s="8"/>
      <c r="I11" s="8"/>
      <c r="J11" s="8"/>
      <c r="K11" s="8"/>
      <c r="L11" s="8"/>
      <c r="P11" s="88" t="str">
        <f>IF(C11&gt;EOMONTH(DATE('Input|General'!$G$12,MONTH('Input|General'!$G$9),1),0),"Ok",IF(D11="","Check","Ok"))</f>
        <v>Ok</v>
      </c>
    </row>
    <row r="12" spans="1:24" ht="11.25">
      <c r="C12" s="54">
        <v>39447</v>
      </c>
      <c r="D12" s="53">
        <v>160.1</v>
      </c>
      <c r="E12" s="8"/>
      <c r="F12" s="8"/>
      <c r="G12" s="8"/>
      <c r="H12" s="8"/>
      <c r="I12" s="55"/>
      <c r="J12" s="8"/>
      <c r="K12" s="8"/>
      <c r="L12" s="8"/>
      <c r="P12" s="88" t="str">
        <f>IF(C12&gt;EOMONTH(DATE('Input|General'!$G$12,MONTH('Input|General'!$G$9),1),0),"Ok",IF(D12="","Check","Ok"))</f>
        <v>Ok</v>
      </c>
    </row>
    <row r="13" spans="1:24" ht="11.25">
      <c r="C13" s="54">
        <v>39538</v>
      </c>
      <c r="D13" s="53">
        <v>162.19999999999999</v>
      </c>
      <c r="E13" s="78">
        <f>D13/D9-1</f>
        <v>4.2416452442159303E-2</v>
      </c>
      <c r="F13" s="8"/>
      <c r="G13" s="8"/>
      <c r="H13" s="8"/>
      <c r="I13" s="55"/>
      <c r="J13" s="8"/>
      <c r="K13" s="8"/>
      <c r="L13" s="8"/>
      <c r="P13" s="88" t="str">
        <f>IF(C13&gt;EOMONTH(DATE('Input|General'!$G$12,MONTH('Input|General'!$G$9),1),0),"Ok",IF(D13="","Check","Ok"))</f>
        <v>Ok</v>
      </c>
    </row>
    <row r="14" spans="1:24" ht="11.25">
      <c r="C14" s="54">
        <v>39629</v>
      </c>
      <c r="D14" s="53">
        <v>164.6</v>
      </c>
      <c r="E14" s="78">
        <f t="shared" ref="E14:E29" si="0">D14/D10-1</f>
        <v>4.5079365079365052E-2</v>
      </c>
      <c r="F14" s="8"/>
      <c r="G14" s="8"/>
      <c r="H14" s="8"/>
      <c r="I14" s="55"/>
      <c r="J14" s="8"/>
      <c r="K14" s="8"/>
      <c r="L14" s="8"/>
      <c r="P14" s="88" t="str">
        <f>IF(C14&gt;EOMONTH(DATE('Input|General'!$G$12,MONTH('Input|General'!$G$9),1),0),"Ok",IF(D14="","Check","Ok"))</f>
        <v>Ok</v>
      </c>
    </row>
    <row r="15" spans="1:24" ht="11.25">
      <c r="C15" s="54">
        <v>39721</v>
      </c>
      <c r="D15" s="53">
        <v>166.5</v>
      </c>
      <c r="E15" s="78">
        <f t="shared" si="0"/>
        <v>4.9810844892812067E-2</v>
      </c>
      <c r="F15" s="8"/>
      <c r="G15" s="8"/>
      <c r="H15" s="8"/>
      <c r="I15" s="55"/>
      <c r="J15" s="8"/>
      <c r="K15" s="8"/>
      <c r="L15" s="8"/>
      <c r="P15" s="88" t="str">
        <f>IF(C15&gt;EOMONTH(DATE('Input|General'!$G$12,MONTH('Input|General'!$G$9),1),0),"Ok",IF(D15="","Check","Ok"))</f>
        <v>Ok</v>
      </c>
    </row>
    <row r="16" spans="1:24" ht="11.25">
      <c r="C16" s="54">
        <v>39813</v>
      </c>
      <c r="D16" s="53">
        <v>166</v>
      </c>
      <c r="E16" s="78">
        <f t="shared" si="0"/>
        <v>3.6851967520299844E-2</v>
      </c>
      <c r="F16" s="8"/>
      <c r="G16" s="8"/>
      <c r="H16" s="8"/>
      <c r="I16" s="55"/>
      <c r="J16" s="8"/>
      <c r="K16" s="8"/>
      <c r="L16" s="8"/>
      <c r="P16" s="88" t="str">
        <f>IF(C16&gt;EOMONTH(DATE('Input|General'!$G$12,MONTH('Input|General'!$G$9),1),0),"Ok",IF(D16="","Check","Ok"))</f>
        <v>Ok</v>
      </c>
    </row>
    <row r="17" spans="3:16" ht="11.25">
      <c r="C17" s="54">
        <v>39903</v>
      </c>
      <c r="D17" s="53">
        <v>166.2</v>
      </c>
      <c r="E17" s="78">
        <f t="shared" si="0"/>
        <v>2.4660912453760897E-2</v>
      </c>
      <c r="F17" s="8"/>
      <c r="G17" s="8"/>
      <c r="H17" s="8"/>
      <c r="I17" s="55"/>
      <c r="J17" s="8"/>
      <c r="K17" s="8"/>
      <c r="L17" s="8"/>
      <c r="P17" s="88" t="str">
        <f>IF(C17&gt;EOMONTH(DATE('Input|General'!$G$12,MONTH('Input|General'!$G$9),1),0),"Ok",IF(D17="","Check","Ok"))</f>
        <v>Ok</v>
      </c>
    </row>
    <row r="18" spans="3:16" ht="11.25">
      <c r="C18" s="54">
        <v>39994</v>
      </c>
      <c r="D18" s="53">
        <v>167</v>
      </c>
      <c r="E18" s="78">
        <f t="shared" si="0"/>
        <v>1.4580801944106936E-2</v>
      </c>
      <c r="F18" s="8"/>
      <c r="G18" s="8"/>
      <c r="H18" s="8"/>
      <c r="I18" s="55"/>
      <c r="J18" s="8"/>
      <c r="K18" s="8"/>
      <c r="L18" s="8"/>
      <c r="P18" s="88" t="str">
        <f>IF(C18&gt;EOMONTH(DATE('Input|General'!$G$12,MONTH('Input|General'!$G$9),1),0),"Ok",IF(D18="","Check","Ok"))</f>
        <v>Ok</v>
      </c>
    </row>
    <row r="19" spans="3:16" ht="11.25">
      <c r="C19" s="54">
        <v>40086</v>
      </c>
      <c r="D19" s="53">
        <v>168.6</v>
      </c>
      <c r="E19" s="78">
        <f t="shared" si="0"/>
        <v>1.2612612612612484E-2</v>
      </c>
      <c r="F19" s="8"/>
      <c r="G19" s="8"/>
      <c r="H19" s="8"/>
      <c r="I19" s="55"/>
      <c r="J19" s="8"/>
      <c r="K19" s="8"/>
      <c r="L19" s="8"/>
      <c r="P19" s="88" t="str">
        <f>IF(C19&gt;EOMONTH(DATE('Input|General'!$G$12,MONTH('Input|General'!$G$9),1),0),"Ok",IF(D19="","Check","Ok"))</f>
        <v>Ok</v>
      </c>
    </row>
    <row r="20" spans="3:16" ht="11.25">
      <c r="C20" s="54">
        <v>40178</v>
      </c>
      <c r="D20" s="53">
        <v>169.5</v>
      </c>
      <c r="E20" s="78">
        <f t="shared" si="0"/>
        <v>2.108433734939763E-2</v>
      </c>
      <c r="F20" s="8"/>
      <c r="G20" s="8"/>
      <c r="H20" s="8"/>
      <c r="I20" s="55"/>
      <c r="J20" s="8"/>
      <c r="K20" s="8"/>
      <c r="L20" s="8"/>
      <c r="P20" s="88" t="str">
        <f>IF(C20&gt;EOMONTH(DATE('Input|General'!$G$12,MONTH('Input|General'!$G$9),1),0),"Ok",IF(D20="","Check","Ok"))</f>
        <v>Ok</v>
      </c>
    </row>
    <row r="21" spans="3:16" ht="11.25">
      <c r="C21" s="54">
        <v>40268</v>
      </c>
      <c r="D21" s="53">
        <v>171</v>
      </c>
      <c r="E21" s="78">
        <f t="shared" si="0"/>
        <v>2.8880866425992746E-2</v>
      </c>
      <c r="F21" s="53">
        <v>95.2</v>
      </c>
      <c r="G21" s="8"/>
      <c r="H21" s="55">
        <f>IF(ISBLANK(F21),IF(COUNT(G21:G$84)=0,"",IF(ISBLANK(G21),AVERAGE(H20,H22),(1+G21)*H17)),F21)</f>
        <v>95.2</v>
      </c>
      <c r="I21" s="55"/>
      <c r="J21" s="133"/>
      <c r="K21" s="8"/>
      <c r="L21" s="8"/>
      <c r="P21" s="88" t="str">
        <f>IF(C21&gt;EOMONTH(DATE('Input|General'!$G$12,MONTH('Input|General'!$G$9),1),0),"Ok",IF(D21="","Check","Ok"))</f>
        <v>Ok</v>
      </c>
    </row>
    <row r="22" spans="3:16" ht="11.25">
      <c r="C22" s="54">
        <v>40359</v>
      </c>
      <c r="D22" s="53">
        <v>172.1</v>
      </c>
      <c r="E22" s="78">
        <f t="shared" si="0"/>
        <v>3.0538922155688653E-2</v>
      </c>
      <c r="F22" s="53">
        <v>95.8</v>
      </c>
      <c r="G22" s="8"/>
      <c r="H22" s="55">
        <f>IF(ISBLANK(F22),IF(COUNT(G22:G$84)=0,"",IF(ISBLANK(G22),AVERAGE(H21,H23),(1+G22)*H18)),F22)</f>
        <v>95.8</v>
      </c>
      <c r="I22" s="55"/>
      <c r="J22" s="133"/>
      <c r="K22" s="8"/>
      <c r="L22" s="8"/>
      <c r="P22" s="88" t="str">
        <f>IF(C22&gt;EOMONTH(DATE('Input|General'!$G$12,MONTH('Input|General'!$G$9),1),0),"Ok",IF(D22="","Check","Ok"))</f>
        <v>Ok</v>
      </c>
    </row>
    <row r="23" spans="3:16" ht="11.25">
      <c r="C23" s="54">
        <v>40451</v>
      </c>
      <c r="D23" s="53">
        <v>173.3</v>
      </c>
      <c r="E23" s="78">
        <f t="shared" si="0"/>
        <v>2.7876631079478242E-2</v>
      </c>
      <c r="F23" s="53">
        <v>96.5</v>
      </c>
      <c r="G23" s="8"/>
      <c r="H23" s="55">
        <f>IF(ISBLANK(F23),IF(COUNT(G23:G$84)=0,"",IF(ISBLANK(G23),AVERAGE(H22,H24),(1+G23)*H19)),F23)</f>
        <v>96.5</v>
      </c>
      <c r="I23" s="55"/>
      <c r="J23" s="133"/>
      <c r="K23" s="8"/>
      <c r="L23" s="8"/>
      <c r="P23" s="88" t="str">
        <f>IF(C23&gt;EOMONTH(DATE('Input|General'!$G$12,MONTH('Input|General'!$G$9),1),0),"Ok",IF(D23="","Check","Ok"))</f>
        <v>Ok</v>
      </c>
    </row>
    <row r="24" spans="3:16" ht="11.25">
      <c r="C24" s="54">
        <v>40543</v>
      </c>
      <c r="D24" s="53">
        <v>174</v>
      </c>
      <c r="E24" s="78">
        <f t="shared" si="0"/>
        <v>2.6548672566371723E-2</v>
      </c>
      <c r="F24" s="53">
        <v>96.9</v>
      </c>
      <c r="G24" s="8"/>
      <c r="H24" s="55">
        <f>IF(ISBLANK(F24),IF(COUNT(G24:G$84)=0,"",IF(ISBLANK(G24),AVERAGE(H23,H25),(1+G24)*H20)),F24)</f>
        <v>96.9</v>
      </c>
      <c r="I24" s="55"/>
      <c r="J24" s="133"/>
      <c r="K24" s="8"/>
      <c r="L24" s="8"/>
      <c r="P24" s="88" t="str">
        <f>IF(C24&gt;EOMONTH(DATE('Input|General'!$G$12,MONTH('Input|General'!$G$9),1),0),"Ok",IF(D24="","Check","Ok"))</f>
        <v>Ok</v>
      </c>
    </row>
    <row r="25" spans="3:16" ht="11.25">
      <c r="C25" s="54">
        <v>40633</v>
      </c>
      <c r="D25" s="53">
        <v>176.7</v>
      </c>
      <c r="E25" s="78">
        <f t="shared" si="0"/>
        <v>3.3333333333333215E-2</v>
      </c>
      <c r="F25" s="53">
        <v>98.3</v>
      </c>
      <c r="G25" s="8"/>
      <c r="H25" s="55">
        <f>IF(ISBLANK(F25),IF(COUNT(G25:G$84)=0,"",IF(ISBLANK(G25),AVERAGE(H24,H26),(1+G25)*H21)),F25)</f>
        <v>98.3</v>
      </c>
      <c r="I25" s="78">
        <f>IF(ISBLANK(H25),"",H25/H21-1)</f>
        <v>3.2563025210083918E-2</v>
      </c>
      <c r="J25" s="133"/>
      <c r="K25" s="8"/>
      <c r="L25" s="8"/>
      <c r="P25" s="88" t="str">
        <f>IF(C25&gt;EOMONTH(DATE('Input|General'!$G$12,MONTH('Input|General'!$G$9),1),0),"Ok",IF(D25="","Check","Ok"))</f>
        <v>Ok</v>
      </c>
    </row>
    <row r="26" spans="3:16" ht="11.25">
      <c r="C26" s="54">
        <v>40724</v>
      </c>
      <c r="D26" s="53">
        <v>178.3</v>
      </c>
      <c r="E26" s="78">
        <f t="shared" si="0"/>
        <v>3.6025566531086683E-2</v>
      </c>
      <c r="F26" s="53">
        <v>99.2</v>
      </c>
      <c r="G26" s="8"/>
      <c r="H26" s="55">
        <f>IF(ISBLANK(F26),IF(COUNT(G26:G$84)=0,"",IF(ISBLANK(G26),AVERAGE(H25,H27),(1+G26)*H22)),F26)</f>
        <v>99.2</v>
      </c>
      <c r="I26" s="78">
        <f t="shared" ref="I26:I84" si="1">IF(ISBLANK(H26),"",H26/H22-1)</f>
        <v>3.5490605427975108E-2</v>
      </c>
      <c r="J26" s="133"/>
      <c r="K26" s="8"/>
      <c r="L26" s="8"/>
      <c r="P26" s="88" t="str">
        <f>IF(C26&gt;EOMONTH(DATE('Input|General'!$G$12,MONTH('Input|General'!$G$9),1),0),"Ok",IF(D26="","Check","Ok"))</f>
        <v>Ok</v>
      </c>
    </row>
    <row r="27" spans="3:16" ht="11.25">
      <c r="C27" s="54">
        <v>40816</v>
      </c>
      <c r="D27" s="53">
        <v>179.4</v>
      </c>
      <c r="E27" s="78">
        <f t="shared" si="0"/>
        <v>3.5199076745527913E-2</v>
      </c>
      <c r="F27" s="53">
        <v>99.8</v>
      </c>
      <c r="G27" s="8"/>
      <c r="H27" s="55">
        <f>IF(ISBLANK(F27),IF(COUNT(G27:G$84)=0,"",IF(ISBLANK(G27),AVERAGE(H26,H28),(1+G27)*H23)),F27)</f>
        <v>99.8</v>
      </c>
      <c r="I27" s="78">
        <f t="shared" si="1"/>
        <v>3.4196891191709877E-2</v>
      </c>
      <c r="J27" s="133"/>
      <c r="K27" s="8"/>
      <c r="L27" s="8"/>
      <c r="P27" s="88" t="str">
        <f>IF(C27&gt;EOMONTH(DATE('Input|General'!$G$12,MONTH('Input|General'!$G$9),1),0),"Ok",IF(D27="","Check","Ok"))</f>
        <v>Ok</v>
      </c>
    </row>
    <row r="28" spans="3:16" ht="11.25">
      <c r="C28" s="54">
        <v>40908</v>
      </c>
      <c r="D28" s="53">
        <v>179.4</v>
      </c>
      <c r="E28" s="78">
        <f t="shared" si="0"/>
        <v>3.1034482758620641E-2</v>
      </c>
      <c r="F28" s="53">
        <v>99.8</v>
      </c>
      <c r="G28" s="8"/>
      <c r="H28" s="55">
        <f>IF(ISBLANK(F28),IF(COUNT(G28:G$84)=0,"",IF(ISBLANK(G28),AVERAGE(H27,H29),(1+G28)*H24)),F28)</f>
        <v>99.8</v>
      </c>
      <c r="I28" s="78">
        <f t="shared" si="1"/>
        <v>2.9927760577915352E-2</v>
      </c>
      <c r="J28" s="133"/>
      <c r="K28" s="8"/>
      <c r="L28" s="8"/>
      <c r="P28" s="88" t="str">
        <f>IF(C28&gt;EOMONTH(DATE('Input|General'!$G$12,MONTH('Input|General'!$G$9),1),0),"Ok",IF(D28="","Check","Ok"))</f>
        <v>Ok</v>
      </c>
    </row>
    <row r="29" spans="3:16" ht="11.25">
      <c r="C29" s="54">
        <v>40999</v>
      </c>
      <c r="D29" s="53">
        <v>179.5</v>
      </c>
      <c r="E29" s="78">
        <f t="shared" si="0"/>
        <v>1.5846066779853007E-2</v>
      </c>
      <c r="F29" s="53">
        <v>99.9</v>
      </c>
      <c r="G29" s="8"/>
      <c r="H29" s="55">
        <f>IF(ISBLANK(F29),IF(COUNT(G29:G$84)=0,"",IF(ISBLANK(G29),AVERAGE(H28,H30),(1+G29)*H25)),F29)</f>
        <v>99.9</v>
      </c>
      <c r="I29" s="78">
        <f t="shared" si="1"/>
        <v>1.6276703967446737E-2</v>
      </c>
      <c r="J29" s="133"/>
      <c r="K29" s="8"/>
      <c r="L29" s="8"/>
      <c r="P29" s="88" t="str">
        <f>IF(C29&gt;EOMONTH(DATE('Input|General'!$G$12,MONTH('Input|General'!$G$9),1),0),"Ok",IF(D29="","Check","Ok"))</f>
        <v>Ok</v>
      </c>
    </row>
    <row r="30" spans="3:16" ht="11.25">
      <c r="C30" s="54">
        <v>41090</v>
      </c>
      <c r="D30" s="8"/>
      <c r="E30" s="8"/>
      <c r="F30" s="53">
        <v>100.4</v>
      </c>
      <c r="G30" s="8"/>
      <c r="H30" s="55">
        <f>IF(ISBLANK(F30),IF(COUNT(G30:G$84)=0,"",IF(ISBLANK(G30),AVERAGE(H29,H31),(1+G30)*H26)),F30)</f>
        <v>100.4</v>
      </c>
      <c r="I30" s="78">
        <f t="shared" si="1"/>
        <v>1.2096774193548487E-2</v>
      </c>
      <c r="J30" s="133"/>
      <c r="K30" s="8"/>
      <c r="L30" s="8"/>
      <c r="P30" s="88" t="str">
        <f>IF(C30&gt;EOMONTH(DATE('Input|General'!$G$12,MONTH('Input|General'!$G$9),1),0),"Ok",IF(I30="","Check","Ok"))</f>
        <v>Ok</v>
      </c>
    </row>
    <row r="31" spans="3:16" ht="11.25">
      <c r="C31" s="54">
        <v>41182</v>
      </c>
      <c r="D31" s="8"/>
      <c r="E31" s="8"/>
      <c r="F31" s="53">
        <v>101.8</v>
      </c>
      <c r="G31" s="8"/>
      <c r="H31" s="55">
        <f>IF(ISBLANK(F31),IF(COUNT(G31:G$84)=0,"",IF(ISBLANK(G31),AVERAGE(H30,H32),(1+G31)*H27)),F31)</f>
        <v>101.8</v>
      </c>
      <c r="I31" s="78">
        <f t="shared" si="1"/>
        <v>2.0040080160320661E-2</v>
      </c>
      <c r="J31" s="133"/>
      <c r="K31" s="8"/>
      <c r="L31" s="8"/>
      <c r="P31" s="88" t="str">
        <f>IF(C31&gt;EOMONTH(DATE('Input|General'!$G$12,MONTH('Input|General'!$G$9),1),0),"Ok",IF(I31="","Check","Ok"))</f>
        <v>Ok</v>
      </c>
    </row>
    <row r="32" spans="3:16" ht="11.25">
      <c r="C32" s="54">
        <v>41274</v>
      </c>
      <c r="D32" s="8"/>
      <c r="E32" s="8"/>
      <c r="F32" s="53">
        <v>102</v>
      </c>
      <c r="G32" s="8"/>
      <c r="H32" s="55">
        <f>IF(ISBLANK(F32),IF(COUNT(G32:G$84)=0,"",IF(ISBLANK(G32),AVERAGE(H31,H33),(1+G32)*H28)),F32)</f>
        <v>102</v>
      </c>
      <c r="I32" s="78">
        <f t="shared" si="1"/>
        <v>2.2044088176352838E-2</v>
      </c>
      <c r="J32" s="133"/>
      <c r="K32" s="8"/>
      <c r="L32" s="8"/>
      <c r="P32" s="88" t="str">
        <f>IF(C32&gt;EOMONTH(DATE('Input|General'!$G$12,MONTH('Input|General'!$G$9),1),0),"Ok",IF(I32="","Check","Ok"))</f>
        <v>Ok</v>
      </c>
    </row>
    <row r="33" spans="3:16" ht="11.25">
      <c r="C33" s="54">
        <v>41364</v>
      </c>
      <c r="D33" s="8"/>
      <c r="E33" s="8"/>
      <c r="F33" s="53">
        <v>102.4</v>
      </c>
      <c r="G33" s="8"/>
      <c r="H33" s="55">
        <f>IF(ISBLANK(F33),IF(COUNT(G33:G$84)=0,"",IF(ISBLANK(G33),AVERAGE(H32,H34),(1+G33)*H29)),F33)</f>
        <v>102.4</v>
      </c>
      <c r="I33" s="78">
        <f t="shared" si="1"/>
        <v>2.5025025025025016E-2</v>
      </c>
      <c r="J33" s="133"/>
      <c r="K33" s="8"/>
      <c r="L33" s="8"/>
      <c r="P33" s="88" t="str">
        <f>IF(C33&gt;EOMONTH(DATE('Input|General'!$G$12,MONTH('Input|General'!$G$9),1),0),"Ok",IF(I33="","Check","Ok"))</f>
        <v>Ok</v>
      </c>
    </row>
    <row r="34" spans="3:16" ht="11.25">
      <c r="C34" s="54">
        <v>41455</v>
      </c>
      <c r="D34" s="8"/>
      <c r="E34" s="8"/>
      <c r="F34" s="53">
        <v>102.8</v>
      </c>
      <c r="G34" s="8"/>
      <c r="H34" s="55">
        <f>IF(ISBLANK(F34),IF(COUNT(G34:G$84)=0,"",IF(ISBLANK(G34),AVERAGE(H33,H35),(1+G34)*H30)),F34)</f>
        <v>102.8</v>
      </c>
      <c r="I34" s="78">
        <f t="shared" si="1"/>
        <v>2.3904382470119501E-2</v>
      </c>
      <c r="J34" s="133"/>
      <c r="K34" s="8"/>
      <c r="L34" s="8"/>
      <c r="P34" s="88" t="str">
        <f>IF(C34&gt;EOMONTH(DATE('Input|General'!$G$12,MONTH('Input|General'!$G$9),1),0),"Ok",IF(I34="","Check","Ok"))</f>
        <v>Ok</v>
      </c>
    </row>
    <row r="35" spans="3:16" ht="11.25">
      <c r="C35" s="54">
        <v>41547</v>
      </c>
      <c r="D35" s="8"/>
      <c r="E35" s="8"/>
      <c r="F35" s="53">
        <v>104</v>
      </c>
      <c r="G35" s="8"/>
      <c r="H35" s="55">
        <f>IF(ISBLANK(F35),IF(COUNT(G35:G$84)=0,"",IF(ISBLANK(G35),AVERAGE(H34,H36),(1+G35)*H31)),F35)</f>
        <v>104</v>
      </c>
      <c r="I35" s="78">
        <f t="shared" si="1"/>
        <v>2.16110019646365E-2</v>
      </c>
      <c r="J35" s="133"/>
      <c r="K35" s="8"/>
      <c r="L35" s="8"/>
      <c r="P35" s="88" t="str">
        <f>IF(C35&gt;EOMONTH(DATE('Input|General'!$G$12,MONTH('Input|General'!$G$9),1),0),"Ok",IF(I35="","Check","Ok"))</f>
        <v>Ok</v>
      </c>
    </row>
    <row r="36" spans="3:16" ht="11.25">
      <c r="C36" s="54">
        <v>41639</v>
      </c>
      <c r="D36" s="8"/>
      <c r="E36" s="8"/>
      <c r="F36" s="53">
        <v>104.8</v>
      </c>
      <c r="G36" s="8"/>
      <c r="H36" s="55">
        <f>IF(ISBLANK(F36),IF(COUNT(G36:G$84)=0,"",IF(ISBLANK(G36),AVERAGE(H35,H37),(1+G36)*H32)),F36)</f>
        <v>104.8</v>
      </c>
      <c r="I36" s="78">
        <f t="shared" si="1"/>
        <v>2.7450980392156765E-2</v>
      </c>
      <c r="J36" s="133"/>
      <c r="K36" s="8"/>
      <c r="L36" s="8"/>
      <c r="P36" s="88" t="str">
        <f>IF(C36&gt;EOMONTH(DATE('Input|General'!$G$12,MONTH('Input|General'!$G$9),1),0),"Ok",IF(I36="","Check","Ok"))</f>
        <v>Ok</v>
      </c>
    </row>
    <row r="37" spans="3:16" ht="11.25">
      <c r="C37" s="54">
        <v>41729</v>
      </c>
      <c r="D37" s="8"/>
      <c r="E37" s="8"/>
      <c r="F37" s="53">
        <v>105.4</v>
      </c>
      <c r="G37" s="8"/>
      <c r="H37" s="55">
        <f>IF(ISBLANK(F37),IF(COUNT(G37:G$84)=0,"",IF(ISBLANK(G37),AVERAGE(H36,H38),(1+G37)*H33)),F37)</f>
        <v>105.4</v>
      </c>
      <c r="I37" s="78">
        <f t="shared" si="1"/>
        <v>2.9296875E-2</v>
      </c>
      <c r="J37" s="133"/>
      <c r="K37" s="8"/>
      <c r="L37" s="8"/>
      <c r="P37" s="88" t="str">
        <f>IF(C37&gt;EOMONTH(DATE('Input|General'!$G$12,MONTH('Input|General'!$G$9),1),0),"Ok",IF(I37="","Check","Ok"))</f>
        <v>Ok</v>
      </c>
    </row>
    <row r="38" spans="3:16" ht="11.25">
      <c r="C38" s="54">
        <v>41820</v>
      </c>
      <c r="D38" s="8"/>
      <c r="E38" s="8"/>
      <c r="F38" s="53">
        <v>105.9</v>
      </c>
      <c r="G38" s="8"/>
      <c r="H38" s="55">
        <f>IF(ISBLANK(F38),IF(COUNT(G38:G$84)=0,"",IF(ISBLANK(G38),AVERAGE(H37,H39),(1+G38)*H34)),F38)</f>
        <v>105.9</v>
      </c>
      <c r="I38" s="78">
        <f t="shared" si="1"/>
        <v>3.0155642023346418E-2</v>
      </c>
      <c r="J38" s="133"/>
      <c r="K38" s="8"/>
      <c r="L38" s="8"/>
      <c r="P38" s="88" t="str">
        <f>IF(C38&gt;EOMONTH(DATE('Input|General'!$G$12,MONTH('Input|General'!$G$9),1),0),"Ok",IF(I38="","Check","Ok"))</f>
        <v>Ok</v>
      </c>
    </row>
    <row r="39" spans="3:16" ht="11.25">
      <c r="C39" s="54">
        <v>41912</v>
      </c>
      <c r="D39" s="8"/>
      <c r="E39" s="8"/>
      <c r="F39" s="53">
        <v>106.4</v>
      </c>
      <c r="G39" s="8"/>
      <c r="H39" s="55">
        <f>IF(ISBLANK(F39),IF(COUNT(G39:G$84)=0,"",IF(ISBLANK(G39),AVERAGE(H38,H40),(1+G39)*H35)),F39)</f>
        <v>106.4</v>
      </c>
      <c r="I39" s="78">
        <f t="shared" si="1"/>
        <v>2.3076923076923217E-2</v>
      </c>
      <c r="J39" s="133"/>
      <c r="K39" s="8"/>
      <c r="L39" s="8"/>
      <c r="P39" s="88" t="str">
        <f>IF(C39&gt;EOMONTH(DATE('Input|General'!$G$12,MONTH('Input|General'!$G$9),1),0),"Ok",IF(I39="","Check","Ok"))</f>
        <v>Ok</v>
      </c>
    </row>
    <row r="40" spans="3:16" ht="11.25">
      <c r="C40" s="54">
        <v>42004</v>
      </c>
      <c r="D40" s="8"/>
      <c r="E40" s="8"/>
      <c r="F40" s="53">
        <v>106.6</v>
      </c>
      <c r="G40" s="8"/>
      <c r="H40" s="55">
        <f>IF(ISBLANK(F40),IF(COUNT(G40:G$84)=0,"",IF(ISBLANK(G40),AVERAGE(H39,H41),(1+G40)*H36)),F40)</f>
        <v>106.6</v>
      </c>
      <c r="I40" s="78">
        <f t="shared" si="1"/>
        <v>1.7175572519083859E-2</v>
      </c>
      <c r="J40" s="133"/>
      <c r="K40" s="8"/>
      <c r="L40" s="8"/>
      <c r="P40" s="88" t="str">
        <f>IF(C40&gt;EOMONTH(DATE('Input|General'!$G$12,MONTH('Input|General'!$G$9),1),0),"Ok",IF(I40="","Check","Ok"))</f>
        <v>Ok</v>
      </c>
    </row>
    <row r="41" spans="3:16" ht="11.25">
      <c r="C41" s="54">
        <v>42094</v>
      </c>
      <c r="D41" s="8"/>
      <c r="E41" s="8"/>
      <c r="F41" s="53">
        <v>106.8</v>
      </c>
      <c r="G41" s="8"/>
      <c r="H41" s="55">
        <f>IF(ISBLANK(F41),IF(COUNT(G41:G$84)=0,"",IF(ISBLANK(G41),AVERAGE(H40,H42),(1+G41)*H37)),F41)</f>
        <v>106.8</v>
      </c>
      <c r="I41" s="78">
        <f t="shared" si="1"/>
        <v>1.3282732447817747E-2</v>
      </c>
      <c r="J41" s="133"/>
      <c r="K41" s="8"/>
      <c r="L41" s="8"/>
      <c r="P41" s="88" t="str">
        <f>IF(C41&gt;EOMONTH(DATE('Input|General'!$G$12,MONTH('Input|General'!$G$9),1),0),"Ok",IF(I41="","Check","Ok"))</f>
        <v>Ok</v>
      </c>
    </row>
    <row r="42" spans="3:16" ht="11.25">
      <c r="C42" s="54">
        <v>42185</v>
      </c>
      <c r="D42" s="8"/>
      <c r="E42" s="8"/>
      <c r="F42" s="53">
        <v>107.5</v>
      </c>
      <c r="G42" s="8"/>
      <c r="H42" s="55">
        <f>IF(ISBLANK(F42),IF(COUNT(G42:G$84)=0,"",IF(ISBLANK(G42),AVERAGE(H41,H43),(1+G42)*H38)),F42)</f>
        <v>107.5</v>
      </c>
      <c r="I42" s="78">
        <f t="shared" si="1"/>
        <v>1.5108593012275628E-2</v>
      </c>
      <c r="J42" s="133"/>
      <c r="K42" s="8"/>
      <c r="L42" s="8"/>
      <c r="P42" s="88" t="str">
        <f>IF(C42&gt;EOMONTH(DATE('Input|General'!$G$12,MONTH('Input|General'!$G$9),1),0),"Ok",IF(I42="","Check","Ok"))</f>
        <v>Ok</v>
      </c>
    </row>
    <row r="43" spans="3:16" ht="11.25">
      <c r="C43" s="54">
        <v>42277</v>
      </c>
      <c r="D43" s="8"/>
      <c r="E43" s="8"/>
      <c r="F43" s="53">
        <v>108</v>
      </c>
      <c r="G43" s="8"/>
      <c r="H43" s="55">
        <f>IF(ISBLANK(F43),IF(COUNT(G43:G$84)=0,"",IF(ISBLANK(G43),AVERAGE(H42,H44),(1+G43)*H39)),F43)</f>
        <v>108</v>
      </c>
      <c r="I43" s="78">
        <f t="shared" si="1"/>
        <v>1.5037593984962294E-2</v>
      </c>
      <c r="J43" s="133"/>
      <c r="K43" s="8"/>
      <c r="L43" s="8"/>
      <c r="P43" s="88" t="str">
        <f>IF(C43&gt;EOMONTH(DATE('Input|General'!$G$12,MONTH('Input|General'!$G$9),1),0),"Ok",IF(I43="","Check","Ok"))</f>
        <v>Ok</v>
      </c>
    </row>
    <row r="44" spans="3:16" ht="11.25">
      <c r="C44" s="54">
        <v>42369</v>
      </c>
      <c r="D44" s="8"/>
      <c r="E44" s="8"/>
      <c r="F44" s="53">
        <v>108.4</v>
      </c>
      <c r="G44" s="8"/>
      <c r="H44" s="55">
        <f>IF(ISBLANK(F44),IF(COUNT(G44:G$84)=0,"",IF(ISBLANK(G44),AVERAGE(H43,H45),(1+G44)*H40)),F44)</f>
        <v>108.4</v>
      </c>
      <c r="I44" s="78">
        <f t="shared" si="1"/>
        <v>1.6885553470919357E-2</v>
      </c>
      <c r="J44" s="133"/>
      <c r="K44" s="8"/>
      <c r="L44" s="8"/>
      <c r="P44" s="88" t="str">
        <f>IF(C44&gt;EOMONTH(DATE('Input|General'!$G$12,MONTH('Input|General'!$G$9),1),0),"Ok",IF(I44="","Check","Ok"))</f>
        <v>Ok</v>
      </c>
    </row>
    <row r="45" spans="3:16" ht="11.25">
      <c r="C45" s="54">
        <v>42460</v>
      </c>
      <c r="D45" s="8"/>
      <c r="E45" s="8"/>
      <c r="F45" s="53">
        <v>108.2</v>
      </c>
      <c r="G45" s="8"/>
      <c r="H45" s="55">
        <f>IF(ISBLANK(F45),IF(COUNT(G45:G$84)=0,"",IF(ISBLANK(G45),AVERAGE(H44,H46),(1+G45)*H41)),F45)</f>
        <v>108.2</v>
      </c>
      <c r="I45" s="78">
        <f t="shared" si="1"/>
        <v>1.3108614232209881E-2</v>
      </c>
      <c r="J45" s="133"/>
      <c r="K45" s="8"/>
      <c r="L45" s="8"/>
      <c r="P45" s="88" t="str">
        <f>IF(C45&gt;EOMONTH(DATE('Input|General'!$G$12,MONTH('Input|General'!$G$9),1),0),"Ok",IF(I45="","Check","Ok"))</f>
        <v>Ok</v>
      </c>
    </row>
    <row r="46" spans="3:16" ht="11.25">
      <c r="C46" s="54">
        <v>42551</v>
      </c>
      <c r="D46" s="8"/>
      <c r="E46" s="8"/>
      <c r="F46" s="53">
        <v>108.6</v>
      </c>
      <c r="G46" s="8"/>
      <c r="H46" s="55">
        <f>IF(ISBLANK(F46),IF(COUNT(G46:G$84)=0,"",IF(ISBLANK(G46),AVERAGE(H45,H47),(1+G46)*H42)),F46)</f>
        <v>108.6</v>
      </c>
      <c r="I46" s="78">
        <f t="shared" si="1"/>
        <v>1.0232558139534831E-2</v>
      </c>
      <c r="J46" s="133"/>
      <c r="K46" s="8"/>
      <c r="L46" s="8"/>
      <c r="P46" s="88" t="str">
        <f>IF(C46&gt;EOMONTH(DATE('Input|General'!$G$12,MONTH('Input|General'!$G$9),1),0),"Ok",IF(I46="","Check","Ok"))</f>
        <v>Ok</v>
      </c>
    </row>
    <row r="47" spans="3:16" ht="11.25">
      <c r="C47" s="54">
        <v>42643</v>
      </c>
      <c r="D47" s="8"/>
      <c r="E47" s="8"/>
      <c r="F47" s="53">
        <v>109.4</v>
      </c>
      <c r="G47" s="8"/>
      <c r="H47" s="55">
        <f>IF(ISBLANK(F47),IF(COUNT(G47:G$84)=0,"",IF(ISBLANK(G47),AVERAGE(H46,H48),(1+G47)*H43)),F47)</f>
        <v>109.4</v>
      </c>
      <c r="I47" s="78">
        <f t="shared" si="1"/>
        <v>1.2962962962963065E-2</v>
      </c>
      <c r="J47" s="133"/>
      <c r="K47" s="8"/>
      <c r="L47" s="8"/>
      <c r="P47" s="88" t="str">
        <f>IF(C47&gt;EOMONTH(DATE('Input|General'!$G$12,MONTH('Input|General'!$G$9),1),0),"Ok",IF(I47="","Check","Ok"))</f>
        <v>Ok</v>
      </c>
    </row>
    <row r="48" spans="3:16" ht="11.25">
      <c r="C48" s="54">
        <v>42735</v>
      </c>
      <c r="D48" s="8"/>
      <c r="E48" s="8"/>
      <c r="F48" s="53">
        <v>110</v>
      </c>
      <c r="G48" s="8"/>
      <c r="H48" s="55">
        <f>IF(ISBLANK(F48),IF(COUNT(G48:G$84)=0,"",IF(ISBLANK(G48),AVERAGE(H47,H49),(1+G48)*H44)),F48)</f>
        <v>110</v>
      </c>
      <c r="I48" s="78">
        <f t="shared" si="1"/>
        <v>1.4760147601476037E-2</v>
      </c>
      <c r="J48" s="133"/>
      <c r="K48" s="8"/>
      <c r="L48" s="8"/>
      <c r="P48" s="88" t="str">
        <f>IF(C48&gt;EOMONTH(DATE('Input|General'!$G$12,MONTH('Input|General'!$G$9),1),0),"Ok",IF(I48="","Check","Ok"))</f>
        <v>Ok</v>
      </c>
    </row>
    <row r="49" spans="3:16" ht="11.25">
      <c r="C49" s="54">
        <v>42825</v>
      </c>
      <c r="D49" s="8"/>
      <c r="E49" s="8"/>
      <c r="F49" s="53">
        <v>110.5</v>
      </c>
      <c r="G49" s="8"/>
      <c r="H49" s="55">
        <f>IF(ISBLANK(F49),IF(COUNT(G49:G$84)=0,"",IF(ISBLANK(G49),AVERAGE(H48,H50),(1+G49)*H45)),F49)</f>
        <v>110.5</v>
      </c>
      <c r="I49" s="78">
        <f t="shared" si="1"/>
        <v>2.1256931608133023E-2</v>
      </c>
      <c r="J49" s="133"/>
      <c r="K49" s="8"/>
      <c r="L49" s="8"/>
      <c r="P49" s="88" t="str">
        <f>IF(C49&gt;EOMONTH(DATE('Input|General'!$G$12,MONTH('Input|General'!$G$9),1),0),"Ok",IF(I49="","Check","Ok"))</f>
        <v>Ok</v>
      </c>
    </row>
    <row r="50" spans="3:16" ht="11.25">
      <c r="C50" s="54">
        <v>42916</v>
      </c>
      <c r="D50" s="8"/>
      <c r="E50" s="8"/>
      <c r="F50" s="53">
        <v>110.7</v>
      </c>
      <c r="G50" s="8"/>
      <c r="H50" s="55">
        <f>IF(ISBLANK(F50),IF(COUNT(G50:G$84)=0,"",IF(ISBLANK(G50),AVERAGE(H49,H51),(1+G50)*H46)),F50)</f>
        <v>110.7</v>
      </c>
      <c r="I50" s="78">
        <f t="shared" si="1"/>
        <v>1.9337016574585641E-2</v>
      </c>
      <c r="J50" s="134"/>
      <c r="K50" s="8"/>
      <c r="L50" s="8"/>
      <c r="P50" s="88" t="str">
        <f>IF(C50&gt;EOMONTH(DATE('Input|General'!$G$12,MONTH('Input|General'!$G$9),1),0),"Ok",IF(I50="","Check","Ok"))</f>
        <v>Ok</v>
      </c>
    </row>
    <row r="51" spans="3:16" ht="11.25">
      <c r="C51" s="54">
        <v>43008</v>
      </c>
      <c r="D51" s="8"/>
      <c r="E51" s="8"/>
      <c r="F51" s="53">
        <v>111.4</v>
      </c>
      <c r="G51" s="8"/>
      <c r="H51" s="55">
        <f>IF(ISBLANK(F51),IF(COUNT(G51:G$84)=0,"",IF(ISBLANK(G51),AVERAGE(H50,H52),(1+G51)*H47)),F51)</f>
        <v>111.4</v>
      </c>
      <c r="I51" s="78">
        <f t="shared" si="1"/>
        <v>1.8281535648994485E-2</v>
      </c>
      <c r="J51" s="133"/>
      <c r="K51" s="8"/>
      <c r="L51" s="8"/>
      <c r="P51" s="88" t="str">
        <f>IF(C51&gt;EOMONTH(DATE('Input|General'!$G$12,MONTH('Input|General'!$G$9),1),0),"Ok",IF(I51="","Check","Ok"))</f>
        <v>Ok</v>
      </c>
    </row>
    <row r="52" spans="3:16" ht="11.25">
      <c r="C52" s="54">
        <v>43100</v>
      </c>
      <c r="D52" s="8"/>
      <c r="E52" s="8"/>
      <c r="F52" s="53">
        <v>112.1</v>
      </c>
      <c r="G52" s="8"/>
      <c r="H52" s="55">
        <f>IF(ISBLANK(F52),IF(COUNT(G52:G$84)=0,"",IF(ISBLANK(G52),AVERAGE(H51,H53),(1+G52)*H48)),F52)</f>
        <v>112.1</v>
      </c>
      <c r="I52" s="78">
        <f t="shared" si="1"/>
        <v>1.9090909090909047E-2</v>
      </c>
      <c r="J52" s="133"/>
      <c r="K52" s="8"/>
      <c r="L52" s="8"/>
      <c r="P52" s="88" t="str">
        <f>IF(C52&gt;EOMONTH(DATE('Input|General'!$G$12,MONTH('Input|General'!$G$9),1),0),"Ok",IF(I52="","Check","Ok"))</f>
        <v>Ok</v>
      </c>
    </row>
    <row r="53" spans="3:16" ht="11.25">
      <c r="C53" s="54">
        <v>43190</v>
      </c>
      <c r="D53" s="8"/>
      <c r="E53" s="8"/>
      <c r="F53" s="53">
        <v>112.6</v>
      </c>
      <c r="G53" s="8"/>
      <c r="H53" s="55">
        <f>IF(ISBLANK(F53),IF(COUNT(G53:G$84)=0,"",IF(ISBLANK(G53),AVERAGE(H52,H54),(1+G53)*H49)),F53)</f>
        <v>112.6</v>
      </c>
      <c r="I53" s="78">
        <f t="shared" si="1"/>
        <v>1.9004524886877761E-2</v>
      </c>
      <c r="J53" s="133"/>
      <c r="K53" s="8"/>
      <c r="L53" s="8"/>
      <c r="P53" s="88" t="str">
        <f>IF(C53&gt;EOMONTH(DATE('Input|General'!$G$12,MONTH('Input|General'!$G$9),1),0),"Ok",IF(I53="","Check","Ok"))</f>
        <v>Ok</v>
      </c>
    </row>
    <row r="54" spans="3:16" ht="11.25">
      <c r="C54" s="54">
        <v>43281</v>
      </c>
      <c r="D54" s="8"/>
      <c r="E54" s="8"/>
      <c r="F54" s="53">
        <v>113</v>
      </c>
      <c r="G54" s="8"/>
      <c r="H54" s="55">
        <f>IF(ISBLANK(F54),IF(COUNT(G54:G$84)=0,"",IF(ISBLANK(G54),AVERAGE(H53,H55),(1+G54)*H50)),F54)</f>
        <v>113</v>
      </c>
      <c r="I54" s="78">
        <f t="shared" si="1"/>
        <v>2.0776874435411097E-2</v>
      </c>
      <c r="J54" s="133"/>
      <c r="K54" s="8"/>
      <c r="L54" s="8"/>
      <c r="P54" s="88" t="str">
        <f>IF(C54&gt;EOMONTH(DATE('Input|General'!$G$12,MONTH('Input|General'!$G$9),1),0),"Ok",IF(I54="","Check","Ok"))</f>
        <v>Ok</v>
      </c>
    </row>
    <row r="55" spans="3:16" ht="11.25">
      <c r="C55" s="54">
        <v>43373</v>
      </c>
      <c r="D55" s="8"/>
      <c r="E55" s="8"/>
      <c r="F55" s="53">
        <v>113.5</v>
      </c>
      <c r="G55" s="8"/>
      <c r="H55" s="55">
        <f>IF(ISBLANK(F55),IF(COUNT(G55:G$84)=0,"",IF(ISBLANK(G55),AVERAGE(H54,H56),(1+G55)*H51)),F55)</f>
        <v>113.5</v>
      </c>
      <c r="I55" s="78">
        <f t="shared" si="1"/>
        <v>1.8850987432674993E-2</v>
      </c>
      <c r="J55" s="133"/>
      <c r="K55" s="154"/>
      <c r="L55" s="8"/>
      <c r="P55" s="88" t="str">
        <f>IF(C55&gt;EOMONTH(DATE('Input|General'!$G$12,MONTH('Input|General'!$G$9),1),0),"Ok",IF(I55="","Check","Ok"))</f>
        <v>Ok</v>
      </c>
    </row>
    <row r="56" spans="3:16" ht="11.25">
      <c r="C56" s="54">
        <v>43465</v>
      </c>
      <c r="D56" s="8"/>
      <c r="E56" s="8"/>
      <c r="F56" s="53">
        <v>114.1</v>
      </c>
      <c r="G56" s="8"/>
      <c r="H56" s="55">
        <f>IF(ISBLANK(F56),IF(COUNT(G56:G$84)=0,"",IF(ISBLANK(G56),AVERAGE(H55,H57),(1+G56)*H52)),F56)</f>
        <v>114.1</v>
      </c>
      <c r="I56" s="78">
        <f t="shared" si="1"/>
        <v>1.7841213202497874E-2</v>
      </c>
      <c r="J56" s="133"/>
      <c r="L56" s="8"/>
      <c r="P56" s="88" t="str">
        <f>IF(C56&gt;EOMONTH(DATE('Input|General'!$G$12,MONTH('Input|General'!$G$9),1),0),"Ok",IF(I56="","Check","Ok"))</f>
        <v>Ok</v>
      </c>
    </row>
    <row r="57" spans="3:16" ht="11.25">
      <c r="C57" s="54">
        <v>43555</v>
      </c>
      <c r="D57" s="8"/>
      <c r="E57" s="8"/>
      <c r="F57" s="53">
        <v>114.1</v>
      </c>
      <c r="G57" s="8"/>
      <c r="H57" s="55">
        <f>IF(ISBLANK(F57),IF(COUNT(G57:G$84)=0,"",IF(ISBLANK(G57),AVERAGE(H56,H58),(1+G57)*H53)),F57)</f>
        <v>114.1</v>
      </c>
      <c r="I57" s="78">
        <f t="shared" si="1"/>
        <v>1.3321492007104752E-2</v>
      </c>
      <c r="J57" s="133"/>
      <c r="K57" s="8"/>
      <c r="L57" s="8"/>
      <c r="P57" s="88" t="str">
        <f>IF(C57&gt;EOMONTH(DATE('Input|General'!$G$12,MONTH('Input|General'!$G$9),1),0),"Ok",IF(I57="","Check","Ok"))</f>
        <v>Ok</v>
      </c>
    </row>
    <row r="58" spans="3:16" ht="11.25">
      <c r="C58" s="54">
        <v>43646</v>
      </c>
      <c r="D58" s="8"/>
      <c r="E58" s="8"/>
      <c r="F58" s="53">
        <v>114.8</v>
      </c>
      <c r="G58" s="8"/>
      <c r="H58" s="55">
        <f>IF(ISBLANK(F58),IF(COUNT(G58:G$84)=0,"",IF(ISBLANK(G58),AVERAGE(H57,H59),(1+G58)*H54)),F58)</f>
        <v>114.8</v>
      </c>
      <c r="I58" s="78">
        <f t="shared" si="1"/>
        <v>1.5929203539823078E-2</v>
      </c>
      <c r="K58" s="8"/>
      <c r="L58" s="8"/>
      <c r="P58" s="88" t="str">
        <f>IF(C58&gt;EOMONTH(DATE('Input|General'!$G$12,MONTH('Input|General'!$G$9),1),0),"Ok",IF(I58="","Check","Ok"))</f>
        <v>Ok</v>
      </c>
    </row>
    <row r="59" spans="3:16" ht="11.25">
      <c r="C59" s="54">
        <v>43738</v>
      </c>
      <c r="D59" s="8"/>
      <c r="E59" s="8"/>
      <c r="F59" s="53">
        <v>115.4</v>
      </c>
      <c r="G59" s="8"/>
      <c r="H59" s="55">
        <f>IF(ISBLANK(F59),IF(COUNT(G59:G$84)=0,"",IF(ISBLANK(G59),AVERAGE(H58,H60),(1+G59)*H55)),F59)</f>
        <v>115.4</v>
      </c>
      <c r="I59" s="78">
        <f t="shared" si="1"/>
        <v>1.6740088105726914E-2</v>
      </c>
      <c r="J59" s="133"/>
      <c r="K59" s="8"/>
      <c r="L59" s="8"/>
      <c r="P59" s="88" t="str">
        <f>IF(C59&gt;EOMONTH(DATE('Input|General'!$G$12,MONTH('Input|General'!$G$9),1),0),"Ok",IF(I59="","Check","Ok"))</f>
        <v>Ok</v>
      </c>
    </row>
    <row r="60" spans="3:16" ht="11.25">
      <c r="C60" s="54">
        <v>43830</v>
      </c>
      <c r="D60" s="8"/>
      <c r="E60" s="8"/>
      <c r="F60" s="53">
        <v>116.2</v>
      </c>
      <c r="G60" s="8"/>
      <c r="H60" s="55">
        <f>IF(ISBLANK(F60),IF(COUNT(G60:G$84)=0,"",IF(ISBLANK(G60),AVERAGE(H59,H61),(1+G60)*H56)),F60)</f>
        <v>116.2</v>
      </c>
      <c r="I60" s="78">
        <f t="shared" si="1"/>
        <v>1.8404907975460238E-2</v>
      </c>
      <c r="J60" s="133"/>
      <c r="K60" s="8"/>
      <c r="L60" s="8"/>
      <c r="P60" s="88" t="str">
        <f>IF(C60&gt;EOMONTH(DATE('Input|General'!$G$12,MONTH('Input|General'!$G$9),1),0),"Ok",IF(I60="","Check","Ok"))</f>
        <v>Ok</v>
      </c>
    </row>
    <row r="61" spans="3:16" ht="11.25">
      <c r="C61" s="54">
        <v>43921</v>
      </c>
      <c r="D61" s="8"/>
      <c r="E61" s="8"/>
      <c r="F61" s="53">
        <v>116.6</v>
      </c>
      <c r="G61" s="8"/>
      <c r="H61" s="55">
        <f>IF(ISBLANK(F61),IF(COUNT(G61:G$84)=0,"",IF(ISBLANK(G61),AVERAGE(H60,H62),(1+G61)*H57)),F61)</f>
        <v>116.6</v>
      </c>
      <c r="I61" s="78">
        <f t="shared" si="1"/>
        <v>2.1910604732690686E-2</v>
      </c>
      <c r="J61" s="133"/>
      <c r="K61" s="8"/>
      <c r="L61" s="8"/>
      <c r="P61" s="88" t="str">
        <f>IF(C61&gt;EOMONTH(DATE('Input|General'!$G$12,MONTH('Input|General'!$G$9),1),0),"Ok",IF(I61="","Check","Ok"))</f>
        <v>Ok</v>
      </c>
    </row>
    <row r="62" spans="3:16" ht="11.25">
      <c r="C62" s="54">
        <v>44012</v>
      </c>
      <c r="D62" s="8"/>
      <c r="E62" s="8"/>
      <c r="F62" s="53">
        <v>114.4</v>
      </c>
      <c r="G62" s="8"/>
      <c r="H62" s="55">
        <f>IF(ISBLANK(F62),IF(COUNT(G62:G$84)=0,"",IF(ISBLANK(G62),AVERAGE(H61,H63),(1+G62)*H58)),F62)</f>
        <v>114.4</v>
      </c>
      <c r="I62" s="78">
        <f t="shared" si="1"/>
        <v>-3.4843205574912606E-3</v>
      </c>
      <c r="J62" s="8"/>
      <c r="K62" s="8"/>
      <c r="L62" s="8"/>
      <c r="P62" s="88" t="str">
        <f>IF(C62&gt;EOMONTH(DATE('Input|General'!$G$12,MONTH('Input|General'!$G$9),1),0),"Ok",IF(I62="","Check","Ok"))</f>
        <v>Ok</v>
      </c>
    </row>
    <row r="63" spans="3:16" ht="11.25">
      <c r="C63" s="54">
        <v>44104</v>
      </c>
      <c r="D63" s="8"/>
      <c r="E63" s="8"/>
      <c r="F63" s="53">
        <v>116.2</v>
      </c>
      <c r="G63" s="8"/>
      <c r="H63" s="55">
        <f>IF(ISBLANK(F63),IF(COUNT(G63:G$84)=0,"",IF(ISBLANK(G63),AVERAGE(H62,H64),(1+G63)*H59)),F63)</f>
        <v>116.2</v>
      </c>
      <c r="I63" s="78">
        <f t="shared" si="1"/>
        <v>6.9324090121316573E-3</v>
      </c>
      <c r="J63" s="133"/>
      <c r="K63" s="8"/>
      <c r="L63" s="8"/>
      <c r="P63" s="88" t="str">
        <f>IF(C63&gt;EOMONTH(DATE('Input|General'!$G$12,MONTH('Input|General'!$G$9),1),0),"Ok",IF(I63="","Check","Ok"))</f>
        <v>Ok</v>
      </c>
    </row>
    <row r="64" spans="3:16" ht="11.25">
      <c r="C64" s="54">
        <v>44196</v>
      </c>
      <c r="D64" s="8"/>
      <c r="E64" s="8"/>
      <c r="F64" s="53">
        <v>117.2</v>
      </c>
      <c r="G64" s="8"/>
      <c r="H64" s="55">
        <f>IF(ISBLANK(F64),IF(COUNT(G64:G$84)=0,"",IF(ISBLANK(G64),AVERAGE(H63,H65),(1+G64)*H60)),F64)</f>
        <v>117.2</v>
      </c>
      <c r="I64" s="78">
        <f t="shared" si="1"/>
        <v>8.6058519793459354E-3</v>
      </c>
      <c r="J64" s="133"/>
      <c r="K64" s="8"/>
      <c r="L64" s="8"/>
      <c r="P64" s="88" t="str">
        <f>IF(C64&gt;EOMONTH(DATE('Input|General'!$G$12,MONTH('Input|General'!$G$9),1),0),"Ok",IF(I64="","Check","Ok"))</f>
        <v>Ok</v>
      </c>
    </row>
    <row r="65" spans="3:16" ht="11.25">
      <c r="C65" s="54">
        <v>44286</v>
      </c>
      <c r="D65" s="8"/>
      <c r="E65" s="78"/>
      <c r="F65" s="53">
        <v>117.9</v>
      </c>
      <c r="G65" s="8"/>
      <c r="H65" s="55">
        <f>IF(ISBLANK(F65),IF(COUNT(G65:G$84)=0,"",IF(ISBLANK(G65),AVERAGE(H64,H66),(1+G65)*H61)),F65)</f>
        <v>117.9</v>
      </c>
      <c r="I65" s="78">
        <f t="shared" si="1"/>
        <v>1.1149228130360234E-2</v>
      </c>
      <c r="J65" s="133"/>
      <c r="K65" s="8"/>
      <c r="L65" s="8"/>
      <c r="P65" s="88" t="str">
        <f>IF(C65&gt;EOMONTH(DATE('Input|General'!$G$12,MONTH('Input|General'!$G$9),1),0),"Ok",IF(I65="","Check","Ok"))</f>
        <v>Ok</v>
      </c>
    </row>
    <row r="66" spans="3:16" ht="11.25">
      <c r="C66" s="54">
        <v>44377</v>
      </c>
      <c r="D66" s="8"/>
      <c r="E66" s="78"/>
      <c r="F66" s="53">
        <v>118.8</v>
      </c>
      <c r="G66" s="8"/>
      <c r="H66" s="55">
        <f>IF(ISBLANK(F66),IF(COUNT(G66:G$84)=0,"",IF(ISBLANK(G66),AVERAGE(H65,H67),(1+G66)*H62)),F66)</f>
        <v>118.8</v>
      </c>
      <c r="I66" s="78">
        <f t="shared" si="1"/>
        <v>3.8461538461538325E-2</v>
      </c>
      <c r="J66" s="133"/>
      <c r="K66" s="8"/>
      <c r="L66" s="8"/>
      <c r="P66" s="88" t="str">
        <f>IF(C66&gt;EOMONTH(DATE('Input|General'!$G$12,MONTH('Input|General'!$G$9),1),0),"Ok",IF(I66="","Check","Ok"))</f>
        <v>Ok</v>
      </c>
    </row>
    <row r="67" spans="3:16" ht="11.25">
      <c r="C67" s="54">
        <v>44469</v>
      </c>
      <c r="D67" s="8"/>
      <c r="E67" s="78"/>
      <c r="F67" s="53">
        <v>119.7</v>
      </c>
      <c r="G67" s="8"/>
      <c r="H67" s="55">
        <f>IF(ISBLANK(F67),IF(COUNT(G67:G$84)=0,"",IF(ISBLANK(G67),AVERAGE(H66,H68),(1+G67)*H63)),F67)</f>
        <v>119.7</v>
      </c>
      <c r="I67" s="78">
        <f t="shared" si="1"/>
        <v>3.0120481927710774E-2</v>
      </c>
      <c r="J67" s="133"/>
      <c r="K67" s="8"/>
      <c r="L67" s="8"/>
      <c r="P67" s="88" t="str">
        <f>IF(C67&gt;EOMONTH(DATE('Input|General'!$G$12,MONTH('Input|General'!$G$9),1),0),"Ok",IF(I67="","Check","Ok"))</f>
        <v>Ok</v>
      </c>
    </row>
    <row r="68" spans="3:16" ht="11.25">
      <c r="C68" s="54">
        <v>44561</v>
      </c>
      <c r="D68" s="8"/>
      <c r="E68" s="78"/>
      <c r="F68" s="53">
        <v>121.3</v>
      </c>
      <c r="G68" s="8"/>
      <c r="H68" s="55">
        <f>IF(ISBLANK(F68),IF(COUNT(G68:G$84)=0,"",IF(ISBLANK(G68),AVERAGE(H67,H69),(1+G68)*H64)),F68)</f>
        <v>121.3</v>
      </c>
      <c r="I68" s="78">
        <f t="shared" si="1"/>
        <v>3.4982935153583528E-2</v>
      </c>
      <c r="J68" s="133"/>
      <c r="K68" s="8"/>
      <c r="L68" s="8"/>
      <c r="P68" s="88" t="str">
        <f>IF(C68&gt;EOMONTH(DATE('Input|General'!$G$12,MONTH('Input|General'!$G$9),1),0),"Ok",IF(I68="","Check","Ok"))</f>
        <v>Ok</v>
      </c>
    </row>
    <row r="69" spans="3:16" ht="11.25">
      <c r="C69" s="54">
        <v>44651</v>
      </c>
      <c r="D69" s="8"/>
      <c r="E69" s="78"/>
      <c r="F69" s="53">
        <v>123.9</v>
      </c>
      <c r="G69" s="8"/>
      <c r="H69" s="55">
        <f>IF(ISBLANK(F69),IF(COUNT(G69:G$84)=0,"",IF(ISBLANK(G69),AVERAGE(H68,H70),(1+G69)*H65)),F69)</f>
        <v>123.9</v>
      </c>
      <c r="I69" s="78">
        <f t="shared" si="1"/>
        <v>5.0890585241730291E-2</v>
      </c>
      <c r="J69" s="133"/>
      <c r="K69" s="8"/>
      <c r="L69" s="8"/>
      <c r="P69" s="88" t="str">
        <f>IF(C69&gt;EOMONTH(DATE('Input|General'!$G$12,MONTH('Input|General'!$G$9),1),0),"Ok",IF(I69="","Check","Ok"))</f>
        <v>Ok</v>
      </c>
    </row>
    <row r="70" spans="3:16" ht="11.25">
      <c r="C70" s="54">
        <v>44742</v>
      </c>
      <c r="D70" s="8"/>
      <c r="E70" s="8"/>
      <c r="F70" s="53">
        <v>126.1</v>
      </c>
      <c r="G70" s="8"/>
      <c r="H70" s="55">
        <f>IF(ISBLANK(F70),IF(COUNT(G70:G$84)=0,"",IF(ISBLANK(G70),AVERAGE(H69,H71),(1+G70)*H66)),F70)</f>
        <v>126.1</v>
      </c>
      <c r="I70" s="78">
        <f t="shared" si="1"/>
        <v>6.1447811447811418E-2</v>
      </c>
      <c r="J70" s="133"/>
      <c r="K70" s="8"/>
      <c r="L70" s="8"/>
      <c r="P70" s="88" t="str">
        <f>IF(C70&gt;EOMONTH(DATE('Input|General'!$G$12,MONTH('Input|General'!$G$9),1),0),"Ok",IF(I70="","Check","Ok"))</f>
        <v>Ok</v>
      </c>
    </row>
    <row r="71" spans="3:16" ht="11.25">
      <c r="C71" s="54">
        <v>44834</v>
      </c>
      <c r="D71" s="8"/>
      <c r="E71" s="8"/>
      <c r="F71" s="53">
        <v>128.4</v>
      </c>
      <c r="G71" s="8"/>
      <c r="H71" s="55">
        <f>IF(ISBLANK(F71),IF(COUNT(G71:G$84)=0,"",IF(ISBLANK(G71),AVERAGE(H70,H72),(1+G71)*H67)),F71)</f>
        <v>128.4</v>
      </c>
      <c r="I71" s="78">
        <f t="shared" si="1"/>
        <v>7.268170426065157E-2</v>
      </c>
      <c r="J71" s="133"/>
      <c r="K71" s="8"/>
      <c r="L71" s="8"/>
      <c r="P71" s="88" t="str">
        <f>IF(C71&gt;EOMONTH(DATE('Input|General'!$G$12,MONTH('Input|General'!$G$9),1),0),"Ok",IF(I71="","Check","Ok"))</f>
        <v>Ok</v>
      </c>
    </row>
    <row r="72" spans="3:16" ht="11.25">
      <c r="C72" s="54">
        <v>44926</v>
      </c>
      <c r="D72" s="8"/>
      <c r="E72" s="8"/>
      <c r="F72" s="53">
        <v>130.80000000000001</v>
      </c>
      <c r="G72" s="8"/>
      <c r="H72" s="55">
        <f>IF(ISBLANK(F72),IF(COUNT(G72:G$84)=0,"",IF(ISBLANK(G72),AVERAGE(H71,H73),(1+G72)*H68)),F72)</f>
        <v>130.80000000000001</v>
      </c>
      <c r="I72" s="78">
        <f t="shared" si="1"/>
        <v>7.8318219291014124E-2</v>
      </c>
      <c r="J72" s="133"/>
      <c r="K72" s="8"/>
      <c r="L72" s="8"/>
      <c r="P72" s="88" t="str">
        <f>IF(C72&gt;EOMONTH(DATE('Input|General'!$G$12,MONTH('Input|General'!$G$9),1),0),"Ok",IF(I72="","Check","Ok"))</f>
        <v>Ok</v>
      </c>
    </row>
    <row r="73" spans="3:16" ht="11.25">
      <c r="C73" s="54">
        <v>45016</v>
      </c>
      <c r="D73" s="8"/>
      <c r="E73" s="8"/>
      <c r="F73" s="53">
        <v>132.6</v>
      </c>
      <c r="G73" s="8"/>
      <c r="H73" s="55">
        <f>IF(ISBLANK(F73),IF(COUNT(G73:G$84)=0,"",IF(ISBLANK(G73),AVERAGE(H72,H74),(1+G73)*H69)),F73)</f>
        <v>132.6</v>
      </c>
      <c r="I73" s="78">
        <f t="shared" si="1"/>
        <v>7.0217917675544639E-2</v>
      </c>
      <c r="J73" s="133"/>
      <c r="K73" s="9"/>
      <c r="L73" s="8"/>
      <c r="P73" s="88" t="str">
        <f>IF(C73&gt;EOMONTH(DATE('Input|General'!$G$12,MONTH('Input|General'!$G$9),1),0),"Ok",IF(I73="","Check","Ok"))</f>
        <v>Ok</v>
      </c>
    </row>
    <row r="74" spans="3:16" ht="11.25">
      <c r="C74" s="54">
        <v>45107</v>
      </c>
      <c r="D74" s="8"/>
      <c r="E74" s="8"/>
      <c r="F74" s="53">
        <v>133.69999999999999</v>
      </c>
      <c r="G74" s="8"/>
      <c r="H74" s="55">
        <f>IF(ISBLANK(F74),IF(COUNT(G74:G$84)=0,"",IF(ISBLANK(G74),AVERAGE(H73,H75),(1+G74)*H70)),F74)</f>
        <v>133.69999999999999</v>
      </c>
      <c r="I74" s="78">
        <f t="shared" si="1"/>
        <v>6.0269627279936566E-2</v>
      </c>
      <c r="J74" s="8"/>
      <c r="K74" s="133"/>
      <c r="L74" s="8"/>
      <c r="P74" s="88" t="str">
        <f>IF(C74&gt;EOMONTH(DATE('Input|General'!$G$12,MONTH('Input|General'!$G$9),1),0),"Ok",IF(I74="","Check","Ok"))</f>
        <v>Ok</v>
      </c>
    </row>
    <row r="75" spans="3:16" ht="11.25">
      <c r="C75" s="54">
        <v>45199</v>
      </c>
      <c r="D75" s="8"/>
      <c r="E75" s="8"/>
      <c r="F75" s="53">
        <v>135.30000000000001</v>
      </c>
      <c r="G75" s="8"/>
      <c r="H75" s="55">
        <f>IF(ISBLANK(F75),IF(COUNT(G75:G$84)=0,"",IF(ISBLANK(G75),AVERAGE(H74,H76),(1+G75)*H71)),F75)</f>
        <v>135.30000000000001</v>
      </c>
      <c r="I75" s="78">
        <f t="shared" si="1"/>
        <v>5.3738317757009435E-2</v>
      </c>
      <c r="J75" s="133"/>
      <c r="K75" s="8"/>
      <c r="L75" s="8"/>
      <c r="P75" s="88" t="str">
        <f>IF(C75&gt;EOMONTH(DATE('Input|General'!$G$12,MONTH('Input|General'!$G$9),1),0),"Ok",IF(I75="","Check","Ok"))</f>
        <v>Ok</v>
      </c>
    </row>
    <row r="76" spans="3:16" ht="11.25">
      <c r="C76" s="54">
        <v>45291</v>
      </c>
      <c r="D76" s="8"/>
      <c r="E76" s="8"/>
      <c r="F76" s="8"/>
      <c r="G76" s="184">
        <v>4.1000000000000002E-2</v>
      </c>
      <c r="H76" s="55">
        <f>IF(ISBLANK(F76),IF(COUNT(G76:G$84)=0,"",IF(ISBLANK(G76),AVERAGE(H75,H77),(1+G76)*H72)),F76)</f>
        <v>136.1628</v>
      </c>
      <c r="I76" s="78">
        <f t="shared" si="1"/>
        <v>4.0999999999999925E-2</v>
      </c>
      <c r="J76" s="163"/>
      <c r="K76" s="8"/>
      <c r="L76" s="8"/>
      <c r="P76" s="88" t="str">
        <f>IF(C76&gt;EOMONTH(DATE('Input|General'!$G$12,MONTH('Input|General'!$G$9),1),0),"Ok",IF(I76="","Check","Ok"))</f>
        <v>Ok</v>
      </c>
    </row>
    <row r="77" spans="3:16" ht="11.25">
      <c r="C77" s="54">
        <v>45382</v>
      </c>
      <c r="D77" s="8"/>
      <c r="E77" s="8"/>
      <c r="F77" s="8"/>
      <c r="G77" s="185"/>
      <c r="H77" s="55">
        <f>IF(ISBLANK(F77),IF(COUNT(G77:G$84)=0,"",IF(ISBLANK(G77),AVERAGE(H76,H78),(1+G77)*H73)),F77)</f>
        <v>137.33799999999999</v>
      </c>
      <c r="I77" s="78">
        <f t="shared" si="1"/>
        <v>3.5731523378582208E-2</v>
      </c>
      <c r="J77" s="133"/>
      <c r="K77" s="8"/>
      <c r="L77" s="8"/>
      <c r="P77" s="88" t="str">
        <f>IF(C77&gt;EOMONTH(DATE('Input|General'!$G$12,MONTH('Input|General'!$G$9),1),0),"Ok",IF(I77="","Check","Ok"))</f>
        <v>Ok</v>
      </c>
    </row>
    <row r="78" spans="3:16" ht="11.25">
      <c r="C78" s="54">
        <v>45473</v>
      </c>
      <c r="D78" s="8"/>
      <c r="E78" s="8"/>
      <c r="F78" s="8"/>
      <c r="G78" s="184">
        <v>3.5999999999999997E-2</v>
      </c>
      <c r="H78" s="55">
        <f>IF(ISBLANK(F78),IF(COUNT(G78:G$84)=0,"",IF(ISBLANK(G78),AVERAGE(H77,H79),(1+G78)*H74)),F78)</f>
        <v>138.51319999999998</v>
      </c>
      <c r="I78" s="78">
        <f t="shared" si="1"/>
        <v>3.6000000000000032E-2</v>
      </c>
      <c r="J78" s="163"/>
      <c r="K78" s="8"/>
      <c r="L78" s="8"/>
      <c r="P78" s="88" t="str">
        <f>IF(C78&gt;EOMONTH(DATE('Input|General'!$G$12,MONTH('Input|General'!$G$9),1),0),"Ok",IF(I78="","Check","Ok"))</f>
        <v>Ok</v>
      </c>
    </row>
    <row r="79" spans="3:16" ht="11.25">
      <c r="C79" s="54">
        <v>45565</v>
      </c>
      <c r="D79" s="8"/>
      <c r="E79" s="8"/>
      <c r="F79" s="8"/>
      <c r="G79" s="185"/>
      <c r="H79" s="55">
        <f>IF(ISBLANK(F79),IF(COUNT(G79:G$84)=0,"",IF(ISBLANK(G79),AVERAGE(H78,H80),(1+G79)*H75)),F79)</f>
        <v>139.58468619999999</v>
      </c>
      <c r="I79" s="78">
        <f t="shared" si="1"/>
        <v>3.1668042867701196E-2</v>
      </c>
      <c r="J79" s="133"/>
      <c r="K79" s="8"/>
      <c r="L79" s="8"/>
      <c r="P79" s="88" t="str">
        <f>IF(C79&gt;EOMONTH(DATE('Input|General'!$G$12,MONTH('Input|General'!$G$9),1),0),"Ok",IF(I79="","Check","Ok"))</f>
        <v>Ok</v>
      </c>
    </row>
    <row r="80" spans="3:16" ht="11.25">
      <c r="C80" s="54">
        <v>45657</v>
      </c>
      <c r="D80" s="8"/>
      <c r="E80" s="8"/>
      <c r="F80" s="8"/>
      <c r="G80" s="184">
        <v>3.3000000000000002E-2</v>
      </c>
      <c r="H80" s="55">
        <f>IF(ISBLANK(F80),IF(COUNT(G80:G$84)=0,"",IF(ISBLANK(G80),AVERAGE(H79,H81),(1+G80)*H76)),F80)</f>
        <v>140.6561724</v>
      </c>
      <c r="I80" s="78">
        <f t="shared" si="1"/>
        <v>3.2999999999999918E-2</v>
      </c>
      <c r="J80" s="163"/>
      <c r="K80" s="8"/>
      <c r="L80" s="8"/>
      <c r="P80" s="88" t="str">
        <f>IF(C80&gt;EOMONTH(DATE('Input|General'!$G$12,MONTH('Input|General'!$G$9),1),0),"Ok",IF(I80="","Check","Ok"))</f>
        <v>Ok</v>
      </c>
    </row>
    <row r="81" spans="1:41" ht="11.25">
      <c r="C81" s="54">
        <v>45747</v>
      </c>
      <c r="D81" s="8"/>
      <c r="E81" s="8"/>
      <c r="F81" s="8"/>
      <c r="G81" s="185"/>
      <c r="H81" s="55">
        <f>IF(ISBLANK(F81),IF(COUNT(G81:G$84)=0,"",IF(ISBLANK(G81),AVERAGE(H80,H82),(1+G81)*H77)),F81)</f>
        <v>141.73164079999998</v>
      </c>
      <c r="I81" s="78">
        <f t="shared" si="1"/>
        <v>3.1991443009218079E-2</v>
      </c>
      <c r="J81" s="133"/>
      <c r="K81" s="8"/>
      <c r="L81" s="8"/>
      <c r="P81" s="88" t="str">
        <f>IF(C81&gt;EOMONTH(DATE('Input|General'!$G$12,MONTH('Input|General'!$G$9),1),0),"Ok",IF(I81="","Check","Ok"))</f>
        <v>Ok</v>
      </c>
    </row>
    <row r="82" spans="1:41" ht="11.25">
      <c r="C82" s="54">
        <v>45838</v>
      </c>
      <c r="D82" s="8"/>
      <c r="E82" s="8"/>
      <c r="F82" s="8"/>
      <c r="G82" s="183">
        <v>3.1E-2</v>
      </c>
      <c r="H82" s="55">
        <f>IF(ISBLANK(F82),IF(COUNT(G82:G$84)=0,"",IF(ISBLANK(G82),AVERAGE(H81,H83),(1+G82)*H78)),F82)</f>
        <v>142.80710919999999</v>
      </c>
      <c r="I82" s="78">
        <f t="shared" si="1"/>
        <v>3.0999999999999917E-2</v>
      </c>
      <c r="J82" s="163"/>
      <c r="K82" s="8"/>
      <c r="L82" s="8"/>
      <c r="P82" s="88" t="str">
        <f>IF(C82&gt;EOMONTH(DATE('Input|General'!$G$12,MONTH('Input|General'!$G$9),1),0),"Ok",IF(I82="","Check","Ok"))</f>
        <v>Ok</v>
      </c>
    </row>
    <row r="83" spans="1:41" ht="11.25">
      <c r="C83" s="54">
        <v>45930</v>
      </c>
      <c r="D83" s="8"/>
      <c r="E83" s="8"/>
      <c r="F83" s="8"/>
      <c r="G83" s="185"/>
      <c r="H83" s="55">
        <f>IF(ISBLANK(F83),IF(COUNT(G83:G$84)=0,"",IF(ISBLANK(G83),AVERAGE(H82,H84),(1+G83)*H79)),F83)</f>
        <v>143.70082721360001</v>
      </c>
      <c r="I83" s="78">
        <f t="shared" si="1"/>
        <v>2.9488485633032191E-2</v>
      </c>
      <c r="J83" s="133"/>
      <c r="K83" s="8"/>
      <c r="L83" s="8"/>
      <c r="P83" s="88" t="str">
        <f>IF(C83&gt;EOMONTH(DATE('Input|General'!$G$12,MONTH('Input|General'!$G$9),1),0),"Ok",IF(I83="","Check","Ok"))</f>
        <v>Ok</v>
      </c>
    </row>
    <row r="84" spans="1:41" ht="11.25">
      <c r="C84" s="54">
        <v>46022</v>
      </c>
      <c r="D84" s="8"/>
      <c r="E84" s="8"/>
      <c r="F84" s="8"/>
      <c r="G84" s="183">
        <v>2.8000000000000001E-2</v>
      </c>
      <c r="H84" s="55">
        <f>IF(ISBLANK(F84),IF(COUNT(G84:G$84)=0,"",IF(ISBLANK(G84),AVERAGE(H83,H85),(1+G84)*H80)),F84)</f>
        <v>144.5945452272</v>
      </c>
      <c r="I84" s="78">
        <f t="shared" si="1"/>
        <v>2.8000000000000025E-2</v>
      </c>
      <c r="J84" s="163"/>
      <c r="K84" s="8"/>
      <c r="L84" s="8"/>
      <c r="P84" s="88" t="str">
        <f>IF(C84&gt;EOMONTH(DATE('Input|General'!$G$12,MONTH('Input|General'!$G$9),1),0),"Ok",IF(I84="","Check","Ok"))</f>
        <v>Ok</v>
      </c>
    </row>
    <row r="85" spans="1:41" ht="11.25">
      <c r="F85" s="8"/>
      <c r="G85" s="8"/>
      <c r="H85" s="8"/>
      <c r="I85" s="8"/>
      <c r="J85" s="8"/>
      <c r="K85" s="8"/>
      <c r="L85" s="8"/>
    </row>
    <row r="86" spans="1:41" customFormat="1" ht="12.75">
      <c r="A86" s="37"/>
      <c r="B86" s="43" t="s">
        <v>25</v>
      </c>
      <c r="C86" s="37"/>
      <c r="D86" s="37"/>
      <c r="E86" s="37"/>
      <c r="F86" s="37"/>
      <c r="G86" s="37"/>
      <c r="H86" s="37"/>
      <c r="I86" s="38"/>
      <c r="J86" s="38"/>
      <c r="K86" s="38"/>
      <c r="L86" s="38"/>
      <c r="M86" s="39"/>
      <c r="N86" s="40"/>
      <c r="O86" s="39"/>
      <c r="P86" s="40"/>
      <c r="Q86" s="39"/>
      <c r="R86" s="41"/>
      <c r="S86" s="41"/>
      <c r="T86" s="41"/>
      <c r="U86" s="41"/>
      <c r="V86" s="41"/>
      <c r="W86" s="42"/>
      <c r="X86" s="42"/>
    </row>
    <row r="87" spans="1:41" ht="11.25" hidden="1">
      <c r="J87" s="21"/>
      <c r="K87" s="21"/>
    </row>
    <row r="88" spans="1:41" ht="11.25" hidden="1">
      <c r="J88" s="21"/>
      <c r="K88" s="21"/>
    </row>
    <row r="89" spans="1:41" s="16" customFormat="1" ht="11.25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</row>
    <row r="90" spans="1:41" s="16" customFormat="1" ht="11.25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</row>
    <row r="91" spans="1:41" s="16" customFormat="1" ht="11.25" hidden="1">
      <c r="A91" s="8"/>
      <c r="B91" s="8"/>
      <c r="C91" s="8"/>
      <c r="J91" s="21"/>
      <c r="K91" s="2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spans="1:41" s="16" customFormat="1" ht="11.25" hidden="1">
      <c r="A92" s="8"/>
      <c r="B92" s="8"/>
      <c r="C92" s="8"/>
      <c r="J92" s="21"/>
      <c r="K92" s="2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s="16" customFormat="1" ht="11.25" hidden="1">
      <c r="A93" s="8"/>
      <c r="B93" s="8"/>
      <c r="C93" s="8"/>
      <c r="J93" s="21"/>
      <c r="K93" s="2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s="16" customFormat="1" ht="11.25" hidden="1">
      <c r="A94" s="8"/>
      <c r="B94" s="8"/>
      <c r="C94" s="8"/>
      <c r="J94" s="21"/>
      <c r="K94" s="2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</row>
    <row r="95" spans="1:41" s="16" customFormat="1" ht="11.25" hidden="1">
      <c r="A95" s="8"/>
      <c r="B95" s="8"/>
      <c r="C95" s="8"/>
      <c r="J95" s="21"/>
      <c r="K95" s="2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spans="1:41" s="16" customFormat="1" ht="11.25" hidden="1">
      <c r="A96" s="8"/>
      <c r="B96" s="8"/>
      <c r="C96" s="8"/>
      <c r="J96" s="21"/>
      <c r="K96" s="2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</row>
  </sheetData>
  <conditionalFormatting sqref="G76:G84">
    <cfRule type="expression" dxfId="137" priority="1">
      <formula>ISBLANK(F76)</formula>
    </cfRule>
  </conditionalFormatting>
  <conditionalFormatting sqref="M1 P9:P84">
    <cfRule type="cellIs" dxfId="136" priority="6" operator="equal">
      <formula>"Check"</formula>
    </cfRule>
    <cfRule type="cellIs" dxfId="135" priority="7" operator="equal">
      <formula>"Ok"</formula>
    </cfRule>
  </conditionalFormatting>
  <conditionalFormatting sqref="P1">
    <cfRule type="cellIs" dxfId="134" priority="8" operator="equal">
      <formula>"Check"</formula>
    </cfRule>
    <cfRule type="cellIs" dxfId="133" priority="9" operator="equal">
      <formula>"Ok"</formula>
    </cfRule>
  </conditionalFormatting>
  <dataValidations disablePrompts="1" count="2">
    <dataValidation type="list" allowBlank="1" showInputMessage="1" showErrorMessage="1" sqref="I85" xr:uid="{00000000-0002-0000-0200-000000000000}">
      <formula1>"Real 2010,Real 2011,Real 2012,Real 2013,Real 2014,Real 2015,Nominal"</formula1>
    </dataValidation>
    <dataValidation type="list" allowBlank="1" showInputMessage="1" showErrorMessage="1" sqref="L12:L85" xr:uid="{00000000-0002-0000-0200-000001000000}">
      <formula1>#REF!</formula1>
    </dataValidation>
  </dataValidations>
  <hyperlinks>
    <hyperlink ref="F1" location="Index!A1" display="Back to Index" xr:uid="{00000000-0004-0000-0200-000000000000}"/>
    <hyperlink ref="O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2"/>
  <sheetViews>
    <sheetView workbookViewId="0"/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19" width="10.83203125" customWidth="1"/>
    <col min="20" max="20" width="55.33203125" customWidth="1"/>
    <col min="21" max="23" width="10.83203125" customWidth="1"/>
    <col min="24" max="16384" width="9.33203125" hidden="1"/>
  </cols>
  <sheetData>
    <row r="1" spans="1:23" ht="15.75">
      <c r="A1" s="32"/>
      <c r="B1" s="29"/>
      <c r="C1" s="29" t="str">
        <f>Index!$B$1</f>
        <v>AER opex model</v>
      </c>
      <c r="D1" s="29"/>
      <c r="E1" s="29"/>
      <c r="F1" s="30"/>
      <c r="G1" s="30"/>
      <c r="H1" s="30"/>
      <c r="I1" s="30"/>
      <c r="J1" s="31" t="s">
        <v>26</v>
      </c>
      <c r="K1" s="32"/>
      <c r="L1" s="33" t="s">
        <v>27</v>
      </c>
      <c r="M1" s="50" t="s">
        <v>28</v>
      </c>
      <c r="N1" s="11" t="s">
        <v>29</v>
      </c>
      <c r="O1" s="12" t="s">
        <v>30</v>
      </c>
      <c r="P1" s="32"/>
      <c r="Q1" s="32"/>
      <c r="R1" s="33" t="s">
        <v>31</v>
      </c>
      <c r="S1" s="34" t="str">
        <f>IF(COUNTA($W$29:$W$265)=COUNTIF($W$29:$W$265,"OK"),"OK","Check")</f>
        <v>OK</v>
      </c>
      <c r="T1" s="32"/>
      <c r="U1" s="132" t="s">
        <v>32</v>
      </c>
      <c r="V1" s="34" t="str">
        <f>'Check|List'!$S$1</f>
        <v>Ok</v>
      </c>
      <c r="W1" s="32"/>
    </row>
    <row r="2" spans="1:23" ht="13.5" thickBot="1">
      <c r="A2" s="36"/>
      <c r="B2" s="35"/>
      <c r="C2" s="35" t="str">
        <f>Index!$C$9</f>
        <v>Input | Reported opex</v>
      </c>
      <c r="D2" s="35"/>
      <c r="E2" s="35"/>
      <c r="F2" s="58"/>
      <c r="G2" s="58"/>
      <c r="H2" s="58"/>
      <c r="I2" s="5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>
      <c r="A3" s="90"/>
      <c r="B3" s="90"/>
      <c r="C3" s="90"/>
      <c r="D3" s="91"/>
      <c r="E3" s="91"/>
      <c r="F3" s="91"/>
      <c r="G3" s="91"/>
      <c r="H3" s="91"/>
      <c r="I3" s="91"/>
      <c r="J3" s="112" t="s">
        <v>43</v>
      </c>
      <c r="K3" s="111"/>
      <c r="L3" s="111"/>
      <c r="M3" s="111"/>
      <c r="N3" s="111"/>
      <c r="O3" s="111"/>
      <c r="P3" s="111"/>
      <c r="Q3" s="111"/>
      <c r="R3" s="111"/>
      <c r="S3" s="111"/>
      <c r="T3" s="92"/>
      <c r="U3" s="92"/>
      <c r="V3" s="92"/>
      <c r="W3" s="92"/>
    </row>
    <row r="4" spans="1:23">
      <c r="A4" s="61"/>
      <c r="B4" s="61"/>
      <c r="C4" s="61"/>
      <c r="D4" s="62" t="s">
        <v>35</v>
      </c>
      <c r="E4" s="62" t="s">
        <v>61</v>
      </c>
      <c r="F4" s="63" t="s">
        <v>64</v>
      </c>
      <c r="G4" s="64"/>
      <c r="H4" s="64"/>
      <c r="I4" s="64"/>
      <c r="J4" s="110">
        <f>DATE(PPFirstYear,MONTH('Input|General'!$G$9),1)</f>
        <v>44348</v>
      </c>
      <c r="K4" s="110">
        <f>DATE(PPFirstYear+1,MONTH('Input|General'!$G$9),1)</f>
        <v>44713</v>
      </c>
      <c r="L4" s="110">
        <f>DATE(PPFirstYear+2,MONTH('Input|General'!$G$9),1)</f>
        <v>45078</v>
      </c>
      <c r="M4" s="110">
        <f>DATE(PPFirstYear+3,MONTH('Input|General'!$G$9),1)</f>
        <v>45444</v>
      </c>
      <c r="N4" s="110">
        <f>DATE(PPFirstYear+4,MONTH('Input|General'!$G$9),1)</f>
        <v>45809</v>
      </c>
      <c r="O4" s="110">
        <f>DATE(PPFirstYear+5,MONTH('Input|General'!$G$9),1)</f>
        <v>46174</v>
      </c>
      <c r="P4" s="110">
        <f>DATE(PPFirstYear+6,MONTH('Input|General'!$G$9),1)</f>
        <v>46539</v>
      </c>
      <c r="Q4" s="110">
        <f>DATE(PPFirstYear+7,MONTH('Input|General'!$G$9),1)</f>
        <v>46905</v>
      </c>
      <c r="R4" s="110">
        <f>DATE(PPFirstYear+8,MONTH('Input|General'!$G$9),1)</f>
        <v>47270</v>
      </c>
      <c r="S4" s="110">
        <f>DATE(PPFirstYear+9,MONTH('Input|General'!$G$9),1)</f>
        <v>47635</v>
      </c>
      <c r="T4" s="65"/>
      <c r="U4" s="65"/>
      <c r="V4" s="66"/>
      <c r="W4" s="66"/>
    </row>
    <row r="5" spans="1:23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>
      <c r="A8" s="37"/>
      <c r="B8" s="43" t="s">
        <v>65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</row>
    <row r="9" spans="1:23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8"/>
      <c r="B10" s="8"/>
      <c r="C10" s="9" t="s">
        <v>66</v>
      </c>
      <c r="D10" s="21" t="s">
        <v>35</v>
      </c>
      <c r="E10" s="21" t="s">
        <v>61</v>
      </c>
      <c r="F10" s="21" t="s">
        <v>64</v>
      </c>
      <c r="G10" s="21"/>
      <c r="H10" s="21"/>
      <c r="I10" s="16"/>
      <c r="J10" s="113">
        <f t="shared" ref="J10:S10" si="0">IF(YEAR(J$4)&lt;=PPLastYear,J$4,"")</f>
        <v>44348</v>
      </c>
      <c r="K10" s="113">
        <f t="shared" si="0"/>
        <v>44713</v>
      </c>
      <c r="L10" s="113">
        <f t="shared" si="0"/>
        <v>45078</v>
      </c>
      <c r="M10" s="113">
        <f t="shared" si="0"/>
        <v>45444</v>
      </c>
      <c r="N10" s="113">
        <f t="shared" si="0"/>
        <v>45809</v>
      </c>
      <c r="O10" s="113" t="str">
        <f t="shared" si="0"/>
        <v/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93" t="s">
        <v>67</v>
      </c>
      <c r="U10" s="94"/>
      <c r="V10" s="94"/>
      <c r="W10" s="8"/>
    </row>
    <row r="11" spans="1:23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8"/>
      <c r="B12" s="8"/>
      <c r="C12" s="15"/>
      <c r="D12" s="16"/>
      <c r="E12" s="16"/>
      <c r="F12" s="16"/>
      <c r="G12" s="21"/>
      <c r="H12" s="21"/>
      <c r="I12" s="16"/>
      <c r="J12" s="23"/>
      <c r="K12" s="23"/>
      <c r="L12" s="23"/>
      <c r="M12" s="23"/>
      <c r="N12" s="23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8"/>
      <c r="B13" s="8"/>
      <c r="C13" s="182" t="s">
        <v>68</v>
      </c>
      <c r="D13" s="16" t="s">
        <v>41</v>
      </c>
      <c r="E13" s="16" t="str">
        <f>Units</f>
        <v>$millions</v>
      </c>
      <c r="F13" s="115" cm="1">
        <f t="array" ref="F13">DATE(PPFirstYear-1,MONTH(Month),1)</f>
        <v>43983</v>
      </c>
      <c r="G13" s="21"/>
      <c r="H13" s="21"/>
      <c r="I13" s="16"/>
      <c r="J13" s="117">
        <v>285.65834831072073</v>
      </c>
      <c r="K13" s="117">
        <v>288.78632413197687</v>
      </c>
      <c r="L13" s="117">
        <v>292.13635454941868</v>
      </c>
      <c r="M13" s="117">
        <v>294.67306876870595</v>
      </c>
      <c r="N13" s="117">
        <v>297.06665982025783</v>
      </c>
      <c r="O13" s="106"/>
      <c r="P13" s="106"/>
      <c r="Q13" s="106"/>
      <c r="R13" s="106"/>
      <c r="S13" s="106"/>
      <c r="T13" s="8" t="s">
        <v>69</v>
      </c>
      <c r="U13" s="8"/>
      <c r="V13" s="8"/>
      <c r="W13" s="8"/>
    </row>
    <row r="14" spans="1:23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8"/>
      <c r="B15" s="8"/>
      <c r="C15" s="95" t="s">
        <v>68</v>
      </c>
      <c r="D15" s="96" t="str">
        <f>D13</f>
        <v>AER</v>
      </c>
      <c r="E15" s="144" t="str">
        <f>Units</f>
        <v>$millions</v>
      </c>
      <c r="F15" s="144">
        <f>F13</f>
        <v>43983</v>
      </c>
      <c r="G15" s="21"/>
      <c r="H15" s="21"/>
      <c r="I15" s="16"/>
      <c r="J15" s="87">
        <f>J13</f>
        <v>285.65834831072073</v>
      </c>
      <c r="K15" s="87">
        <f t="shared" ref="K15:S15" si="1">K13</f>
        <v>288.78632413197687</v>
      </c>
      <c r="L15" s="87">
        <f t="shared" si="1"/>
        <v>292.13635454941868</v>
      </c>
      <c r="M15" s="87">
        <f t="shared" si="1"/>
        <v>294.67306876870595</v>
      </c>
      <c r="N15" s="87">
        <f t="shared" si="1"/>
        <v>297.06665982025783</v>
      </c>
      <c r="O15" s="87">
        <f t="shared" si="1"/>
        <v>0</v>
      </c>
      <c r="P15" s="87">
        <f t="shared" si="1"/>
        <v>0</v>
      </c>
      <c r="Q15" s="87">
        <f t="shared" si="1"/>
        <v>0</v>
      </c>
      <c r="R15" s="87">
        <f t="shared" si="1"/>
        <v>0</v>
      </c>
      <c r="S15" s="87">
        <f t="shared" si="1"/>
        <v>0</v>
      </c>
      <c r="T15" s="8"/>
      <c r="U15" s="8"/>
      <c r="V15" s="8"/>
      <c r="W15" s="8"/>
    </row>
    <row r="16" spans="1:23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8"/>
      <c r="P16" s="8"/>
      <c r="Q16" s="8"/>
      <c r="R16" s="8"/>
      <c r="S16" s="8"/>
      <c r="T16" s="8"/>
      <c r="U16" s="8"/>
      <c r="V16" s="8"/>
      <c r="W16" s="8"/>
    </row>
    <row r="17" spans="1:23">
      <c r="A17" s="8"/>
      <c r="B17" s="8"/>
      <c r="C17" s="9" t="s">
        <v>70</v>
      </c>
      <c r="D17" s="16"/>
      <c r="E17" s="16"/>
      <c r="F17" s="16"/>
      <c r="G17" s="21"/>
      <c r="H17" s="21"/>
      <c r="I17" s="16"/>
      <c r="J17" s="23"/>
      <c r="K17" s="23"/>
      <c r="L17" s="23"/>
      <c r="M17" s="23"/>
      <c r="N17" s="23"/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8"/>
      <c r="B18" s="8"/>
      <c r="C18" s="15"/>
      <c r="D18" s="16"/>
      <c r="E18" s="16"/>
      <c r="F18" s="16"/>
      <c r="G18" s="21"/>
      <c r="H18" s="21"/>
      <c r="I18" s="16"/>
      <c r="J18" s="23"/>
      <c r="K18" s="23"/>
      <c r="L18" s="23"/>
      <c r="M18" s="23"/>
      <c r="N18" s="23"/>
      <c r="O18" s="8"/>
      <c r="P18" s="8"/>
      <c r="Q18" s="8"/>
      <c r="R18" s="8"/>
      <c r="S18" s="8"/>
      <c r="T18" s="8"/>
      <c r="U18" s="8"/>
      <c r="V18" s="8"/>
      <c r="W18" s="8"/>
    </row>
    <row r="19" spans="1:23">
      <c r="A19" s="8"/>
      <c r="B19" s="8"/>
      <c r="C19" s="51"/>
      <c r="D19" s="16" t="s">
        <v>41</v>
      </c>
      <c r="E19" s="16" t="str">
        <f t="shared" ref="E19:E27" si="2">Units</f>
        <v>$millions</v>
      </c>
      <c r="F19" s="115">
        <f t="shared" ref="F19:F27" si="3">$F$15</f>
        <v>43983</v>
      </c>
      <c r="G19" s="21"/>
      <c r="H19" s="21"/>
      <c r="I19" s="16"/>
      <c r="J19" s="117"/>
      <c r="K19" s="117"/>
      <c r="L19" s="117"/>
      <c r="M19" s="117"/>
      <c r="N19" s="117"/>
      <c r="O19" s="106"/>
      <c r="P19" s="106"/>
      <c r="Q19" s="106"/>
      <c r="R19" s="106"/>
      <c r="S19" s="106"/>
      <c r="T19" s="8"/>
      <c r="U19" s="8"/>
      <c r="V19" s="8"/>
      <c r="W19" s="8"/>
    </row>
    <row r="20" spans="1:23">
      <c r="A20" s="8"/>
      <c r="B20" s="8"/>
      <c r="C20" s="51"/>
      <c r="D20" s="16" t="s">
        <v>41</v>
      </c>
      <c r="E20" s="16" t="str">
        <f t="shared" si="2"/>
        <v>$millions</v>
      </c>
      <c r="F20" s="115">
        <f t="shared" si="3"/>
        <v>43983</v>
      </c>
      <c r="G20" s="21"/>
      <c r="H20" s="21"/>
      <c r="I20" s="16"/>
      <c r="J20" s="117"/>
      <c r="K20" s="117"/>
      <c r="L20" s="117"/>
      <c r="M20" s="117"/>
      <c r="N20" s="117"/>
      <c r="O20" s="106"/>
      <c r="P20" s="106"/>
      <c r="Q20" s="106"/>
      <c r="R20" s="106"/>
      <c r="S20" s="106"/>
      <c r="T20" s="8"/>
      <c r="U20" s="8"/>
      <c r="V20" s="8"/>
      <c r="W20" s="8"/>
    </row>
    <row r="21" spans="1:23">
      <c r="A21" s="8"/>
      <c r="B21" s="8"/>
      <c r="C21" s="51"/>
      <c r="D21" s="16" t="s">
        <v>41</v>
      </c>
      <c r="E21" s="16" t="str">
        <f t="shared" si="2"/>
        <v>$millions</v>
      </c>
      <c r="F21" s="115">
        <f t="shared" si="3"/>
        <v>43983</v>
      </c>
      <c r="G21" s="21"/>
      <c r="H21" s="21"/>
      <c r="I21" s="16"/>
      <c r="J21" s="117"/>
      <c r="K21" s="117"/>
      <c r="L21" s="117"/>
      <c r="M21" s="117"/>
      <c r="N21" s="117"/>
      <c r="O21" s="106"/>
      <c r="P21" s="106"/>
      <c r="Q21" s="106"/>
      <c r="R21" s="106"/>
      <c r="S21" s="106"/>
      <c r="T21" s="8"/>
      <c r="U21" s="8"/>
      <c r="V21" s="8"/>
      <c r="W21" s="8"/>
    </row>
    <row r="22" spans="1:23">
      <c r="A22" s="8"/>
      <c r="B22" s="8"/>
      <c r="C22" s="51"/>
      <c r="D22" s="16" t="s">
        <v>41</v>
      </c>
      <c r="E22" s="16" t="str">
        <f t="shared" si="2"/>
        <v>$millions</v>
      </c>
      <c r="F22" s="115">
        <f t="shared" si="3"/>
        <v>43983</v>
      </c>
      <c r="G22" s="21"/>
      <c r="H22" s="21"/>
      <c r="I22" s="16"/>
      <c r="J22" s="117"/>
      <c r="K22" s="117"/>
      <c r="L22" s="117"/>
      <c r="M22" s="117"/>
      <c r="N22" s="117"/>
      <c r="O22" s="106"/>
      <c r="P22" s="106"/>
      <c r="Q22" s="106"/>
      <c r="R22" s="106"/>
      <c r="S22" s="106"/>
      <c r="T22" s="8"/>
      <c r="U22" s="8"/>
      <c r="V22" s="8"/>
      <c r="W22" s="8"/>
    </row>
    <row r="23" spans="1:23">
      <c r="A23" s="8"/>
      <c r="B23" s="8"/>
      <c r="C23" s="51"/>
      <c r="D23" s="16" t="s">
        <v>41</v>
      </c>
      <c r="E23" s="16" t="str">
        <f t="shared" si="2"/>
        <v>$millions</v>
      </c>
      <c r="F23" s="115">
        <f t="shared" si="3"/>
        <v>43983</v>
      </c>
      <c r="G23" s="21"/>
      <c r="H23" s="21"/>
      <c r="I23" s="16"/>
      <c r="J23" s="117"/>
      <c r="K23" s="117"/>
      <c r="L23" s="117"/>
      <c r="M23" s="117"/>
      <c r="N23" s="117"/>
      <c r="O23" s="106"/>
      <c r="P23" s="106"/>
      <c r="Q23" s="106"/>
      <c r="R23" s="106"/>
      <c r="S23" s="106"/>
      <c r="T23" s="8"/>
      <c r="U23" s="8"/>
      <c r="V23" s="8"/>
      <c r="W23" s="8"/>
    </row>
    <row r="24" spans="1:23">
      <c r="A24" s="8"/>
      <c r="B24" s="8"/>
      <c r="C24" s="51"/>
      <c r="D24" s="16" t="s">
        <v>41</v>
      </c>
      <c r="E24" s="16" t="str">
        <f t="shared" si="2"/>
        <v>$millions</v>
      </c>
      <c r="F24" s="115">
        <f t="shared" si="3"/>
        <v>43983</v>
      </c>
      <c r="G24" s="21"/>
      <c r="H24" s="21"/>
      <c r="I24" s="16"/>
      <c r="J24" s="117"/>
      <c r="K24" s="117"/>
      <c r="L24" s="117"/>
      <c r="M24" s="117"/>
      <c r="N24" s="117"/>
      <c r="O24" s="106"/>
      <c r="P24" s="106"/>
      <c r="Q24" s="106"/>
      <c r="R24" s="106"/>
      <c r="S24" s="106"/>
      <c r="T24" s="8"/>
      <c r="U24" s="8"/>
      <c r="V24" s="8"/>
      <c r="W24" s="8"/>
    </row>
    <row r="25" spans="1:23">
      <c r="A25" s="8"/>
      <c r="B25" s="8"/>
      <c r="C25" s="51"/>
      <c r="D25" s="16" t="s">
        <v>41</v>
      </c>
      <c r="E25" s="16" t="str">
        <f t="shared" si="2"/>
        <v>$millions</v>
      </c>
      <c r="F25" s="115">
        <f t="shared" si="3"/>
        <v>43983</v>
      </c>
      <c r="G25" s="21"/>
      <c r="H25" s="21"/>
      <c r="I25" s="16"/>
      <c r="J25" s="117"/>
      <c r="K25" s="117"/>
      <c r="L25" s="117"/>
      <c r="M25" s="117"/>
      <c r="N25" s="117"/>
      <c r="O25" s="106"/>
      <c r="P25" s="106"/>
      <c r="Q25" s="106"/>
      <c r="R25" s="106"/>
      <c r="S25" s="106"/>
      <c r="T25" s="8"/>
      <c r="U25" s="8"/>
      <c r="V25" s="8"/>
      <c r="W25" s="8"/>
    </row>
    <row r="26" spans="1:23">
      <c r="A26" s="8"/>
      <c r="B26" s="8"/>
      <c r="C26" s="51"/>
      <c r="D26" s="16" t="s">
        <v>41</v>
      </c>
      <c r="E26" s="16" t="str">
        <f t="shared" si="2"/>
        <v>$millions</v>
      </c>
      <c r="F26" s="115">
        <f t="shared" si="3"/>
        <v>43983</v>
      </c>
      <c r="G26" s="21"/>
      <c r="H26" s="21"/>
      <c r="I26" s="16"/>
      <c r="J26" s="117"/>
      <c r="K26" s="117"/>
      <c r="L26" s="117"/>
      <c r="M26" s="117"/>
      <c r="N26" s="117"/>
      <c r="O26" s="106"/>
      <c r="P26" s="106"/>
      <c r="Q26" s="106"/>
      <c r="R26" s="106"/>
      <c r="S26" s="106"/>
      <c r="T26" s="8"/>
      <c r="U26" s="8"/>
      <c r="V26" s="8"/>
      <c r="W26" s="8"/>
    </row>
    <row r="27" spans="1:23">
      <c r="A27" s="8"/>
      <c r="B27" s="8"/>
      <c r="C27" s="51"/>
      <c r="D27" s="16" t="s">
        <v>41</v>
      </c>
      <c r="E27" s="16" t="str">
        <f t="shared" si="2"/>
        <v>$millions</v>
      </c>
      <c r="F27" s="115">
        <f t="shared" si="3"/>
        <v>43983</v>
      </c>
      <c r="G27" s="21"/>
      <c r="H27" s="21"/>
      <c r="I27" s="16"/>
      <c r="J27" s="117"/>
      <c r="K27" s="117"/>
      <c r="L27" s="117"/>
      <c r="M27" s="117"/>
      <c r="N27" s="117"/>
      <c r="O27" s="106"/>
      <c r="P27" s="106"/>
      <c r="Q27" s="106"/>
      <c r="R27" s="106"/>
      <c r="S27" s="106"/>
      <c r="T27" s="8"/>
      <c r="U27" s="8"/>
      <c r="V27" s="8"/>
      <c r="W27" s="8"/>
    </row>
    <row r="28" spans="1:23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8"/>
      <c r="U28" s="8"/>
      <c r="V28" s="8"/>
      <c r="W28" s="8"/>
    </row>
    <row r="29" spans="1:23">
      <c r="A29" s="8"/>
      <c r="B29" s="8"/>
      <c r="C29" s="95" t="s">
        <v>71</v>
      </c>
      <c r="D29" s="96" t="s">
        <v>59</v>
      </c>
      <c r="E29" s="144" t="str">
        <f>Units</f>
        <v>$millions</v>
      </c>
      <c r="F29" s="144">
        <f>F13</f>
        <v>43983</v>
      </c>
      <c r="G29" s="21"/>
      <c r="H29" s="21"/>
      <c r="I29" s="16"/>
      <c r="J29" s="87">
        <f>SUM(J19:J27)</f>
        <v>0</v>
      </c>
      <c r="K29" s="87">
        <f t="shared" ref="K29:S29" si="4">SUM(K19:K27)</f>
        <v>0</v>
      </c>
      <c r="L29" s="87">
        <f t="shared" si="4"/>
        <v>0</v>
      </c>
      <c r="M29" s="87">
        <f t="shared" si="4"/>
        <v>0</v>
      </c>
      <c r="N29" s="87">
        <f t="shared" si="4"/>
        <v>0</v>
      </c>
      <c r="O29" s="87">
        <f t="shared" si="4"/>
        <v>0</v>
      </c>
      <c r="P29" s="87">
        <f t="shared" si="4"/>
        <v>0</v>
      </c>
      <c r="Q29" s="87">
        <f t="shared" si="4"/>
        <v>0</v>
      </c>
      <c r="R29" s="87">
        <f t="shared" si="4"/>
        <v>0</v>
      </c>
      <c r="S29" s="87">
        <f t="shared" si="4"/>
        <v>0</v>
      </c>
      <c r="T29" s="8"/>
      <c r="U29" s="8"/>
      <c r="V29" s="8"/>
      <c r="W29" s="8" t="str">
        <f>IF(COUNTIF(J19:S27,"&lt;0")&gt;0,"Check","Ok")</f>
        <v>Ok</v>
      </c>
    </row>
    <row r="30" spans="1:23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12.75">
      <c r="A31" s="37"/>
      <c r="B31" s="43" t="s">
        <v>9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  <c r="W31" s="40"/>
    </row>
    <row r="32" spans="1:23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>
      <c r="A33" s="8"/>
      <c r="B33" s="8"/>
      <c r="C33" s="8"/>
      <c r="D33" s="16"/>
      <c r="E33" s="16"/>
      <c r="F33" s="16"/>
      <c r="G33" s="16"/>
      <c r="H33" s="16"/>
      <c r="I33" s="16"/>
      <c r="J33" s="117" t="s">
        <v>72</v>
      </c>
      <c r="K33" s="117" t="s">
        <v>72</v>
      </c>
      <c r="L33" s="117" t="s">
        <v>72</v>
      </c>
      <c r="M33" s="117" t="s">
        <v>73</v>
      </c>
      <c r="N33" s="117" t="s">
        <v>73</v>
      </c>
      <c r="O33" s="117"/>
      <c r="P33" s="117"/>
      <c r="Q33" s="117"/>
      <c r="R33" s="117"/>
      <c r="S33" s="117"/>
      <c r="T33" s="8"/>
      <c r="U33" s="8"/>
      <c r="V33" s="8"/>
      <c r="W33" s="8"/>
    </row>
    <row r="34" spans="1:23">
      <c r="A34" s="8"/>
      <c r="B34" s="8"/>
      <c r="C34" s="9" t="s">
        <v>66</v>
      </c>
      <c r="D34" s="21" t="s">
        <v>35</v>
      </c>
      <c r="E34" s="21" t="s">
        <v>61</v>
      </c>
      <c r="F34" s="21" t="s">
        <v>64</v>
      </c>
      <c r="G34" s="21"/>
      <c r="H34" s="21"/>
      <c r="I34" s="21"/>
      <c r="J34" s="113">
        <f t="shared" ref="J34:S34" si="5">IF(YEAR(J$4)&lt;=PPLastYear,J$4,"")</f>
        <v>44348</v>
      </c>
      <c r="K34" s="113">
        <f t="shared" si="5"/>
        <v>44713</v>
      </c>
      <c r="L34" s="113">
        <f t="shared" si="5"/>
        <v>45078</v>
      </c>
      <c r="M34" s="113">
        <f t="shared" si="5"/>
        <v>45444</v>
      </c>
      <c r="N34" s="113">
        <f t="shared" si="5"/>
        <v>45809</v>
      </c>
      <c r="O34" s="113" t="str">
        <f t="shared" si="5"/>
        <v/>
      </c>
      <c r="P34" s="113" t="str">
        <f t="shared" si="5"/>
        <v/>
      </c>
      <c r="Q34" s="113" t="str">
        <f t="shared" si="5"/>
        <v/>
      </c>
      <c r="R34" s="113" t="str">
        <f t="shared" si="5"/>
        <v/>
      </c>
      <c r="S34" s="113" t="str">
        <f t="shared" si="5"/>
        <v/>
      </c>
      <c r="T34" s="93" t="s">
        <v>67</v>
      </c>
      <c r="U34" s="94"/>
      <c r="V34" s="94"/>
      <c r="W34" s="8"/>
    </row>
    <row r="35" spans="1:23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>
      <c r="A37" s="8"/>
      <c r="B37" s="8"/>
      <c r="C37" s="182" t="s">
        <v>68</v>
      </c>
      <c r="D37" s="16" t="s">
        <v>74</v>
      </c>
      <c r="E37" s="16" t="str">
        <f>Units</f>
        <v>$millions</v>
      </c>
      <c r="F37" s="115" t="s">
        <v>75</v>
      </c>
      <c r="G37" s="21"/>
      <c r="H37" s="21"/>
      <c r="I37" s="16"/>
      <c r="J37" s="117">
        <v>249.30102595</v>
      </c>
      <c r="K37" s="117">
        <v>272.05039130555843</v>
      </c>
      <c r="L37" s="191">
        <v>327.36209103392196</v>
      </c>
      <c r="M37" s="191">
        <v>322.32697688000002</v>
      </c>
      <c r="N37" s="191">
        <v>343.30192413095591</v>
      </c>
      <c r="O37" s="106"/>
      <c r="P37" s="106"/>
      <c r="Q37" s="106"/>
      <c r="R37" s="106"/>
      <c r="S37" s="106"/>
      <c r="T37" s="8" t="s">
        <v>69</v>
      </c>
      <c r="U37" s="8"/>
      <c r="V37" s="8"/>
      <c r="W37" s="8"/>
    </row>
    <row r="38" spans="1:23">
      <c r="A38" s="8"/>
      <c r="B38" s="8"/>
      <c r="C38" s="15"/>
      <c r="D38" s="16"/>
      <c r="E38" s="16"/>
      <c r="F38" s="115"/>
      <c r="G38" s="21"/>
      <c r="H38" s="21"/>
      <c r="I38" s="16"/>
      <c r="J38" s="117"/>
      <c r="K38" s="117"/>
      <c r="L38" s="117"/>
      <c r="M38" s="117"/>
      <c r="N38" s="117"/>
      <c r="O38" s="106"/>
      <c r="P38" s="106"/>
      <c r="Q38" s="106"/>
      <c r="R38" s="106"/>
      <c r="S38" s="106"/>
      <c r="T38" s="8"/>
      <c r="U38" s="8"/>
      <c r="V38" s="8"/>
      <c r="W38" s="8"/>
    </row>
    <row r="39" spans="1:23">
      <c r="A39" s="8"/>
      <c r="B39" s="8"/>
      <c r="C39" s="9" t="s">
        <v>76</v>
      </c>
      <c r="D39" s="16"/>
      <c r="E39" s="16"/>
      <c r="F39" s="115"/>
      <c r="G39" s="21"/>
      <c r="H39" s="21"/>
      <c r="I39" s="16"/>
      <c r="J39" s="117"/>
      <c r="K39" s="117"/>
      <c r="L39" s="117"/>
      <c r="M39" s="117"/>
      <c r="N39" s="117"/>
      <c r="O39" s="106"/>
      <c r="P39" s="106"/>
      <c r="Q39" s="106"/>
      <c r="R39" s="106"/>
      <c r="S39" s="106"/>
      <c r="T39" s="8"/>
      <c r="U39" s="8"/>
      <c r="V39" s="8"/>
      <c r="W39" s="8"/>
    </row>
    <row r="40" spans="1:23">
      <c r="A40" s="8"/>
      <c r="B40" s="8"/>
      <c r="C40" s="9"/>
      <c r="D40" s="16"/>
      <c r="E40" s="16"/>
      <c r="F40" s="115"/>
      <c r="G40" s="21"/>
      <c r="H40" s="21"/>
      <c r="I40" s="16"/>
      <c r="J40" s="117"/>
      <c r="K40" s="117"/>
      <c r="L40" s="117"/>
      <c r="M40" s="117"/>
      <c r="N40" s="117"/>
      <c r="O40" s="106"/>
      <c r="P40" s="106"/>
      <c r="Q40" s="106"/>
      <c r="R40" s="106"/>
      <c r="S40" s="106"/>
      <c r="T40" s="8"/>
      <c r="U40" s="8"/>
      <c r="V40" s="8"/>
      <c r="W40" s="8"/>
    </row>
    <row r="41" spans="1:23">
      <c r="A41" s="8"/>
      <c r="B41" s="8"/>
      <c r="C41" s="51" t="s">
        <v>77</v>
      </c>
      <c r="D41" s="16" t="s">
        <v>74</v>
      </c>
      <c r="E41" s="16" t="str">
        <f>Units</f>
        <v>$millions</v>
      </c>
      <c r="F41" s="115" t="s">
        <v>75</v>
      </c>
      <c r="G41" s="21"/>
      <c r="H41" s="21"/>
      <c r="I41" s="16"/>
      <c r="J41" s="117">
        <v>-4.14894950289702</v>
      </c>
      <c r="K41" s="117">
        <v>-10.784454644262601</v>
      </c>
      <c r="L41" s="117">
        <v>2.0184980000000001</v>
      </c>
      <c r="M41" s="117"/>
      <c r="N41" s="117"/>
      <c r="O41" s="106"/>
      <c r="P41" s="106"/>
      <c r="Q41" s="106"/>
      <c r="R41" s="106"/>
      <c r="S41" s="106"/>
      <c r="T41" s="8"/>
      <c r="U41" s="8"/>
      <c r="V41" s="8"/>
      <c r="W41" s="8"/>
    </row>
    <row r="42" spans="1:23">
      <c r="A42" s="8"/>
      <c r="B42" s="8"/>
      <c r="C42" s="51"/>
      <c r="D42" s="16" t="s">
        <v>74</v>
      </c>
      <c r="E42" s="16" t="str">
        <f>Units</f>
        <v>$millions</v>
      </c>
      <c r="F42" s="115" t="s">
        <v>75</v>
      </c>
      <c r="G42" s="21"/>
      <c r="H42" s="21"/>
      <c r="I42" s="16"/>
      <c r="J42" s="117"/>
      <c r="K42" s="117"/>
      <c r="L42" s="117"/>
      <c r="M42" s="117"/>
      <c r="N42" s="117"/>
      <c r="O42" s="106"/>
      <c r="P42" s="106"/>
      <c r="Q42" s="106"/>
      <c r="R42" s="106"/>
      <c r="S42" s="106"/>
      <c r="T42" s="8"/>
      <c r="U42" s="8"/>
      <c r="V42" s="8"/>
      <c r="W42" s="8"/>
    </row>
    <row r="43" spans="1:23">
      <c r="A43" s="8"/>
      <c r="B43" s="8"/>
      <c r="C43" s="51"/>
      <c r="D43" s="16" t="s">
        <v>74</v>
      </c>
      <c r="E43" s="16" t="str">
        <f>Units</f>
        <v>$millions</v>
      </c>
      <c r="F43" s="115" t="s">
        <v>75</v>
      </c>
      <c r="G43" s="21"/>
      <c r="H43" s="21"/>
      <c r="I43" s="16"/>
      <c r="J43" s="117"/>
      <c r="K43" s="117"/>
      <c r="L43" s="117"/>
      <c r="M43" s="117"/>
      <c r="N43" s="117"/>
      <c r="O43" s="106"/>
      <c r="P43" s="106"/>
      <c r="Q43" s="106"/>
      <c r="R43" s="106"/>
      <c r="S43" s="106"/>
      <c r="T43" s="8"/>
      <c r="U43" s="8"/>
      <c r="V43" s="8"/>
      <c r="W43" s="8"/>
    </row>
    <row r="44" spans="1:23">
      <c r="A44" s="8"/>
      <c r="B44" s="8"/>
      <c r="C44" s="51"/>
      <c r="D44" s="16" t="s">
        <v>74</v>
      </c>
      <c r="E44" s="16" t="str">
        <f>Units</f>
        <v>$millions</v>
      </c>
      <c r="F44" s="115" t="s">
        <v>75</v>
      </c>
      <c r="G44" s="21"/>
      <c r="H44" s="21"/>
      <c r="I44" s="16"/>
      <c r="J44" s="117"/>
      <c r="K44" s="117"/>
      <c r="L44" s="117"/>
      <c r="M44" s="117"/>
      <c r="N44" s="117"/>
      <c r="O44" s="106"/>
      <c r="P44" s="106"/>
      <c r="Q44" s="106"/>
      <c r="R44" s="106"/>
      <c r="S44" s="106"/>
      <c r="T44" s="8"/>
      <c r="U44" s="8"/>
      <c r="V44" s="8"/>
      <c r="W44" s="8"/>
    </row>
    <row r="45" spans="1:23">
      <c r="A45" s="8"/>
      <c r="B45" s="8"/>
      <c r="C45" s="51"/>
      <c r="D45" s="16" t="s">
        <v>74</v>
      </c>
      <c r="E45" s="16" t="str">
        <f>Units</f>
        <v>$millions</v>
      </c>
      <c r="F45" s="115" t="s">
        <v>75</v>
      </c>
      <c r="G45" s="21"/>
      <c r="H45" s="21"/>
      <c r="I45" s="16"/>
      <c r="J45" s="117"/>
      <c r="K45" s="117"/>
      <c r="L45" s="117"/>
      <c r="M45" s="117"/>
      <c r="N45" s="117"/>
      <c r="O45" s="106"/>
      <c r="P45" s="106"/>
      <c r="Q45" s="106"/>
      <c r="R45" s="106"/>
      <c r="S45" s="106"/>
      <c r="T45" s="8"/>
      <c r="U45" s="8"/>
      <c r="V45" s="8"/>
      <c r="W45" s="8"/>
    </row>
    <row r="46" spans="1:23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7"/>
      <c r="O46" s="8"/>
      <c r="P46" s="8"/>
      <c r="Q46" s="8"/>
      <c r="R46" s="8"/>
      <c r="S46" s="8"/>
      <c r="T46" s="8"/>
      <c r="U46" s="8"/>
      <c r="V46" s="8"/>
      <c r="W46" s="8"/>
    </row>
    <row r="47" spans="1:23">
      <c r="A47" s="8"/>
      <c r="B47" s="8"/>
      <c r="C47" s="95" t="s">
        <v>78</v>
      </c>
      <c r="D47" s="96" t="s">
        <v>59</v>
      </c>
      <c r="E47" s="181" t="str">
        <f>Units</f>
        <v>$millions</v>
      </c>
      <c r="F47" s="135" t="s">
        <v>75</v>
      </c>
      <c r="G47" s="21"/>
      <c r="H47" s="21"/>
      <c r="I47" s="16"/>
      <c r="J47" s="87">
        <f>J37-SUM(J41:J45)</f>
        <v>253.44997545289701</v>
      </c>
      <c r="K47" s="87">
        <f t="shared" ref="K47:S47" si="6">K37-SUM(K41:K45)</f>
        <v>282.83484594982104</v>
      </c>
      <c r="L47" s="87">
        <f t="shared" si="6"/>
        <v>325.34359303392193</v>
      </c>
      <c r="M47" s="87">
        <f t="shared" si="6"/>
        <v>322.32697688000002</v>
      </c>
      <c r="N47" s="87">
        <f t="shared" si="6"/>
        <v>343.30192413095591</v>
      </c>
      <c r="O47" s="87">
        <f t="shared" si="6"/>
        <v>0</v>
      </c>
      <c r="P47" s="87">
        <f t="shared" si="6"/>
        <v>0</v>
      </c>
      <c r="Q47" s="87">
        <f t="shared" si="6"/>
        <v>0</v>
      </c>
      <c r="R47" s="87">
        <f t="shared" si="6"/>
        <v>0</v>
      </c>
      <c r="S47" s="87">
        <f t="shared" si="6"/>
        <v>0</v>
      </c>
      <c r="T47" s="8"/>
      <c r="U47" s="8"/>
      <c r="V47" s="8"/>
      <c r="W47" s="8"/>
    </row>
    <row r="48" spans="1:23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>
      <c r="A49" s="8"/>
      <c r="B49" s="8"/>
      <c r="C49" s="9" t="s">
        <v>79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>
      <c r="A51" s="8"/>
      <c r="B51" s="8"/>
      <c r="C51" s="51"/>
      <c r="D51" s="16" t="s">
        <v>74</v>
      </c>
      <c r="E51" s="16" t="str">
        <f>Units</f>
        <v>$millions</v>
      </c>
      <c r="F51" s="115" t="s">
        <v>75</v>
      </c>
      <c r="G51" s="21"/>
      <c r="H51" s="21"/>
      <c r="I51" s="16"/>
      <c r="J51" s="117"/>
      <c r="K51" s="117"/>
      <c r="L51" s="117"/>
      <c r="M51" s="117"/>
      <c r="N51" s="117"/>
      <c r="O51" s="106"/>
      <c r="P51" s="106"/>
      <c r="Q51" s="106"/>
      <c r="R51" s="106"/>
      <c r="S51" s="106"/>
      <c r="T51" s="8"/>
      <c r="U51" s="8"/>
      <c r="V51" s="8"/>
      <c r="W51" s="8"/>
    </row>
    <row r="52" spans="1:23">
      <c r="A52" s="8"/>
      <c r="B52" s="8"/>
      <c r="C52" s="51"/>
      <c r="D52" s="16" t="s">
        <v>74</v>
      </c>
      <c r="E52" s="16" t="str">
        <f>Units</f>
        <v>$millions</v>
      </c>
      <c r="F52" s="115" t="s">
        <v>75</v>
      </c>
      <c r="G52" s="21"/>
      <c r="H52" s="21"/>
      <c r="I52" s="16"/>
      <c r="J52" s="117"/>
      <c r="K52" s="117"/>
      <c r="L52" s="117"/>
      <c r="M52" s="117"/>
      <c r="N52" s="117"/>
      <c r="O52" s="106"/>
      <c r="P52" s="106"/>
      <c r="Q52" s="106"/>
      <c r="R52" s="106"/>
      <c r="S52" s="106"/>
      <c r="T52" s="8"/>
      <c r="U52" s="8"/>
      <c r="V52" s="8"/>
      <c r="W52" s="8"/>
    </row>
    <row r="53" spans="1:23">
      <c r="A53" s="8"/>
      <c r="B53" s="8"/>
      <c r="C53" s="51"/>
      <c r="D53" s="16" t="s">
        <v>74</v>
      </c>
      <c r="E53" s="16" t="str">
        <f>Units</f>
        <v>$millions</v>
      </c>
      <c r="F53" s="115" t="s">
        <v>75</v>
      </c>
      <c r="G53" s="21"/>
      <c r="H53" s="21"/>
      <c r="I53" s="16"/>
      <c r="J53" s="117"/>
      <c r="K53" s="117"/>
      <c r="L53" s="117"/>
      <c r="M53" s="117"/>
      <c r="N53" s="117"/>
      <c r="O53" s="106"/>
      <c r="P53" s="106"/>
      <c r="Q53" s="106"/>
      <c r="R53" s="106"/>
      <c r="S53" s="106"/>
      <c r="T53" s="8"/>
      <c r="U53" s="8"/>
      <c r="V53" s="8"/>
      <c r="W53" s="8"/>
    </row>
    <row r="54" spans="1:23">
      <c r="A54" s="8"/>
      <c r="B54" s="8"/>
      <c r="C54" s="51"/>
      <c r="D54" s="16" t="s">
        <v>74</v>
      </c>
      <c r="E54" s="16" t="str">
        <f>Units</f>
        <v>$millions</v>
      </c>
      <c r="F54" s="115" t="s">
        <v>75</v>
      </c>
      <c r="G54" s="21"/>
      <c r="H54" s="21"/>
      <c r="I54" s="16"/>
      <c r="J54" s="117"/>
      <c r="K54" s="117"/>
      <c r="L54" s="117"/>
      <c r="M54" s="117"/>
      <c r="N54" s="117"/>
      <c r="O54" s="106"/>
      <c r="P54" s="106"/>
      <c r="Q54" s="106"/>
      <c r="R54" s="106"/>
      <c r="S54" s="106"/>
      <c r="T54" s="8"/>
      <c r="U54" s="8"/>
      <c r="V54" s="8"/>
      <c r="W54" s="8"/>
    </row>
    <row r="55" spans="1:23">
      <c r="A55" s="8"/>
      <c r="B55" s="8"/>
      <c r="C55" s="15"/>
      <c r="D55" s="16"/>
      <c r="E55" s="16"/>
      <c r="F55" s="16"/>
      <c r="G55" s="21"/>
      <c r="H55" s="21"/>
      <c r="I55" s="16"/>
      <c r="J55" s="8"/>
      <c r="K55" s="8"/>
      <c r="L55" s="8"/>
      <c r="M55" s="8"/>
      <c r="N55" s="97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8"/>
      <c r="B56" s="8"/>
      <c r="C56" s="95" t="s">
        <v>71</v>
      </c>
      <c r="D56" s="96" t="s">
        <v>59</v>
      </c>
      <c r="E56" s="135" t="str">
        <f>Units</f>
        <v>$millions</v>
      </c>
      <c r="F56" s="135" t="s">
        <v>75</v>
      </c>
      <c r="G56" s="21"/>
      <c r="H56" s="21"/>
      <c r="I56" s="16"/>
      <c r="J56" s="131">
        <f>SUM(J51:J54)</f>
        <v>0</v>
      </c>
      <c r="K56" s="131">
        <f t="shared" ref="K56:S56" si="7">SUM(K51:K54)</f>
        <v>0</v>
      </c>
      <c r="L56" s="131">
        <f t="shared" si="7"/>
        <v>0</v>
      </c>
      <c r="M56" s="131">
        <f t="shared" si="7"/>
        <v>0</v>
      </c>
      <c r="N56" s="131">
        <f t="shared" si="7"/>
        <v>0</v>
      </c>
      <c r="O56" s="131">
        <f t="shared" si="7"/>
        <v>0</v>
      </c>
      <c r="P56" s="131">
        <f t="shared" si="7"/>
        <v>0</v>
      </c>
      <c r="Q56" s="131">
        <f t="shared" si="7"/>
        <v>0</v>
      </c>
      <c r="R56" s="131">
        <f t="shared" si="7"/>
        <v>0</v>
      </c>
      <c r="S56" s="131">
        <f t="shared" si="7"/>
        <v>0</v>
      </c>
      <c r="T56" s="8"/>
      <c r="U56" s="8"/>
      <c r="V56" s="8"/>
      <c r="W56" s="8" t="str">
        <f>IF(COUNTIF(J51:S54,"&lt;0")&gt;0,"Check","Ok")</f>
        <v>Ok</v>
      </c>
    </row>
    <row r="57" spans="1:23">
      <c r="A57" s="8"/>
      <c r="B57" s="8"/>
      <c r="C57" s="8"/>
      <c r="D57" s="16"/>
      <c r="E57" s="16"/>
      <c r="F57" s="16"/>
      <c r="G57" s="21"/>
      <c r="H57" s="21"/>
      <c r="I57" s="16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2.75">
      <c r="A58" s="37"/>
      <c r="B58" s="43" t="s">
        <v>80</v>
      </c>
      <c r="C58" s="37"/>
      <c r="D58" s="37"/>
      <c r="E58" s="37"/>
      <c r="F58" s="38"/>
      <c r="G58" s="38"/>
      <c r="H58" s="38"/>
      <c r="I58" s="38"/>
      <c r="J58" s="39"/>
      <c r="K58" s="40"/>
      <c r="L58" s="39"/>
      <c r="M58" s="40"/>
      <c r="N58" s="39"/>
      <c r="O58" s="39"/>
      <c r="P58" s="39"/>
      <c r="Q58" s="39"/>
      <c r="R58" s="39"/>
      <c r="S58" s="39"/>
      <c r="T58" s="39"/>
      <c r="U58" s="39"/>
      <c r="V58" s="40"/>
      <c r="W58" s="40"/>
    </row>
    <row r="59" spans="1:23">
      <c r="A59" s="8"/>
      <c r="B59" s="8"/>
      <c r="C59" s="8"/>
      <c r="D59" s="16"/>
      <c r="E59" s="16"/>
      <c r="F59" s="16"/>
      <c r="G59" s="16"/>
      <c r="H59" s="16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>
      <c r="A60" s="8"/>
      <c r="B60" s="8"/>
      <c r="C60" s="9" t="s">
        <v>81</v>
      </c>
      <c r="D60" s="21" t="s">
        <v>35</v>
      </c>
      <c r="E60" s="21" t="s">
        <v>61</v>
      </c>
      <c r="F60" s="21" t="s">
        <v>64</v>
      </c>
      <c r="G60" s="21"/>
      <c r="H60" s="21"/>
      <c r="I60" s="21"/>
      <c r="J60" s="113" t="str">
        <f t="shared" ref="J60:S60" si="8">IF(YEAR(J$4)=PPLastYear,J$4,"")</f>
        <v/>
      </c>
      <c r="K60" s="113" t="str">
        <f t="shared" si="8"/>
        <v/>
      </c>
      <c r="L60" s="113" t="str">
        <f t="shared" si="8"/>
        <v/>
      </c>
      <c r="M60" s="113" t="str">
        <f t="shared" si="8"/>
        <v/>
      </c>
      <c r="N60" s="113">
        <f t="shared" si="8"/>
        <v>45809</v>
      </c>
      <c r="O60" s="113" t="str">
        <f t="shared" si="8"/>
        <v/>
      </c>
      <c r="P60" s="113" t="str">
        <f t="shared" si="8"/>
        <v/>
      </c>
      <c r="Q60" s="113" t="str">
        <f t="shared" si="8"/>
        <v/>
      </c>
      <c r="R60" s="113" t="str">
        <f t="shared" si="8"/>
        <v/>
      </c>
      <c r="S60" s="113" t="str">
        <f t="shared" si="8"/>
        <v/>
      </c>
      <c r="T60" s="8"/>
      <c r="U60" s="8"/>
      <c r="V60" s="8"/>
      <c r="W60" s="8"/>
    </row>
    <row r="61" spans="1:23">
      <c r="A61" s="8"/>
      <c r="B61" s="8"/>
      <c r="C61" s="9"/>
      <c r="D61" s="21"/>
      <c r="E61" s="21"/>
      <c r="F61" s="21"/>
      <c r="G61" s="21"/>
      <c r="H61" s="21"/>
      <c r="I61" s="21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8"/>
      <c r="U61" s="8"/>
      <c r="V61" s="8"/>
      <c r="W61" s="8"/>
    </row>
    <row r="62" spans="1:23">
      <c r="A62" s="8"/>
      <c r="B62" s="8"/>
      <c r="C62" s="51" t="s">
        <v>82</v>
      </c>
      <c r="D62" s="16" t="s">
        <v>83</v>
      </c>
      <c r="E62" s="16" t="str">
        <f>Units</f>
        <v>$millions</v>
      </c>
      <c r="F62" s="142">
        <v>44713</v>
      </c>
      <c r="G62" s="21"/>
      <c r="H62" s="21"/>
      <c r="I62" s="21"/>
      <c r="J62" s="117"/>
      <c r="K62" s="117"/>
      <c r="L62" s="117"/>
      <c r="M62" s="117"/>
      <c r="N62" s="191">
        <f>'Info|Source data'!F40</f>
        <v>14.95858710380702</v>
      </c>
      <c r="O62" s="117"/>
      <c r="P62" s="117"/>
      <c r="Q62" s="117"/>
      <c r="R62" s="117"/>
      <c r="S62" s="117"/>
      <c r="T62" s="8"/>
      <c r="U62" s="8"/>
      <c r="V62" s="8"/>
      <c r="W62" s="8"/>
    </row>
    <row r="63" spans="1:23">
      <c r="A63" s="8"/>
      <c r="B63" s="8"/>
      <c r="C63" s="51"/>
      <c r="D63" s="16" t="s">
        <v>83</v>
      </c>
      <c r="E63" s="16" t="str">
        <f>Units</f>
        <v>$millions</v>
      </c>
      <c r="F63" s="142">
        <f>DATE(PPLastYear,MONTH(Month),1)</f>
        <v>45809</v>
      </c>
      <c r="G63" s="21"/>
      <c r="H63" s="21"/>
      <c r="I63" s="21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9"/>
      <c r="U63" s="8"/>
      <c r="V63" s="8"/>
      <c r="W63" s="8"/>
    </row>
    <row r="64" spans="1:23">
      <c r="A64" s="8"/>
      <c r="B64" s="8"/>
      <c r="C64" s="51"/>
      <c r="D64" s="16" t="s">
        <v>83</v>
      </c>
      <c r="E64" s="16" t="str">
        <f>Units</f>
        <v>$millions</v>
      </c>
      <c r="F64" s="142">
        <f>DATE(PPLastYear,MONTH(Month),1)</f>
        <v>45809</v>
      </c>
      <c r="G64" s="21"/>
      <c r="H64" s="21"/>
      <c r="I64" s="2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9"/>
      <c r="U64" s="8"/>
      <c r="V64" s="8"/>
      <c r="W64" s="8"/>
    </row>
    <row r="65" spans="1:23">
      <c r="A65" s="8"/>
      <c r="B65" s="8"/>
      <c r="C65" s="51"/>
      <c r="D65" s="16" t="s">
        <v>83</v>
      </c>
      <c r="E65" s="16" t="str">
        <f>Units</f>
        <v>$millions</v>
      </c>
      <c r="F65" s="142">
        <f>DATE(PPLastYear,MONTH(Month),1)</f>
        <v>45809</v>
      </c>
      <c r="G65" s="21"/>
      <c r="H65" s="21"/>
      <c r="I65" s="21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9"/>
      <c r="U65" s="8"/>
      <c r="V65" s="8"/>
      <c r="W65" s="8"/>
    </row>
    <row r="66" spans="1:23">
      <c r="A66" s="8"/>
      <c r="B66" s="8"/>
      <c r="C66" s="51"/>
      <c r="D66" s="16" t="s">
        <v>83</v>
      </c>
      <c r="E66" s="16" t="str">
        <f>Units</f>
        <v>$millions</v>
      </c>
      <c r="F66" s="142">
        <f>DATE(PPLastYear,MONTH(Month),1)</f>
        <v>45809</v>
      </c>
      <c r="G66" s="21"/>
      <c r="H66" s="21"/>
      <c r="I66" s="2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9"/>
      <c r="U66" s="8"/>
      <c r="V66" s="8"/>
      <c r="W66" s="8"/>
    </row>
    <row r="67" spans="1:23">
      <c r="A67" s="8"/>
      <c r="B67" s="8"/>
      <c r="C67" s="141"/>
      <c r="D67" s="16"/>
      <c r="E67" s="16"/>
      <c r="F67" s="142"/>
      <c r="G67" s="21"/>
      <c r="H67" s="21"/>
      <c r="I67" s="21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9"/>
      <c r="U67" s="8"/>
      <c r="V67" s="8"/>
      <c r="W67" s="8"/>
    </row>
    <row r="68" spans="1:23">
      <c r="A68" s="8"/>
      <c r="B68" s="8"/>
      <c r="C68" s="141" t="s">
        <v>84</v>
      </c>
      <c r="D68" s="16" t="s">
        <v>83</v>
      </c>
      <c r="E68" s="16" t="str">
        <f>Units</f>
        <v>$millions</v>
      </c>
      <c r="F68" s="142">
        <f>DATE(PPLastYear,MONTH(Month),1)</f>
        <v>45809</v>
      </c>
      <c r="G68" s="21"/>
      <c r="H68" s="21"/>
      <c r="I68" s="21"/>
      <c r="J68" s="117"/>
      <c r="K68" s="117"/>
      <c r="L68" s="117"/>
      <c r="M68" s="117"/>
      <c r="N68" s="117">
        <v>0</v>
      </c>
      <c r="O68" s="117"/>
      <c r="P68" s="117"/>
      <c r="Q68" s="117"/>
      <c r="R68" s="117"/>
      <c r="S68" s="117"/>
      <c r="T68" s="9"/>
      <c r="U68" s="8"/>
      <c r="V68" s="8"/>
      <c r="W68" s="8"/>
    </row>
    <row r="69" spans="1:23">
      <c r="A69" s="8"/>
      <c r="B69" s="8"/>
      <c r="C69" s="141"/>
      <c r="D69" s="16"/>
      <c r="E69" s="16"/>
      <c r="F69" s="142"/>
      <c r="G69" s="21"/>
      <c r="H69" s="21"/>
      <c r="I69" s="21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9"/>
      <c r="U69" s="8"/>
      <c r="V69" s="8"/>
      <c r="W69" s="8"/>
    </row>
    <row r="70" spans="1:23">
      <c r="A70" s="8"/>
      <c r="B70" s="8"/>
      <c r="C70" s="141" t="s">
        <v>85</v>
      </c>
      <c r="D70" s="16" t="s">
        <v>83</v>
      </c>
      <c r="E70" s="16" t="s">
        <v>86</v>
      </c>
      <c r="F70" s="21"/>
      <c r="G70" s="21"/>
      <c r="H70" s="21"/>
      <c r="I70" s="21"/>
      <c r="J70" s="143"/>
      <c r="K70" s="143"/>
      <c r="L70" s="143"/>
      <c r="M70" s="143"/>
      <c r="N70" s="143">
        <v>0</v>
      </c>
      <c r="O70" s="143"/>
      <c r="P70" s="143"/>
      <c r="Q70" s="143"/>
      <c r="R70" s="143"/>
      <c r="S70" s="143"/>
      <c r="T70" s="9"/>
      <c r="U70" s="8"/>
      <c r="V70" s="8"/>
      <c r="W70" s="8"/>
    </row>
    <row r="71" spans="1:23">
      <c r="A71" s="8"/>
      <c r="B71" s="8"/>
      <c r="C71" s="15"/>
      <c r="D71" s="16"/>
      <c r="E71" s="16"/>
      <c r="F71" s="16"/>
      <c r="G71" s="21"/>
      <c r="H71" s="21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2.75">
      <c r="A72" s="37"/>
      <c r="B72" s="43" t="s">
        <v>25</v>
      </c>
      <c r="C72" s="37"/>
      <c r="D72" s="37"/>
      <c r="E72" s="37"/>
      <c r="F72" s="38"/>
      <c r="G72" s="38"/>
      <c r="H72" s="38"/>
      <c r="I72" s="38"/>
      <c r="J72" s="39"/>
      <c r="K72" s="40"/>
      <c r="L72" s="39"/>
      <c r="M72" s="40"/>
      <c r="N72" s="39"/>
      <c r="O72" s="39"/>
      <c r="P72" s="39"/>
      <c r="Q72" s="39"/>
      <c r="R72" s="39"/>
      <c r="S72" s="39"/>
      <c r="T72" s="39"/>
      <c r="U72" s="39"/>
      <c r="V72" s="40"/>
      <c r="W72" s="40"/>
    </row>
  </sheetData>
  <conditionalFormatting sqref="J37:N37">
    <cfRule type="expression" dxfId="132" priority="15">
      <formula>J$10=J$4</formula>
    </cfRule>
  </conditionalFormatting>
  <conditionalFormatting sqref="J13:S13">
    <cfRule type="expression" dxfId="131" priority="1">
      <formula>J$10=J$4</formula>
    </cfRule>
  </conditionalFormatting>
  <conditionalFormatting sqref="J15:S15">
    <cfRule type="cellIs" dxfId="130" priority="24" operator="equal">
      <formula>0</formula>
    </cfRule>
  </conditionalFormatting>
  <conditionalFormatting sqref="J19:S27">
    <cfRule type="expression" dxfId="129" priority="18">
      <formula>J$10=J$4</formula>
    </cfRule>
  </conditionalFormatting>
  <conditionalFormatting sqref="J29:S29">
    <cfRule type="cellIs" dxfId="128" priority="5" operator="equal">
      <formula>0</formula>
    </cfRule>
  </conditionalFormatting>
  <conditionalFormatting sqref="J33:S33 N37:S37 J41:S45 J51:S54">
    <cfRule type="expression" dxfId="127" priority="19">
      <formula>J$34=J$4</formula>
    </cfRule>
  </conditionalFormatting>
  <conditionalFormatting sqref="J47:S47">
    <cfRule type="cellIs" dxfId="126" priority="11" operator="equal">
      <formula>0</formula>
    </cfRule>
  </conditionalFormatting>
  <conditionalFormatting sqref="J56:S56">
    <cfRule type="cellIs" dxfId="125" priority="23" operator="equal">
      <formula>0</formula>
    </cfRule>
  </conditionalFormatting>
  <conditionalFormatting sqref="J62:S66">
    <cfRule type="expression" dxfId="124" priority="2">
      <formula>J$60=J$4</formula>
    </cfRule>
  </conditionalFormatting>
  <conditionalFormatting sqref="J68:S68 J70:S70">
    <cfRule type="expression" dxfId="123" priority="10">
      <formula>J$60=J$4</formula>
    </cfRule>
  </conditionalFormatting>
  <conditionalFormatting sqref="S1">
    <cfRule type="cellIs" dxfId="122" priority="25" operator="equal">
      <formula>"Check"</formula>
    </cfRule>
    <cfRule type="cellIs" dxfId="121" priority="26" operator="equal">
      <formula>"Ok"</formula>
    </cfRule>
  </conditionalFormatting>
  <conditionalFormatting sqref="V1">
    <cfRule type="cellIs" dxfId="120" priority="27" operator="equal">
      <formula>"Check"</formula>
    </cfRule>
    <cfRule type="cellIs" dxfId="119" priority="28" operator="equal">
      <formula>"Ok"</formula>
    </cfRule>
  </conditionalFormatting>
  <conditionalFormatting sqref="W15">
    <cfRule type="cellIs" dxfId="118" priority="29" operator="equal">
      <formula>"Check"</formula>
    </cfRule>
    <cfRule type="cellIs" dxfId="117" priority="30" operator="equal">
      <formula>"Ok"</formula>
    </cfRule>
  </conditionalFormatting>
  <conditionalFormatting sqref="W29">
    <cfRule type="cellIs" dxfId="116" priority="6" operator="equal">
      <formula>"Check"</formula>
    </cfRule>
    <cfRule type="cellIs" dxfId="115" priority="7" operator="equal">
      <formula>"Ok"</formula>
    </cfRule>
  </conditionalFormatting>
  <conditionalFormatting sqref="W37 W41:W45">
    <cfRule type="cellIs" dxfId="114" priority="33" operator="equal">
      <formula>"Check"</formula>
    </cfRule>
    <cfRule type="cellIs" dxfId="113" priority="34" operator="equal">
      <formula>"Ok"</formula>
    </cfRule>
  </conditionalFormatting>
  <conditionalFormatting sqref="W47">
    <cfRule type="cellIs" dxfId="112" priority="13" operator="equal">
      <formula>"Check"</formula>
    </cfRule>
    <cfRule type="cellIs" dxfId="111" priority="14" operator="equal">
      <formula>"Ok"</formula>
    </cfRule>
  </conditionalFormatting>
  <conditionalFormatting sqref="W48:W54">
    <cfRule type="cellIs" dxfId="110" priority="21" operator="equal">
      <formula>"Check"</formula>
    </cfRule>
    <cfRule type="cellIs" dxfId="109" priority="22" operator="equal">
      <formula>"Ok"</formula>
    </cfRule>
  </conditionalFormatting>
  <conditionalFormatting sqref="W56">
    <cfRule type="cellIs" dxfId="108" priority="31" operator="equal">
      <formula>"Check"</formula>
    </cfRule>
    <cfRule type="cellIs" dxfId="107" priority="32" operator="equal">
      <formula>"Ok"</formula>
    </cfRule>
  </conditionalFormatting>
  <dataValidations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F67 F69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G120"/>
  <sheetViews>
    <sheetView workbookViewId="0"/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2" style="16" customWidth="1"/>
    <col min="11" max="23" width="10.83203125" style="8" customWidth="1"/>
    <col min="24" max="16384" width="10.5" style="8" hidden="1"/>
  </cols>
  <sheetData>
    <row r="1" spans="1:33" s="32" customFormat="1" ht="15.7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0"/>
      <c r="K1" s="31" t="s">
        <v>26</v>
      </c>
      <c r="M1" s="33" t="s">
        <v>27</v>
      </c>
      <c r="N1" s="50" t="s">
        <v>28</v>
      </c>
      <c r="O1" s="11" t="s">
        <v>29</v>
      </c>
      <c r="P1" s="12" t="s">
        <v>30</v>
      </c>
      <c r="S1" s="33" t="s">
        <v>31</v>
      </c>
      <c r="T1" s="34" t="str">
        <f>IF(COUNTIF(W5:W118,"Check")=0,"Ok","Check")</f>
        <v>Ok</v>
      </c>
      <c r="V1" s="132" t="s">
        <v>32</v>
      </c>
      <c r="W1" s="34" t="str">
        <f>'Check|List'!$S$1</f>
        <v>Ok</v>
      </c>
    </row>
    <row r="2" spans="1:33" s="36" customFormat="1" ht="13.5" thickBot="1">
      <c r="B2" s="35" t="str">
        <f>Index!$C$10</f>
        <v>Input | Rate of change</v>
      </c>
      <c r="C2" s="35"/>
      <c r="D2" s="35"/>
      <c r="E2" s="35"/>
      <c r="F2" s="58"/>
      <c r="G2" s="58"/>
      <c r="H2" s="58"/>
      <c r="I2" s="58"/>
      <c r="J2" s="58"/>
    </row>
    <row r="3" spans="1:33" s="59" customFormat="1">
      <c r="D3" s="127"/>
      <c r="E3" s="127"/>
      <c r="F3" s="127"/>
      <c r="G3" s="127"/>
      <c r="H3" s="127"/>
      <c r="I3" s="127"/>
      <c r="J3" s="112" t="s">
        <v>43</v>
      </c>
      <c r="K3" s="210"/>
      <c r="L3" s="210"/>
      <c r="M3" s="210"/>
      <c r="N3" s="127"/>
      <c r="O3" s="210"/>
      <c r="P3" s="210"/>
      <c r="Q3" s="210"/>
      <c r="R3" s="210"/>
      <c r="S3" s="210"/>
      <c r="T3" s="210"/>
      <c r="U3" s="60"/>
      <c r="V3" s="60"/>
      <c r="W3" s="60"/>
      <c r="X3" s="60"/>
      <c r="Y3" s="60"/>
      <c r="Z3" s="60"/>
      <c r="AA3" s="60"/>
      <c r="AB3" s="60"/>
      <c r="AC3" s="60"/>
    </row>
    <row r="4" spans="1:33" s="69" customFormat="1" ht="10.5">
      <c r="A4" s="61"/>
      <c r="B4" s="61"/>
      <c r="C4" s="61"/>
      <c r="D4" s="62" t="s">
        <v>35</v>
      </c>
      <c r="E4" s="62" t="s">
        <v>61</v>
      </c>
      <c r="F4" s="63" t="s">
        <v>64</v>
      </c>
      <c r="G4" s="64"/>
      <c r="H4" s="64"/>
      <c r="I4" s="64"/>
      <c r="J4" s="110">
        <f>DATE(PPFirstYear-1,MONTH('Input|General'!$G$9),1)</f>
        <v>43983</v>
      </c>
      <c r="K4" s="110">
        <f>DATE(PPFirstYear,MONTH('Input|General'!$G$9),1)</f>
        <v>44348</v>
      </c>
      <c r="L4" s="110">
        <f>DATE(PPFirstYear+1,MONTH('Input|General'!$G$9),1)</f>
        <v>44713</v>
      </c>
      <c r="M4" s="110">
        <f>DATE(PPFirstYear+2,MONTH('Input|General'!$G$9),1)</f>
        <v>45078</v>
      </c>
      <c r="N4" s="110">
        <f>DATE(PPFirstYear+3,MONTH('Input|General'!$G$9),1)</f>
        <v>45444</v>
      </c>
      <c r="O4" s="110">
        <f>DATE(PPFirstYear+4,MONTH('Input|General'!$G$9),1)</f>
        <v>45809</v>
      </c>
      <c r="P4" s="110">
        <f>DATE(PPFirstYear+5,MONTH('Input|General'!$G$9),1)</f>
        <v>46174</v>
      </c>
      <c r="Q4" s="110">
        <f>DATE(PPFirstYear+6,MONTH('Input|General'!$G$9),1)</f>
        <v>46539</v>
      </c>
      <c r="R4" s="110">
        <f>DATE(PPFirstYear+7,MONTH('Input|General'!$G$9),1)</f>
        <v>46905</v>
      </c>
      <c r="S4" s="110">
        <f>DATE(PPFirstYear+8,MONTH('Input|General'!$G$9),1)</f>
        <v>47270</v>
      </c>
      <c r="T4" s="110">
        <f>DATE(PPFirstYear+9,MONTH('Input|General'!$G$9),1)</f>
        <v>47635</v>
      </c>
      <c r="U4" s="65"/>
      <c r="V4" s="65"/>
      <c r="W4" s="66"/>
      <c r="X4" s="67"/>
      <c r="Y4" s="67"/>
      <c r="Z4" s="67"/>
      <c r="AA4" s="67"/>
      <c r="AB4" s="67"/>
      <c r="AC4" s="67"/>
      <c r="AD4" s="67"/>
      <c r="AE4" s="67"/>
      <c r="AF4" s="68"/>
      <c r="AG4" s="68"/>
    </row>
    <row r="5" spans="1:33" s="6" customFormat="1" ht="3" customHeight="1">
      <c r="D5" s="27"/>
      <c r="E5" s="27"/>
      <c r="F5" s="27"/>
      <c r="G5" s="27"/>
      <c r="H5" s="27"/>
      <c r="I5" s="27"/>
      <c r="J5" s="27"/>
    </row>
    <row r="6" spans="1:33" s="6" customFormat="1" ht="9" customHeight="1">
      <c r="D6" s="27"/>
      <c r="E6" s="27"/>
      <c r="F6" s="27"/>
      <c r="G6" s="27"/>
      <c r="H6" s="27"/>
      <c r="I6" s="27"/>
      <c r="J6" s="27"/>
    </row>
    <row r="7" spans="1:33" s="6" customFormat="1" ht="3" customHeight="1">
      <c r="D7" s="27"/>
      <c r="E7" s="27"/>
      <c r="F7" s="27"/>
      <c r="G7" s="27"/>
      <c r="H7" s="27"/>
      <c r="I7" s="27"/>
      <c r="J7" s="27"/>
    </row>
    <row r="8" spans="1:33" customFormat="1" ht="12.75">
      <c r="A8" s="37"/>
      <c r="B8" s="43" t="s">
        <v>7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40"/>
      <c r="X8" s="41"/>
      <c r="Y8" s="41"/>
      <c r="Z8" s="41"/>
      <c r="AA8" s="41"/>
      <c r="AB8" s="41"/>
      <c r="AC8" s="41"/>
      <c r="AD8" s="41"/>
      <c r="AE8" s="41"/>
      <c r="AF8" s="42"/>
      <c r="AG8" s="42"/>
    </row>
    <row r="9" spans="1:33" ht="11.25" customHeight="1" outlineLevel="1"/>
    <row r="10" spans="1:33" ht="11.25" customHeight="1" outlineLevel="1">
      <c r="C10" s="9" t="s">
        <v>87</v>
      </c>
      <c r="J10" s="113">
        <f t="shared" ref="J10:T10" si="0">IF(YEAR(J$4)&lt;=PPLastYear,J$4,"")</f>
        <v>43983</v>
      </c>
      <c r="K10" s="113">
        <f t="shared" si="0"/>
        <v>44348</v>
      </c>
      <c r="L10" s="113">
        <f t="shared" si="0"/>
        <v>44713</v>
      </c>
      <c r="M10" s="113">
        <f t="shared" si="0"/>
        <v>45078</v>
      </c>
      <c r="N10" s="113">
        <f t="shared" si="0"/>
        <v>45444</v>
      </c>
      <c r="O10" s="113">
        <f t="shared" si="0"/>
        <v>45809</v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 t="str">
        <f t="shared" si="0"/>
        <v/>
      </c>
    </row>
    <row r="11" spans="1:33" ht="11.25" customHeight="1" outlineLevel="1">
      <c r="C11" s="9"/>
      <c r="J11" s="8"/>
      <c r="P11" s="98"/>
      <c r="Q11" s="98"/>
      <c r="R11" s="98"/>
      <c r="S11" s="98"/>
      <c r="T11" s="98"/>
      <c r="U11" s="14"/>
      <c r="V11" s="14"/>
      <c r="W11" s="14"/>
    </row>
    <row r="12" spans="1:33" ht="11.25" customHeight="1" outlineLevel="1">
      <c r="C12" s="15" t="s">
        <v>87</v>
      </c>
      <c r="D12" s="99" t="s">
        <v>88</v>
      </c>
      <c r="E12" s="16" t="str">
        <f>percent</f>
        <v>Per cent</v>
      </c>
      <c r="J12" s="98">
        <f>IF(J10=J4,LOOKUP(EOMONTH(J4,0),'Input|Inflation'!$C$9:$C$84,'Input|Inflation'!$I$9:$I$84),"")</f>
        <v>-3.4843205574912606E-3</v>
      </c>
      <c r="K12" s="98">
        <f>IF(K10=K4,LOOKUP(EOMONTH(K4,0),'Input|Inflation'!$C$9:$C$84,'Input|Inflation'!$I$9:$I$84),"")</f>
        <v>3.8461538461538325E-2</v>
      </c>
      <c r="L12" s="98">
        <f>IF(L10=L4,LOOKUP(EOMONTH(L4,0),'Input|Inflation'!$C$9:$C$84,'Input|Inflation'!$I$9:$I$84),"")</f>
        <v>6.1447811447811418E-2</v>
      </c>
      <c r="M12" s="98">
        <f>IF(M10=M4,LOOKUP(EOMONTH(M4,0),'Input|Inflation'!$C$9:$C$84,'Input|Inflation'!$I$9:$I$84),"")</f>
        <v>6.0269627279936566E-2</v>
      </c>
      <c r="N12" s="98">
        <f>IF(N10=N4,LOOKUP(EOMONTH(N4,0),'Input|Inflation'!$C$9:$C$84,'Input|Inflation'!$I$9:$I$84),"")</f>
        <v>3.6000000000000032E-2</v>
      </c>
      <c r="O12" s="98">
        <f>IF(O10=O4,LOOKUP(EOMONTH(O4,0),'Input|Inflation'!$C$9:$C$84,'Input|Inflation'!$I$9:$I$84),"")</f>
        <v>3.0999999999999917E-2</v>
      </c>
      <c r="P12" s="98" t="str">
        <f>IF(P10=P4,LOOKUP(EOMONTH(P4,0),'Input|Inflation'!$C$9:$C$64,'Input|Inflation'!$I$9:$I$64),"")</f>
        <v/>
      </c>
      <c r="Q12" s="98" t="str">
        <f>IF(Q10=Q4,LOOKUP(EOMONTH(Q4,0),'Input|Inflation'!$C$9:$C$64,'Input|Inflation'!$I$9:$I$64),"")</f>
        <v/>
      </c>
      <c r="R12" s="98" t="str">
        <f>IF(R10=R4,LOOKUP(EOMONTH(R4,0),'Input|Inflation'!$C$9:$C$64,'Input|Inflation'!$I$9:$I$64),"")</f>
        <v/>
      </c>
      <c r="S12" s="98" t="str">
        <f>IF(S10=S4,LOOKUP(EOMONTH(S4,0),'Input|Inflation'!$C$9:$C$64,'Input|Inflation'!$I$9:$I$64),"")</f>
        <v/>
      </c>
      <c r="T12" s="98" t="str">
        <f>IF(T10=T4,LOOKUP(EOMONTH(T4,0),'Input|Inflation'!$C$9:$C$64,'Input|Inflation'!$I$9:$I$64),"")</f>
        <v/>
      </c>
      <c r="U12" s="100"/>
    </row>
    <row r="13" spans="1:33" ht="11.25" customHeight="1" outlineLevel="1">
      <c r="D13" s="8"/>
      <c r="E13" s="8"/>
      <c r="F13" s="8"/>
      <c r="G13" s="8"/>
      <c r="H13" s="8"/>
      <c r="I13" s="8"/>
      <c r="J13" s="8"/>
    </row>
    <row r="14" spans="1:33" ht="11.25" customHeight="1" outlineLevel="1">
      <c r="C14" s="9" t="s">
        <v>89</v>
      </c>
      <c r="I14" s="8"/>
      <c r="J14" s="113">
        <f t="shared" ref="J14:T14" si="1">IF(YEAR(J$4)&lt;=PPLastYear,J$4,"")</f>
        <v>43983</v>
      </c>
      <c r="K14" s="113">
        <f t="shared" si="1"/>
        <v>44348</v>
      </c>
      <c r="L14" s="113">
        <f t="shared" si="1"/>
        <v>44713</v>
      </c>
      <c r="M14" s="113">
        <f t="shared" si="1"/>
        <v>45078</v>
      </c>
      <c r="N14" s="113">
        <f t="shared" si="1"/>
        <v>45444</v>
      </c>
      <c r="O14" s="113">
        <f t="shared" si="1"/>
        <v>45809</v>
      </c>
      <c r="P14" s="113" t="str">
        <f t="shared" si="1"/>
        <v/>
      </c>
      <c r="Q14" s="113" t="str">
        <f t="shared" si="1"/>
        <v/>
      </c>
      <c r="R14" s="113" t="str">
        <f t="shared" si="1"/>
        <v/>
      </c>
      <c r="S14" s="113" t="str">
        <f t="shared" si="1"/>
        <v/>
      </c>
      <c r="T14" s="113" t="str">
        <f t="shared" si="1"/>
        <v/>
      </c>
    </row>
    <row r="15" spans="1:33" ht="11.2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</row>
    <row r="16" spans="1:33" ht="11.25" customHeight="1" outlineLevel="1">
      <c r="C16" s="114">
        <f t="array" ref="C16:C21">TRANSPOSE(J10:O10)</f>
        <v>43983</v>
      </c>
      <c r="D16" s="99" t="str">
        <f t="shared" ref="D16:D20" si="2">IF(ISNONTEXT($C16),"calculated","")</f>
        <v>calculated</v>
      </c>
      <c r="E16" s="16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1.0384615384615383</v>
      </c>
      <c r="L16" s="22">
        <f t="shared" si="3"/>
        <v>1.1022727272727271</v>
      </c>
      <c r="M16" s="22">
        <f t="shared" si="3"/>
        <v>1.1687062937062935</v>
      </c>
      <c r="N16" s="22">
        <f t="shared" si="3"/>
        <v>1.2107797202797201</v>
      </c>
      <c r="O16" s="22">
        <f t="shared" ref="O16" si="4">IF(AND($C16&gt;O$14,ISNONTEXT($C16)),P16/(1+O$12),IF(AND($C16=O$14,O$14=O$4),1,IF(AND($C16&lt;O$14,O$14=O$4),N16*(1+O$12),0)))</f>
        <v>1.2483138916083913</v>
      </c>
      <c r="P16" s="148"/>
      <c r="Q16" s="148"/>
      <c r="R16" s="148"/>
      <c r="S16" s="148"/>
      <c r="T16" s="148"/>
    </row>
    <row r="17" spans="3:22" ht="11.25" customHeight="1" outlineLevel="1">
      <c r="C17" s="114">
        <v>44348</v>
      </c>
      <c r="D17" s="99" t="str">
        <f t="shared" si="2"/>
        <v>calculated</v>
      </c>
      <c r="E17" s="16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0.96296296296296313</v>
      </c>
      <c r="K17" s="22">
        <f t="shared" si="6"/>
        <v>1</v>
      </c>
      <c r="L17" s="22">
        <f t="shared" si="6"/>
        <v>1.0614478114478114</v>
      </c>
      <c r="M17" s="22">
        <f t="shared" si="6"/>
        <v>1.1254208754208754</v>
      </c>
      <c r="N17" s="22">
        <f t="shared" si="6"/>
        <v>1.165936026936027</v>
      </c>
      <c r="O17" s="22">
        <f t="shared" ref="O17" si="7">IF(AND($C17&gt;O$14,ISNONTEXT($C17)),P17/(1+O$12),IF(AND($C17=O$14,O$14=O$4),1,IF(AND($C17&lt;O$14,O$14=O$4),N17*(1+O$12),0)))</f>
        <v>1.2020800437710437</v>
      </c>
      <c r="P17" s="148"/>
      <c r="Q17" s="148"/>
      <c r="R17" s="148"/>
      <c r="S17" s="148"/>
      <c r="T17" s="148"/>
    </row>
    <row r="18" spans="3:22" ht="11.25" customHeight="1" outlineLevel="1">
      <c r="C18" s="114">
        <v>44713</v>
      </c>
      <c r="D18" s="99" t="str">
        <f t="shared" si="2"/>
        <v>calculated</v>
      </c>
      <c r="E18" s="16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0.90721649484536093</v>
      </c>
      <c r="K18" s="22">
        <f t="shared" si="8"/>
        <v>0.94210943695479776</v>
      </c>
      <c r="L18" s="22">
        <f t="shared" si="8"/>
        <v>1</v>
      </c>
      <c r="M18" s="22">
        <f t="shared" si="8"/>
        <v>1.0602696272799366</v>
      </c>
      <c r="N18" s="22">
        <f t="shared" si="8"/>
        <v>1.0984393338620144</v>
      </c>
      <c r="O18" s="22">
        <f t="shared" ref="O18" si="9">IF(AND($C18&gt;O$14,ISNONTEXT($C18)),P18/(1+O$12),IF(AND($C18=O$14,O$14=O$4),1,IF(AND($C18&lt;O$14,O$14=O$4),N18*(1+O$12),0)))</f>
        <v>1.1324909532117369</v>
      </c>
      <c r="P18" s="148"/>
      <c r="Q18" s="148"/>
      <c r="R18" s="148"/>
      <c r="S18" s="148"/>
      <c r="T18" s="148"/>
    </row>
    <row r="19" spans="3:22" ht="11.25" customHeight="1" outlineLevel="1">
      <c r="C19" s="114">
        <v>45078</v>
      </c>
      <c r="D19" s="99" t="str">
        <f t="shared" si="2"/>
        <v>calculated</v>
      </c>
      <c r="E19" s="16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0.85564697083021701</v>
      </c>
      <c r="K19" s="22">
        <f t="shared" si="10"/>
        <v>0.88855646970830215</v>
      </c>
      <c r="L19" s="22">
        <f t="shared" si="10"/>
        <v>0.94315632011967088</v>
      </c>
      <c r="M19" s="22">
        <f t="shared" si="10"/>
        <v>1</v>
      </c>
      <c r="N19" s="22">
        <f t="shared" si="10"/>
        <v>1.036</v>
      </c>
      <c r="O19" s="22">
        <f t="shared" ref="O19" si="11">IF(AND($C19&gt;O$14,ISNONTEXT($C19)),P19/(1+O$12),IF(AND($C19=O$14,O$14=O$4),1,IF(AND($C19&lt;O$14,O$14=O$4),N19*(1+O$12),0)))</f>
        <v>1.0681159999999998</v>
      </c>
      <c r="P19" s="148"/>
      <c r="Q19" s="148"/>
      <c r="R19" s="148"/>
      <c r="S19" s="148"/>
      <c r="T19" s="148"/>
    </row>
    <row r="20" spans="3:22" ht="11.25" customHeight="1" outlineLevel="1">
      <c r="C20" s="114">
        <v>45444</v>
      </c>
      <c r="D20" s="99" t="str">
        <f t="shared" si="2"/>
        <v>calculated</v>
      </c>
      <c r="E20" s="16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0.82591406450793137</v>
      </c>
      <c r="K20" s="22">
        <f t="shared" ref="K20:N20" si="12">IF(AND($C20&gt;K$14,ISNONTEXT($C20)),L20/(1+L$12),IF(AND($C20=K$14,K$14=K$4),1,IF(AND($C20&lt;K$14,K$14=K$4),J20*(1+K$12),0)))</f>
        <v>0.85767999006592865</v>
      </c>
      <c r="L20" s="22">
        <f t="shared" si="12"/>
        <v>0.91038254837806065</v>
      </c>
      <c r="M20" s="22">
        <f t="shared" si="12"/>
        <v>0.96525096525096521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1.0309999999999999</v>
      </c>
      <c r="P20" s="148"/>
      <c r="Q20" s="148"/>
      <c r="R20" s="148"/>
      <c r="S20" s="148"/>
      <c r="T20" s="148"/>
    </row>
    <row r="21" spans="3:22" ht="11.25" customHeight="1" outlineLevel="1">
      <c r="C21" s="114">
        <v>45809</v>
      </c>
      <c r="D21" s="99" t="str">
        <f>IF(ISNONTEXT($C21),"calculated","")</f>
        <v>calculated</v>
      </c>
      <c r="E21" s="16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0.80108056693300833</v>
      </c>
      <c r="K21" s="22">
        <f t="shared" ref="K21" si="14">IF(AND($C21&gt;K$14,ISNONTEXT($C21)),L21/(1+L$12),IF(AND($C21=K$14,K$14=K$4),1,IF(AND($C21&lt;K$14,K$14=K$4),J21*(1+K$12),0)))</f>
        <v>0.83189135796889313</v>
      </c>
      <c r="L21" s="22">
        <f t="shared" ref="L21" si="15">IF(AND($C21&gt;L$14,ISNONTEXT($C21)),M21/(1+M$12),IF(AND($C21=L$14,L$14=L$4),1,IF(AND($C21&lt;L$14,L$14=L$4),K21*(1+L$12),0)))</f>
        <v>0.88300926127842949</v>
      </c>
      <c r="M21" s="22">
        <f t="shared" ref="M21" si="16">IF(AND($C21&gt;M$14,ISNONTEXT($C21)),N21/(1+N$12),IF(AND($C21=M$14,M$14=M$4),1,IF(AND($C21&lt;M$14,M$14=M$4),L21*(1+M$12),0)))</f>
        <v>0.93622790034041259</v>
      </c>
      <c r="N21" s="22">
        <f t="shared" ref="N21" si="17">IF(AND($C21&gt;N$14,ISNONTEXT($C21)),O21/(1+O$12),IF(AND($C21=N$14,N$14=N$4),1,IF(AND($C21&lt;N$14,N$14=N$4),M21*(1+N$12),0)))</f>
        <v>0.96993210475266745</v>
      </c>
      <c r="O21" s="22">
        <f t="shared" ref="O21" si="18">IF(AND($C21&gt;O$14,ISNONTEXT($C21)),P21/(1+O$12),IF(AND($C21=O$14,O$14=O$4),1,IF(AND($C21&lt;O$14,O$14=O$4),N21*(1+O$12),0)))</f>
        <v>1</v>
      </c>
      <c r="P21" s="148"/>
      <c r="Q21" s="148"/>
      <c r="R21" s="148"/>
      <c r="S21" s="148"/>
      <c r="T21" s="148"/>
    </row>
    <row r="22" spans="3:22" ht="11.25" customHeight="1" outlineLevel="1">
      <c r="C22" s="114"/>
      <c r="D22" s="99"/>
      <c r="I22" s="22"/>
      <c r="J22" s="22"/>
      <c r="K22" s="22"/>
      <c r="L22" s="22"/>
      <c r="M22" s="22"/>
      <c r="N22" s="22"/>
      <c r="O22" s="22"/>
      <c r="P22" s="148"/>
      <c r="Q22" s="148"/>
      <c r="R22" s="148"/>
      <c r="S22" s="148"/>
      <c r="T22" s="148"/>
    </row>
    <row r="23" spans="3:22" ht="11.25" customHeight="1" outlineLevel="1">
      <c r="C23" s="1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3:22" ht="11.25" customHeight="1" outlineLevel="1">
      <c r="C24" s="9" t="s">
        <v>90</v>
      </c>
      <c r="J24" s="113">
        <f t="shared" ref="J24:T24" si="19">IF(YEAR(J$4)&lt;=PPLastYear,J$4,"")</f>
        <v>43983</v>
      </c>
      <c r="K24" s="113">
        <f t="shared" si="19"/>
        <v>44348</v>
      </c>
      <c r="L24" s="113">
        <f t="shared" si="19"/>
        <v>44713</v>
      </c>
      <c r="M24" s="113">
        <f t="shared" si="19"/>
        <v>45078</v>
      </c>
      <c r="N24" s="113">
        <f t="shared" si="19"/>
        <v>45444</v>
      </c>
      <c r="O24" s="113">
        <f t="shared" si="19"/>
        <v>45809</v>
      </c>
      <c r="P24" s="113" t="str">
        <f t="shared" si="19"/>
        <v/>
      </c>
      <c r="Q24" s="113" t="str">
        <f t="shared" si="19"/>
        <v/>
      </c>
      <c r="R24" s="113" t="str">
        <f t="shared" si="19"/>
        <v/>
      </c>
      <c r="S24" s="113" t="str">
        <f t="shared" si="19"/>
        <v/>
      </c>
      <c r="T24" s="113" t="str">
        <f t="shared" si="19"/>
        <v/>
      </c>
    </row>
    <row r="25" spans="3:22" ht="11.25" customHeight="1" outlineLevel="1">
      <c r="C25" s="15"/>
      <c r="J25" s="8"/>
      <c r="Q25" s="22"/>
      <c r="R25" s="22"/>
      <c r="S25" s="22"/>
      <c r="T25" s="22"/>
    </row>
    <row r="26" spans="3:22" ht="11.25" customHeight="1" outlineLevel="1">
      <c r="C26" s="114">
        <f t="array" ref="C26:C31">TRANSPOSE(J10:O10)</f>
        <v>43983</v>
      </c>
      <c r="D26" s="99" t="str">
        <f t="shared" ref="D26:D31" si="20">IF(ISNONTEXT($C26),"calculated","")</f>
        <v>calculated</v>
      </c>
      <c r="E26" s="16" t="str">
        <f>IF(ISNONTEXT($C26),"index","")</f>
        <v>index</v>
      </c>
      <c r="I26" s="22"/>
      <c r="J26" s="22">
        <f>IF(AND(J$24=J$4,ISNONTEXT($C26)),1/J16*(1+J$12)^0.5,0)</f>
        <v>0.99825631951042948</v>
      </c>
      <c r="K26" s="22">
        <f t="shared" ref="K26:T26" si="21">IF(AND(K$24=K$4,ISNONTEXT($C26)),1/K16*(1+K$12)^0.5,0)</f>
        <v>0.98130676292531638</v>
      </c>
      <c r="L26" s="22">
        <f t="shared" si="21"/>
        <v>0.93467421272075479</v>
      </c>
      <c r="M26" s="22">
        <f t="shared" si="21"/>
        <v>0.88105450779258843</v>
      </c>
      <c r="N26" s="22">
        <f t="shared" si="21"/>
        <v>0.84064907509750109</v>
      </c>
      <c r="O26" s="22">
        <f t="shared" si="21"/>
        <v>0.81340254919317712</v>
      </c>
      <c r="P26" s="22">
        <f t="shared" si="21"/>
        <v>0</v>
      </c>
      <c r="Q26" s="22">
        <f t="shared" si="21"/>
        <v>0</v>
      </c>
      <c r="R26" s="22">
        <f t="shared" si="21"/>
        <v>0</v>
      </c>
      <c r="S26" s="22">
        <f t="shared" si="21"/>
        <v>0</v>
      </c>
      <c r="T26" s="22">
        <f t="shared" si="21"/>
        <v>0</v>
      </c>
      <c r="U26" s="101"/>
      <c r="V26" s="101"/>
    </row>
    <row r="27" spans="3:22" ht="11.25" customHeight="1" outlineLevel="1">
      <c r="C27" s="114">
        <v>44348</v>
      </c>
      <c r="D27" s="99" t="str">
        <f t="shared" si="20"/>
        <v>calculated</v>
      </c>
      <c r="E27" s="16" t="str">
        <f t="shared" ref="E27:E31" si="22">IF(ISNONTEXT($C27),"index","")</f>
        <v>index</v>
      </c>
      <c r="I27" s="22"/>
      <c r="J27" s="22">
        <f t="shared" ref="J27:T27" si="23">IF(AND(J$24=J$4,ISNONTEXT($C27)),1/J17*(1+J$12)^0.5,0)</f>
        <v>1.0366507933377536</v>
      </c>
      <c r="K27" s="22">
        <f t="shared" si="23"/>
        <v>1.019049330730136</v>
      </c>
      <c r="L27" s="22">
        <f t="shared" si="23"/>
        <v>0.970623220902322</v>
      </c>
      <c r="M27" s="22">
        <f t="shared" si="23"/>
        <v>0.9149412196307648</v>
      </c>
      <c r="N27" s="22">
        <f t="shared" si="23"/>
        <v>0.8729817318320201</v>
      </c>
      <c r="O27" s="22">
        <f t="shared" si="23"/>
        <v>0.84468726262368377</v>
      </c>
      <c r="P27" s="22">
        <f t="shared" si="23"/>
        <v>0</v>
      </c>
      <c r="Q27" s="22">
        <f t="shared" si="23"/>
        <v>0</v>
      </c>
      <c r="R27" s="22">
        <f t="shared" si="23"/>
        <v>0</v>
      </c>
      <c r="S27" s="22">
        <f t="shared" si="23"/>
        <v>0</v>
      </c>
      <c r="T27" s="22">
        <f t="shared" si="23"/>
        <v>0</v>
      </c>
      <c r="U27" s="101"/>
      <c r="V27" s="101"/>
    </row>
    <row r="28" spans="3:22" ht="11.25" customHeight="1" outlineLevel="1">
      <c r="C28" s="114">
        <v>44713</v>
      </c>
      <c r="D28" s="99" t="str">
        <f t="shared" si="20"/>
        <v>calculated</v>
      </c>
      <c r="E28" s="16" t="str">
        <f t="shared" si="22"/>
        <v>index</v>
      </c>
      <c r="I28" s="22"/>
      <c r="J28" s="22">
        <f t="shared" ref="J28:T28" si="24">IF(AND(J$24=J$4,ISNONTEXT($C28)),1/J18*(1+J$12)^0.5,0)</f>
        <v>1.100350715823996</v>
      </c>
      <c r="K28" s="22">
        <f t="shared" si="24"/>
        <v>1.0816676818608599</v>
      </c>
      <c r="L28" s="22">
        <f t="shared" si="24"/>
        <v>1.0302658935671953</v>
      </c>
      <c r="M28" s="22">
        <f t="shared" si="24"/>
        <v>0.97116235518046667</v>
      </c>
      <c r="N28" s="22">
        <f t="shared" si="24"/>
        <v>0.92662454868701805</v>
      </c>
      <c r="O28" s="22">
        <f t="shared" si="24"/>
        <v>0.89659144626975162</v>
      </c>
      <c r="P28" s="22">
        <f t="shared" si="24"/>
        <v>0</v>
      </c>
      <c r="Q28" s="22">
        <f t="shared" si="24"/>
        <v>0</v>
      </c>
      <c r="R28" s="22">
        <f t="shared" si="24"/>
        <v>0</v>
      </c>
      <c r="S28" s="22">
        <f t="shared" si="24"/>
        <v>0</v>
      </c>
      <c r="T28" s="22">
        <f t="shared" si="24"/>
        <v>0</v>
      </c>
      <c r="U28" s="101"/>
      <c r="V28" s="101"/>
    </row>
    <row r="29" spans="3:22" ht="11.25" customHeight="1" outlineLevel="1">
      <c r="C29" s="114">
        <v>45078</v>
      </c>
      <c r="D29" s="99" t="str">
        <f t="shared" si="20"/>
        <v>calculated</v>
      </c>
      <c r="E29" s="16" t="str">
        <f t="shared" si="22"/>
        <v>index</v>
      </c>
      <c r="I29" s="22"/>
      <c r="J29" s="22">
        <f t="shared" ref="J29:T29" si="25">IF(AND(J$24=J$4,ISNONTEXT($C29)),1/J19*(1+J$12)^0.5,0)</f>
        <v>1.1666684433439196</v>
      </c>
      <c r="K29" s="22">
        <f t="shared" si="25"/>
        <v>1.1468593898873669</v>
      </c>
      <c r="L29" s="22">
        <f t="shared" si="25"/>
        <v>1.0923596349717211</v>
      </c>
      <c r="M29" s="22">
        <f t="shared" si="25"/>
        <v>1.0296939483554988</v>
      </c>
      <c r="N29" s="22">
        <f t="shared" si="25"/>
        <v>0.98247186486482407</v>
      </c>
      <c r="O29" s="22">
        <f t="shared" si="25"/>
        <v>0.95062867855880917</v>
      </c>
      <c r="P29" s="22">
        <f t="shared" si="25"/>
        <v>0</v>
      </c>
      <c r="Q29" s="22">
        <f t="shared" si="25"/>
        <v>0</v>
      </c>
      <c r="R29" s="22">
        <f t="shared" si="25"/>
        <v>0</v>
      </c>
      <c r="S29" s="22">
        <f t="shared" si="25"/>
        <v>0</v>
      </c>
      <c r="T29" s="22">
        <f t="shared" si="25"/>
        <v>0</v>
      </c>
      <c r="U29" s="101"/>
      <c r="V29" s="101"/>
    </row>
    <row r="30" spans="3:22" ht="11.25" customHeight="1" outlineLevel="1">
      <c r="C30" s="114">
        <v>45444</v>
      </c>
      <c r="D30" s="99" t="str">
        <f t="shared" si="20"/>
        <v>calculated</v>
      </c>
      <c r="E30" s="16" t="str">
        <f t="shared" si="22"/>
        <v>index</v>
      </c>
      <c r="I30" s="22"/>
      <c r="J30" s="22">
        <f t="shared" ref="J30:T30" si="26">IF(AND(J$24=J$4,ISNONTEXT($C30)),1/J20*(1+J$12)^0.5,0)</f>
        <v>1.2086685073043009</v>
      </c>
      <c r="K30" s="22">
        <f t="shared" si="26"/>
        <v>1.1881463279233122</v>
      </c>
      <c r="L30" s="22">
        <f t="shared" si="26"/>
        <v>1.1316845818307031</v>
      </c>
      <c r="M30" s="22">
        <f t="shared" si="26"/>
        <v>1.0667629304962967</v>
      </c>
      <c r="N30" s="22">
        <f t="shared" si="26"/>
        <v>1.0178408519999578</v>
      </c>
      <c r="O30" s="22">
        <f t="shared" si="26"/>
        <v>0.98485131098692624</v>
      </c>
      <c r="P30" s="22">
        <f t="shared" si="26"/>
        <v>0</v>
      </c>
      <c r="Q30" s="22">
        <f t="shared" si="26"/>
        <v>0</v>
      </c>
      <c r="R30" s="22">
        <f t="shared" si="26"/>
        <v>0</v>
      </c>
      <c r="S30" s="22">
        <f t="shared" si="26"/>
        <v>0</v>
      </c>
      <c r="T30" s="22">
        <f t="shared" si="26"/>
        <v>0</v>
      </c>
      <c r="U30" s="101"/>
      <c r="V30" s="101"/>
    </row>
    <row r="31" spans="3:22" ht="11.25" customHeight="1" outlineLevel="1">
      <c r="C31" s="114">
        <v>45809</v>
      </c>
      <c r="D31" s="99" t="str">
        <f t="shared" si="20"/>
        <v>calculated</v>
      </c>
      <c r="E31" s="16" t="str">
        <f t="shared" si="22"/>
        <v>index</v>
      </c>
      <c r="I31" s="22"/>
      <c r="J31" s="22">
        <f t="shared" ref="J31:T31" si="27">IF(AND(J$24=J$4,ISNONTEXT($C31)),1/J21*(1+J$12)^0.5,0)</f>
        <v>1.2461372310307339</v>
      </c>
      <c r="K31" s="22">
        <f t="shared" si="27"/>
        <v>1.2249788640889347</v>
      </c>
      <c r="L31" s="22">
        <f t="shared" si="27"/>
        <v>1.1667668038674546</v>
      </c>
      <c r="M31" s="22">
        <f t="shared" si="27"/>
        <v>1.0998325813416818</v>
      </c>
      <c r="N31" s="22">
        <f t="shared" si="27"/>
        <v>1.0493939184119563</v>
      </c>
      <c r="O31" s="22">
        <f t="shared" si="27"/>
        <v>1.0153817016275208</v>
      </c>
      <c r="P31" s="22">
        <f t="shared" si="27"/>
        <v>0</v>
      </c>
      <c r="Q31" s="22">
        <f t="shared" si="27"/>
        <v>0</v>
      </c>
      <c r="R31" s="22">
        <f t="shared" si="27"/>
        <v>0</v>
      </c>
      <c r="S31" s="22">
        <f t="shared" si="27"/>
        <v>0</v>
      </c>
      <c r="T31" s="22">
        <f t="shared" si="27"/>
        <v>0</v>
      </c>
      <c r="U31" s="101"/>
      <c r="V31" s="101"/>
    </row>
    <row r="32" spans="3:22" ht="11.25" customHeight="1" outlineLevel="1">
      <c r="C32" s="114"/>
      <c r="D32" s="99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101"/>
      <c r="V32" s="101"/>
    </row>
    <row r="33" spans="1:33">
      <c r="C33" s="15"/>
      <c r="K33" s="22"/>
      <c r="L33" s="22"/>
      <c r="M33" s="22"/>
      <c r="N33" s="22"/>
      <c r="O33" s="22"/>
      <c r="P33" s="26"/>
      <c r="Q33" s="22"/>
      <c r="R33" s="22"/>
      <c r="S33" s="22"/>
      <c r="T33" s="22"/>
    </row>
    <row r="34" spans="1:33" customFormat="1" ht="12.75">
      <c r="A34" s="37"/>
      <c r="B34" s="43" t="s">
        <v>91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40"/>
      <c r="X34" s="41"/>
      <c r="Y34" s="41"/>
      <c r="Z34" s="41"/>
      <c r="AA34" s="41"/>
      <c r="AB34" s="41"/>
      <c r="AC34" s="41"/>
      <c r="AD34" s="41"/>
      <c r="AE34" s="41"/>
      <c r="AF34" s="42"/>
      <c r="AG34" s="42"/>
    </row>
    <row r="35" spans="1:33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33" ht="11.25" customHeight="1" outlineLevel="1">
      <c r="C36" s="9" t="s">
        <v>92</v>
      </c>
      <c r="D36" s="21" t="s">
        <v>35</v>
      </c>
      <c r="E36" s="21" t="s">
        <v>61</v>
      </c>
      <c r="J36" s="116" t="str">
        <f t="shared" ref="J36:T36" si="28">IF(YEAR(J$4)&gt;=FPFirstYear,IF(YEAR(J$4)&lt;=FPLastYear,J$4,""),"")</f>
        <v/>
      </c>
      <c r="K36" s="116" t="str">
        <f t="shared" si="28"/>
        <v/>
      </c>
      <c r="L36" s="116" t="str">
        <f t="shared" si="28"/>
        <v/>
      </c>
      <c r="M36" s="116" t="str">
        <f t="shared" si="28"/>
        <v/>
      </c>
      <c r="N36" s="116" t="str">
        <f t="shared" si="28"/>
        <v/>
      </c>
      <c r="O36" s="116" t="str">
        <f t="shared" si="28"/>
        <v/>
      </c>
      <c r="P36" s="116">
        <f t="shared" si="28"/>
        <v>46174</v>
      </c>
      <c r="Q36" s="116">
        <f t="shared" si="28"/>
        <v>46539</v>
      </c>
      <c r="R36" s="116">
        <f t="shared" si="28"/>
        <v>46905</v>
      </c>
      <c r="S36" s="116">
        <f t="shared" si="28"/>
        <v>47270</v>
      </c>
      <c r="T36" s="116">
        <f t="shared" si="28"/>
        <v>47635</v>
      </c>
    </row>
    <row r="37" spans="1:33" ht="11.25" customHeight="1" outlineLevel="1"/>
    <row r="38" spans="1:33" ht="11.25" customHeight="1" outlineLevel="1">
      <c r="C38" s="51" t="s">
        <v>93</v>
      </c>
      <c r="D38" s="16" t="s">
        <v>94</v>
      </c>
      <c r="E38" s="16" t="str">
        <f t="shared" ref="E38:E45" si="29">percent</f>
        <v>Per cent</v>
      </c>
      <c r="J38" s="145"/>
      <c r="K38" s="106"/>
      <c r="L38" s="106"/>
      <c r="M38" s="106"/>
      <c r="N38" s="106"/>
      <c r="O38" s="106"/>
      <c r="P38" s="186">
        <v>1.9038279379402835E-3</v>
      </c>
      <c r="Q38" s="186">
        <v>1.9038279379402835E-3</v>
      </c>
      <c r="R38" s="186">
        <v>1.9038279379402835E-3</v>
      </c>
      <c r="S38" s="186">
        <v>1.9038279379402835E-3</v>
      </c>
      <c r="T38" s="186">
        <v>1.9038279379402835E-3</v>
      </c>
    </row>
    <row r="39" spans="1:33" ht="11.25" customHeight="1" outlineLevel="1">
      <c r="C39" s="51" t="s">
        <v>95</v>
      </c>
      <c r="D39" s="16" t="s">
        <v>94</v>
      </c>
      <c r="E39" s="16" t="str">
        <f t="shared" si="29"/>
        <v>Per cent</v>
      </c>
      <c r="J39" s="145"/>
      <c r="K39" s="106"/>
      <c r="L39" s="106"/>
      <c r="M39" s="106"/>
      <c r="N39" s="106"/>
      <c r="O39" s="106"/>
      <c r="P39" s="186">
        <v>1.1322761538341814E-2</v>
      </c>
      <c r="Q39" s="186">
        <v>1.0379484392601213E-2</v>
      </c>
      <c r="R39" s="186">
        <v>8.5629980226688655E-3</v>
      </c>
      <c r="S39" s="186">
        <v>1.1344858885212705E-2</v>
      </c>
      <c r="T39" s="186">
        <v>1.2798374391869052E-2</v>
      </c>
    </row>
    <row r="40" spans="1:33" ht="11.25" customHeight="1" outlineLevel="1">
      <c r="C40" s="51" t="s">
        <v>96</v>
      </c>
      <c r="D40" s="16" t="s">
        <v>94</v>
      </c>
      <c r="E40" s="16" t="str">
        <f t="shared" si="29"/>
        <v>Per cent</v>
      </c>
      <c r="J40" s="145"/>
      <c r="K40" s="106"/>
      <c r="L40" s="106"/>
      <c r="M40" s="106"/>
      <c r="N40" s="106"/>
      <c r="O40" s="106"/>
      <c r="P40" s="156">
        <f>AVERAGE(P38:P39)</f>
        <v>6.6132947381410487E-3</v>
      </c>
      <c r="Q40" s="156">
        <f t="shared" ref="Q40:T40" si="30">AVERAGE(Q38:Q39)</f>
        <v>6.1416561652707482E-3</v>
      </c>
      <c r="R40" s="156">
        <f t="shared" si="30"/>
        <v>5.2334129803045743E-3</v>
      </c>
      <c r="S40" s="156">
        <f t="shared" si="30"/>
        <v>6.6243434115764938E-3</v>
      </c>
      <c r="T40" s="156">
        <f t="shared" si="30"/>
        <v>7.3511011649046677E-3</v>
      </c>
    </row>
    <row r="41" spans="1:33" ht="11.25" customHeight="1" outlineLevel="1">
      <c r="C41" s="51" t="s">
        <v>97</v>
      </c>
      <c r="D41" s="16" t="s">
        <v>94</v>
      </c>
      <c r="E41" s="16" t="str">
        <f t="shared" si="29"/>
        <v>Per cent</v>
      </c>
      <c r="J41" s="145"/>
      <c r="K41" s="106"/>
      <c r="L41" s="106"/>
      <c r="M41" s="106"/>
      <c r="N41" s="106"/>
      <c r="O41" s="106"/>
      <c r="P41" s="157">
        <v>5.0000000000000001E-3</v>
      </c>
      <c r="Q41" s="157">
        <v>0</v>
      </c>
      <c r="R41" s="157">
        <v>0</v>
      </c>
      <c r="S41" s="157">
        <v>0</v>
      </c>
      <c r="T41" s="158">
        <v>0</v>
      </c>
      <c r="U41" s="102"/>
    </row>
    <row r="42" spans="1:33" ht="11.25" customHeight="1" outlineLevel="1">
      <c r="C42" s="51" t="s">
        <v>98</v>
      </c>
      <c r="D42" s="16" t="s">
        <v>94</v>
      </c>
      <c r="E42" s="16" t="str">
        <f t="shared" si="29"/>
        <v>Per cent</v>
      </c>
      <c r="J42" s="152"/>
      <c r="K42" s="152"/>
      <c r="L42" s="152"/>
      <c r="M42" s="152"/>
      <c r="N42" s="152"/>
      <c r="O42" s="106"/>
      <c r="P42" s="157">
        <f>P40+P41</f>
        <v>1.1613294738141048E-2</v>
      </c>
      <c r="Q42" s="157">
        <f t="shared" ref="Q42:T42" si="31">Q40+Q41</f>
        <v>6.1416561652707482E-3</v>
      </c>
      <c r="R42" s="157">
        <f t="shared" si="31"/>
        <v>5.2334129803045743E-3</v>
      </c>
      <c r="S42" s="157">
        <f t="shared" si="31"/>
        <v>6.6243434115764938E-3</v>
      </c>
      <c r="T42" s="157">
        <f t="shared" si="31"/>
        <v>7.3511011649046677E-3</v>
      </c>
    </row>
    <row r="43" spans="1:33" ht="11.25" customHeight="1" outlineLevel="1">
      <c r="C43" s="51"/>
      <c r="D43" s="16" t="s">
        <v>94</v>
      </c>
      <c r="E43" s="16" t="str">
        <f t="shared" si="29"/>
        <v>Per cent</v>
      </c>
      <c r="J43" s="153"/>
      <c r="K43" s="153"/>
      <c r="L43" s="153"/>
      <c r="M43" s="153"/>
      <c r="N43" s="153"/>
      <c r="O43" s="106"/>
      <c r="P43" s="157"/>
      <c r="Q43" s="157"/>
      <c r="R43" s="157"/>
      <c r="S43" s="157"/>
      <c r="T43" s="158"/>
    </row>
    <row r="44" spans="1:33" ht="11.25" customHeight="1" outlineLevel="1">
      <c r="C44" s="51"/>
      <c r="D44" s="16" t="s">
        <v>94</v>
      </c>
      <c r="E44" s="16" t="str">
        <f t="shared" si="29"/>
        <v>Per cent</v>
      </c>
      <c r="J44" s="145"/>
      <c r="K44" s="106"/>
      <c r="L44" s="106"/>
      <c r="M44" s="106"/>
      <c r="N44" s="106"/>
      <c r="O44" s="106"/>
      <c r="P44" s="157"/>
      <c r="Q44" s="157"/>
      <c r="R44" s="157"/>
      <c r="S44" s="157"/>
      <c r="T44" s="158"/>
    </row>
    <row r="45" spans="1:33" ht="11.25" customHeight="1" outlineLevel="1">
      <c r="C45" s="51" t="s">
        <v>99</v>
      </c>
      <c r="D45" s="16" t="s">
        <v>94</v>
      </c>
      <c r="E45" s="16" t="str">
        <f t="shared" si="29"/>
        <v>Per cent</v>
      </c>
      <c r="J45" s="145"/>
      <c r="K45" s="106"/>
      <c r="L45" s="106"/>
      <c r="M45" s="106"/>
      <c r="N45" s="106"/>
      <c r="O45" s="106"/>
      <c r="P45" s="156">
        <v>0</v>
      </c>
      <c r="Q45" s="156">
        <v>0</v>
      </c>
      <c r="R45" s="156">
        <v>0</v>
      </c>
      <c r="S45" s="156">
        <v>0</v>
      </c>
      <c r="T45" s="156">
        <v>0</v>
      </c>
    </row>
    <row r="46" spans="1:33" ht="11.25" customHeight="1" outlineLevel="1"/>
    <row r="47" spans="1:33" ht="11.25" customHeight="1" outlineLevel="1">
      <c r="C47" s="8" t="s">
        <v>100</v>
      </c>
      <c r="D47" s="16" t="s">
        <v>88</v>
      </c>
      <c r="E47" s="16" t="s">
        <v>101</v>
      </c>
      <c r="F47" s="16" t="s">
        <v>102</v>
      </c>
      <c r="J47" s="89" t="str">
        <f t="shared" ref="J47:S47" si="32">IF(J36=J4,IF(COUNTA($C38:$C45)=COUNT(J38:J45),"Ok","Check"),"")</f>
        <v/>
      </c>
      <c r="K47" s="89" t="str">
        <f t="shared" si="32"/>
        <v/>
      </c>
      <c r="L47" s="89" t="str">
        <f t="shared" si="32"/>
        <v/>
      </c>
      <c r="M47" s="89" t="str">
        <f t="shared" si="32"/>
        <v/>
      </c>
      <c r="N47" s="89" t="str">
        <f t="shared" si="32"/>
        <v/>
      </c>
      <c r="O47" s="89" t="str">
        <f t="shared" si="32"/>
        <v/>
      </c>
      <c r="P47" s="89" t="str">
        <f t="shared" si="32"/>
        <v>Ok</v>
      </c>
      <c r="Q47" s="89" t="str">
        <f t="shared" si="32"/>
        <v>Ok</v>
      </c>
      <c r="R47" s="89" t="str">
        <f t="shared" si="32"/>
        <v>Ok</v>
      </c>
      <c r="S47" s="89" t="str">
        <f t="shared" si="32"/>
        <v>Ok</v>
      </c>
      <c r="T47" s="89" t="str">
        <f>IF(T36=T4,IF(COUNTA($C38:$C45)=COUNT(T38:T45),"Ok","Check"),"")</f>
        <v>Ok</v>
      </c>
      <c r="U47" s="24"/>
      <c r="W47" s="88" t="str">
        <f>IF(COUNTIF(J47:T47,"Check")=0,"Ok","Check")</f>
        <v>Ok</v>
      </c>
    </row>
    <row r="48" spans="1:33" ht="11.25" customHeight="1" outlineLevel="1"/>
    <row r="49" spans="1:33" ht="11.25" customHeight="1" outlineLevel="1">
      <c r="C49" s="9" t="s">
        <v>103</v>
      </c>
      <c r="D49" s="21" t="s">
        <v>35</v>
      </c>
      <c r="E49" s="21" t="s">
        <v>61</v>
      </c>
      <c r="J49" s="116" t="str">
        <f t="shared" ref="J49:T49" si="33">IF(YEAR(J$4)&gt;=FPFirstYear,IF(YEAR(J$4)&lt;=FPLastYear,J$4,""),"")</f>
        <v/>
      </c>
      <c r="K49" s="116" t="str">
        <f t="shared" si="33"/>
        <v/>
      </c>
      <c r="L49" s="116" t="str">
        <f t="shared" si="33"/>
        <v/>
      </c>
      <c r="M49" s="116" t="str">
        <f t="shared" si="33"/>
        <v/>
      </c>
      <c r="N49" s="116" t="str">
        <f t="shared" si="33"/>
        <v/>
      </c>
      <c r="O49" s="116" t="str">
        <f t="shared" si="33"/>
        <v/>
      </c>
      <c r="P49" s="116">
        <f t="shared" si="33"/>
        <v>46174</v>
      </c>
      <c r="Q49" s="116">
        <f t="shared" si="33"/>
        <v>46539</v>
      </c>
      <c r="R49" s="116">
        <f t="shared" si="33"/>
        <v>46905</v>
      </c>
      <c r="S49" s="116">
        <f t="shared" si="33"/>
        <v>47270</v>
      </c>
      <c r="T49" s="116">
        <f t="shared" si="33"/>
        <v>47635</v>
      </c>
    </row>
    <row r="50" spans="1:33" ht="11.25" customHeight="1" outlineLevel="1"/>
    <row r="51" spans="1:33" ht="11.25" customHeight="1" outlineLevel="1">
      <c r="C51" s="103" t="str">
        <f t="shared" ref="C51:C58" si="34">C38</f>
        <v>WPI - KPMG forecast</v>
      </c>
      <c r="D51" s="16" t="s">
        <v>94</v>
      </c>
      <c r="E51" s="16" t="str">
        <f t="shared" ref="E51:E58" si="35">percent</f>
        <v>Per cent</v>
      </c>
      <c r="J51" s="145"/>
      <c r="K51" s="106"/>
      <c r="L51" s="106"/>
      <c r="M51" s="106"/>
      <c r="N51" s="106"/>
      <c r="O51" s="106"/>
      <c r="P51" s="157"/>
      <c r="Q51" s="157"/>
      <c r="R51" s="157"/>
      <c r="S51" s="157"/>
      <c r="T51" s="158"/>
    </row>
    <row r="52" spans="1:33" ht="11.25" customHeight="1" outlineLevel="1">
      <c r="C52" s="103" t="str">
        <f t="shared" si="34"/>
        <v>WPI - Oxford Economics forecast</v>
      </c>
      <c r="D52" s="16" t="s">
        <v>94</v>
      </c>
      <c r="E52" s="16" t="str">
        <f t="shared" si="35"/>
        <v>Per cent</v>
      </c>
      <c r="J52" s="145"/>
      <c r="K52" s="106"/>
      <c r="L52" s="106"/>
      <c r="M52" s="106"/>
      <c r="N52" s="106"/>
      <c r="O52" s="106"/>
      <c r="P52" s="157"/>
      <c r="Q52" s="157"/>
      <c r="R52" s="157"/>
      <c r="S52" s="157"/>
      <c r="T52" s="158"/>
    </row>
    <row r="53" spans="1:33" ht="11.25" customHeight="1" outlineLevel="1">
      <c r="C53" s="103" t="str">
        <f t="shared" si="34"/>
        <v>WPI - Average</v>
      </c>
      <c r="D53" s="16" t="s">
        <v>94</v>
      </c>
      <c r="E53" s="16" t="str">
        <f t="shared" si="35"/>
        <v>Per cent</v>
      </c>
      <c r="J53" s="145"/>
      <c r="K53" s="106"/>
      <c r="L53" s="106"/>
      <c r="M53" s="106"/>
      <c r="N53" s="106"/>
      <c r="O53" s="106"/>
      <c r="P53" s="157"/>
      <c r="Q53" s="157"/>
      <c r="R53" s="157"/>
      <c r="S53" s="157"/>
      <c r="T53" s="157"/>
    </row>
    <row r="54" spans="1:33" ht="11.25" customHeight="1" outlineLevel="1">
      <c r="C54" s="103" t="str">
        <f t="shared" si="34"/>
        <v>Superannuation Guarantee Increase</v>
      </c>
      <c r="D54" s="16" t="s">
        <v>94</v>
      </c>
      <c r="E54" s="16" t="str">
        <f t="shared" si="35"/>
        <v>Per cent</v>
      </c>
      <c r="J54" s="145"/>
      <c r="K54" s="106"/>
      <c r="L54" s="106"/>
      <c r="M54" s="106"/>
      <c r="N54" s="106"/>
      <c r="O54" s="106"/>
      <c r="P54" s="159"/>
      <c r="Q54" s="159"/>
      <c r="R54" s="159"/>
      <c r="S54" s="159"/>
      <c r="T54" s="160"/>
      <c r="U54" s="102"/>
    </row>
    <row r="55" spans="1:33" ht="11.25" customHeight="1" outlineLevel="1">
      <c r="C55" s="103" t="str">
        <f t="shared" si="34"/>
        <v>WPI - average + super guarentee increase</v>
      </c>
      <c r="D55" s="16" t="s">
        <v>94</v>
      </c>
      <c r="E55" s="16" t="str">
        <f t="shared" si="35"/>
        <v>Per cent</v>
      </c>
      <c r="J55" s="145"/>
      <c r="K55" s="106"/>
      <c r="L55" s="106"/>
      <c r="M55" s="106"/>
      <c r="N55" s="106"/>
      <c r="O55" s="106"/>
      <c r="P55" s="157">
        <v>0.59199999999999997</v>
      </c>
      <c r="Q55" s="157">
        <v>0.59199999999999997</v>
      </c>
      <c r="R55" s="157">
        <v>0.59199999999999997</v>
      </c>
      <c r="S55" s="157">
        <v>0.59199999999999997</v>
      </c>
      <c r="T55" s="157">
        <v>0.59199999999999997</v>
      </c>
    </row>
    <row r="56" spans="1:33" ht="11.25" customHeight="1" outlineLevel="1">
      <c r="C56" s="103">
        <f t="shared" si="34"/>
        <v>0</v>
      </c>
      <c r="D56" s="16" t="s">
        <v>94</v>
      </c>
      <c r="E56" s="16" t="str">
        <f t="shared" si="35"/>
        <v>Per cent</v>
      </c>
      <c r="J56" s="145"/>
      <c r="K56" s="106"/>
      <c r="L56" s="106"/>
      <c r="M56" s="106"/>
      <c r="N56" s="106"/>
      <c r="O56" s="106"/>
      <c r="P56" s="159"/>
      <c r="Q56" s="159"/>
      <c r="R56" s="159"/>
      <c r="S56" s="159"/>
      <c r="T56" s="160"/>
    </row>
    <row r="57" spans="1:33" ht="11.25" customHeight="1" outlineLevel="1">
      <c r="C57" s="103">
        <f t="shared" si="34"/>
        <v>0</v>
      </c>
      <c r="D57" s="16" t="s">
        <v>94</v>
      </c>
      <c r="E57" s="16" t="str">
        <f t="shared" si="35"/>
        <v>Per cent</v>
      </c>
      <c r="J57" s="145"/>
      <c r="K57" s="106"/>
      <c r="L57" s="106"/>
      <c r="M57" s="106"/>
      <c r="N57" s="106"/>
      <c r="O57" s="106"/>
      <c r="P57" s="159"/>
      <c r="Q57" s="159"/>
      <c r="R57" s="159"/>
      <c r="S57" s="159"/>
      <c r="T57" s="160"/>
    </row>
    <row r="58" spans="1:33" ht="11.25" customHeight="1" outlineLevel="1">
      <c r="C58" s="103" t="str">
        <f t="shared" si="34"/>
        <v>CPI</v>
      </c>
      <c r="D58" s="16" t="s">
        <v>94</v>
      </c>
      <c r="E58" s="16" t="str">
        <f t="shared" si="35"/>
        <v>Per cent</v>
      </c>
      <c r="J58" s="145"/>
      <c r="K58" s="106"/>
      <c r="L58" s="106"/>
      <c r="M58" s="106"/>
      <c r="N58" s="106"/>
      <c r="O58" s="106"/>
      <c r="P58" s="157">
        <f>1-P55</f>
        <v>0.40800000000000003</v>
      </c>
      <c r="Q58" s="157">
        <f t="shared" ref="Q58:T58" si="36">1-Q55</f>
        <v>0.40800000000000003</v>
      </c>
      <c r="R58" s="157">
        <f t="shared" si="36"/>
        <v>0.40800000000000003</v>
      </c>
      <c r="S58" s="157">
        <f t="shared" si="36"/>
        <v>0.40800000000000003</v>
      </c>
      <c r="T58" s="157">
        <f t="shared" si="36"/>
        <v>0.40800000000000003</v>
      </c>
    </row>
    <row r="59" spans="1:33" ht="11.25" customHeight="1" outlineLevel="1"/>
    <row r="60" spans="1:33" outlineLevel="1">
      <c r="C60" s="8" t="s">
        <v>100</v>
      </c>
      <c r="D60" s="16" t="s">
        <v>88</v>
      </c>
      <c r="E60" s="16" t="s">
        <v>101</v>
      </c>
      <c r="F60" s="16" t="s">
        <v>102</v>
      </c>
      <c r="J60" s="89" t="str">
        <f t="shared" ref="J60:S60" si="37">IF(J49=J$4,IF(SUM(J51:J58)=1,"Ok","Check"),"")</f>
        <v/>
      </c>
      <c r="K60" s="89" t="str">
        <f t="shared" si="37"/>
        <v/>
      </c>
      <c r="L60" s="89" t="str">
        <f t="shared" si="37"/>
        <v/>
      </c>
      <c r="M60" s="89" t="str">
        <f t="shared" si="37"/>
        <v/>
      </c>
      <c r="N60" s="89" t="str">
        <f t="shared" si="37"/>
        <v/>
      </c>
      <c r="O60" s="89" t="str">
        <f t="shared" si="37"/>
        <v/>
      </c>
      <c r="P60" s="89" t="str">
        <f t="shared" si="37"/>
        <v>Ok</v>
      </c>
      <c r="Q60" s="89" t="str">
        <f t="shared" si="37"/>
        <v>Ok</v>
      </c>
      <c r="R60" s="89" t="str">
        <f t="shared" si="37"/>
        <v>Ok</v>
      </c>
      <c r="S60" s="89" t="str">
        <f t="shared" si="37"/>
        <v>Ok</v>
      </c>
      <c r="T60" s="89" t="str">
        <f>IF(T49=T$4,IF(SUM(T51:T58)=1,"Ok","Check"),"")</f>
        <v>Ok</v>
      </c>
      <c r="U60" s="24"/>
      <c r="W60" s="88" t="str">
        <f>IF(COUNTIF(J60:T60,"Check")=0,"Ok","Check")</f>
        <v>Ok</v>
      </c>
    </row>
    <row r="61" spans="1:33"/>
    <row r="62" spans="1:33" customFormat="1" ht="12.75">
      <c r="A62" s="37"/>
      <c r="B62" s="43" t="s">
        <v>104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40"/>
      <c r="X62" s="41"/>
      <c r="Y62" s="41"/>
      <c r="Z62" s="41"/>
      <c r="AA62" s="41"/>
      <c r="AB62" s="41"/>
      <c r="AC62" s="41"/>
      <c r="AD62" s="41"/>
      <c r="AE62" s="41"/>
      <c r="AF62" s="42"/>
      <c r="AG62" s="42"/>
    </row>
    <row r="63" spans="1:33" outlineLevel="1">
      <c r="G63" s="21"/>
      <c r="H63" s="21"/>
    </row>
    <row r="64" spans="1:33" outlineLevel="1">
      <c r="C64" s="9" t="s">
        <v>105</v>
      </c>
      <c r="D64" s="21" t="s">
        <v>35</v>
      </c>
      <c r="E64" s="21" t="s">
        <v>61</v>
      </c>
      <c r="F64" s="21" t="s">
        <v>64</v>
      </c>
      <c r="G64" s="21"/>
      <c r="H64" s="21"/>
      <c r="J64" s="116" t="str">
        <f t="shared" ref="J64:T64" si="38">IF(YEAR(J$4)&gt;=PPLastYear,IF(YEAR(J$4)&lt;=FPLastYear,J$4,""),"")</f>
        <v/>
      </c>
      <c r="K64" s="116" t="str">
        <f t="shared" si="38"/>
        <v/>
      </c>
      <c r="L64" s="116" t="str">
        <f t="shared" si="38"/>
        <v/>
      </c>
      <c r="M64" s="116" t="str">
        <f t="shared" si="38"/>
        <v/>
      </c>
      <c r="N64" s="116" t="str">
        <f t="shared" si="38"/>
        <v/>
      </c>
      <c r="O64" s="116">
        <f t="shared" si="38"/>
        <v>45809</v>
      </c>
      <c r="P64" s="116">
        <f t="shared" si="38"/>
        <v>46174</v>
      </c>
      <c r="Q64" s="116">
        <f t="shared" si="38"/>
        <v>46539</v>
      </c>
      <c r="R64" s="116">
        <f t="shared" si="38"/>
        <v>46905</v>
      </c>
      <c r="S64" s="116">
        <f t="shared" si="38"/>
        <v>47270</v>
      </c>
      <c r="T64" s="116">
        <f t="shared" si="38"/>
        <v>47635</v>
      </c>
    </row>
    <row r="65" spans="3:23" outlineLevel="1">
      <c r="C65" s="15"/>
      <c r="G65" s="21"/>
      <c r="H65" s="21"/>
      <c r="K65" s="23"/>
      <c r="L65" s="23"/>
      <c r="M65" s="23"/>
      <c r="N65" s="23"/>
      <c r="O65" s="23"/>
    </row>
    <row r="66" spans="3:23" outlineLevel="1">
      <c r="C66" s="51" t="s">
        <v>106</v>
      </c>
      <c r="D66" s="16" t="s">
        <v>94</v>
      </c>
      <c r="E66" s="16" t="s">
        <v>107</v>
      </c>
      <c r="F66" s="16" t="s">
        <v>102</v>
      </c>
      <c r="G66" s="21"/>
      <c r="H66" s="21"/>
      <c r="J66" s="145"/>
      <c r="K66" s="139"/>
      <c r="L66" s="139"/>
      <c r="M66" s="139"/>
      <c r="N66" s="139"/>
      <c r="O66" s="192">
        <v>944787.77427028189</v>
      </c>
      <c r="P66" s="192">
        <v>953562.59082018433</v>
      </c>
      <c r="Q66" s="192">
        <v>962420.40662122786</v>
      </c>
      <c r="R66" s="192">
        <v>971362.01586149528</v>
      </c>
      <c r="S66" s="192">
        <v>980388.22038265271</v>
      </c>
      <c r="T66" s="192">
        <v>989499.82975402731</v>
      </c>
    </row>
    <row r="67" spans="3:23" outlineLevel="1">
      <c r="C67" s="51" t="s">
        <v>108</v>
      </c>
      <c r="D67" s="16" t="s">
        <v>94</v>
      </c>
      <c r="E67" s="16" t="s">
        <v>107</v>
      </c>
      <c r="F67" s="16" t="s">
        <v>102</v>
      </c>
      <c r="G67" s="21"/>
      <c r="H67" s="21"/>
      <c r="J67" s="145"/>
      <c r="K67" s="139"/>
      <c r="L67" s="139"/>
      <c r="M67" s="139"/>
      <c r="N67" s="139"/>
      <c r="O67" s="192">
        <v>90849.245780570782</v>
      </c>
      <c r="P67" s="192">
        <v>91125.196498484846</v>
      </c>
      <c r="Q67" s="192">
        <v>91405.791241850369</v>
      </c>
      <c r="R67" s="192">
        <v>91691.100430257124</v>
      </c>
      <c r="S67" s="192">
        <v>91981.195553938742</v>
      </c>
      <c r="T67" s="192">
        <v>92276.149190049371</v>
      </c>
    </row>
    <row r="68" spans="3:23" outlineLevel="1">
      <c r="C68" s="51" t="s">
        <v>109</v>
      </c>
      <c r="D68" s="16" t="s">
        <v>94</v>
      </c>
      <c r="E68" s="16" t="s">
        <v>107</v>
      </c>
      <c r="F68" s="16" t="s">
        <v>102</v>
      </c>
      <c r="G68" s="21"/>
      <c r="H68" s="21"/>
      <c r="J68" s="145"/>
      <c r="K68" s="139"/>
      <c r="L68" s="139"/>
      <c r="M68" s="139"/>
      <c r="N68" s="139"/>
      <c r="O68" s="192">
        <v>3192.7919959999999</v>
      </c>
      <c r="P68" s="192">
        <v>3192.7919959999999</v>
      </c>
      <c r="Q68" s="192">
        <v>3192.7919959999999</v>
      </c>
      <c r="R68" s="192">
        <v>3192.7919959999999</v>
      </c>
      <c r="S68" s="192">
        <v>3236.9419479318271</v>
      </c>
      <c r="T68" s="192">
        <v>3308.4511872693029</v>
      </c>
    </row>
    <row r="69" spans="3:23" outlineLevel="1">
      <c r="C69" s="51"/>
      <c r="D69" s="16" t="s">
        <v>94</v>
      </c>
      <c r="E69" s="16" t="s">
        <v>107</v>
      </c>
      <c r="F69" s="16" t="s">
        <v>102</v>
      </c>
      <c r="G69" s="21"/>
      <c r="H69" s="21"/>
      <c r="J69" s="145"/>
      <c r="K69" s="139"/>
      <c r="L69" s="139"/>
      <c r="M69" s="139"/>
      <c r="N69" s="139"/>
      <c r="O69" s="161"/>
      <c r="P69" s="161"/>
      <c r="Q69" s="161"/>
      <c r="R69" s="161"/>
      <c r="S69" s="161"/>
      <c r="T69" s="161"/>
    </row>
    <row r="70" spans="3:23" outlineLevel="1">
      <c r="C70" s="51"/>
      <c r="D70" s="16" t="s">
        <v>94</v>
      </c>
      <c r="E70" s="16" t="s">
        <v>107</v>
      </c>
      <c r="F70" s="16" t="s">
        <v>102</v>
      </c>
      <c r="G70" s="21"/>
      <c r="H70" s="21"/>
      <c r="J70" s="145"/>
      <c r="K70" s="139"/>
      <c r="L70" s="139"/>
      <c r="M70" s="139"/>
      <c r="N70" s="139"/>
      <c r="O70" s="140"/>
      <c r="P70" s="140"/>
      <c r="Q70" s="140"/>
      <c r="R70" s="140"/>
      <c r="S70" s="140"/>
      <c r="T70" s="140"/>
    </row>
    <row r="71" spans="3:23" outlineLevel="1">
      <c r="C71" s="51"/>
      <c r="D71" s="16" t="s">
        <v>94</v>
      </c>
      <c r="E71" s="16" t="s">
        <v>107</v>
      </c>
      <c r="F71" s="16" t="s">
        <v>102</v>
      </c>
      <c r="G71" s="21"/>
      <c r="H71" s="21"/>
      <c r="J71" s="145"/>
      <c r="K71" s="139"/>
      <c r="L71" s="139"/>
      <c r="M71" s="139"/>
      <c r="N71" s="139"/>
      <c r="O71" s="140"/>
      <c r="P71" s="140"/>
      <c r="Q71" s="140"/>
      <c r="R71" s="140"/>
      <c r="S71" s="140"/>
      <c r="T71" s="140"/>
    </row>
    <row r="72" spans="3:23" outlineLevel="1">
      <c r="C72" s="15"/>
      <c r="G72" s="21"/>
      <c r="H72" s="21"/>
      <c r="K72" s="23"/>
      <c r="L72" s="23"/>
      <c r="M72" s="23"/>
      <c r="N72" s="23"/>
      <c r="O72" s="23"/>
    </row>
    <row r="73" spans="3:23" outlineLevel="1">
      <c r="C73" s="8" t="s">
        <v>100</v>
      </c>
      <c r="D73" s="16" t="s">
        <v>88</v>
      </c>
      <c r="E73" s="16" t="s">
        <v>101</v>
      </c>
      <c r="F73" s="16" t="s">
        <v>102</v>
      </c>
      <c r="J73" s="89" t="str">
        <f t="shared" ref="J73:S73" si="39">IF(J64=J$4,IF(COUNTA($C66:$C71)=COUNT(J66:J71),"Ok","Check"),"")</f>
        <v/>
      </c>
      <c r="K73" s="89" t="str">
        <f t="shared" si="39"/>
        <v/>
      </c>
      <c r="L73" s="89" t="str">
        <f t="shared" si="39"/>
        <v/>
      </c>
      <c r="M73" s="89" t="str">
        <f t="shared" si="39"/>
        <v/>
      </c>
      <c r="N73" s="89" t="str">
        <f t="shared" si="39"/>
        <v/>
      </c>
      <c r="O73" s="89" t="str">
        <f t="shared" si="39"/>
        <v>Ok</v>
      </c>
      <c r="P73" s="89" t="str">
        <f t="shared" si="39"/>
        <v>Ok</v>
      </c>
      <c r="Q73" s="89" t="str">
        <f t="shared" si="39"/>
        <v>Ok</v>
      </c>
      <c r="R73" s="89" t="str">
        <f t="shared" si="39"/>
        <v>Ok</v>
      </c>
      <c r="S73" s="89" t="str">
        <f t="shared" si="39"/>
        <v>Ok</v>
      </c>
      <c r="T73" s="89" t="str">
        <f>IF(T64=T$4,IF(COUNTA($C66:$C71)=COUNT(T66:T71),"Ok","Check"),"")</f>
        <v>Ok</v>
      </c>
      <c r="U73" s="24"/>
      <c r="W73" s="88" t="str">
        <f>IF(COUNTIF(J73:T73,"Check")=0,"Ok","Check")</f>
        <v>Ok</v>
      </c>
    </row>
    <row r="74" spans="3:23" outlineLevel="1">
      <c r="C74" s="15"/>
      <c r="G74" s="21"/>
      <c r="H74" s="21"/>
      <c r="K74" s="23"/>
      <c r="L74" s="23"/>
      <c r="M74" s="23"/>
      <c r="N74" s="23"/>
      <c r="O74" s="23"/>
    </row>
    <row r="75" spans="3:23" outlineLevel="1">
      <c r="C75" s="9" t="s">
        <v>110</v>
      </c>
      <c r="D75" s="21" t="s">
        <v>35</v>
      </c>
      <c r="E75" s="21" t="s">
        <v>61</v>
      </c>
      <c r="F75" s="21" t="s">
        <v>64</v>
      </c>
      <c r="G75" s="21"/>
      <c r="H75" s="21"/>
      <c r="J75" s="116" t="str">
        <f t="shared" ref="J75:T75" si="40">IF(YEAR(J$4)&gt;=FPFirstYear,IF(YEAR(J$4)&lt;=FPLastYear,J$4,""),"")</f>
        <v/>
      </c>
      <c r="K75" s="116" t="str">
        <f t="shared" si="40"/>
        <v/>
      </c>
      <c r="L75" s="116" t="str">
        <f t="shared" si="40"/>
        <v/>
      </c>
      <c r="M75" s="116" t="str">
        <f t="shared" si="40"/>
        <v/>
      </c>
      <c r="N75" s="116" t="str">
        <f t="shared" si="40"/>
        <v/>
      </c>
      <c r="O75" s="116" t="str">
        <f t="shared" si="40"/>
        <v/>
      </c>
      <c r="P75" s="116">
        <f t="shared" si="40"/>
        <v>46174</v>
      </c>
      <c r="Q75" s="116">
        <f t="shared" si="40"/>
        <v>46539</v>
      </c>
      <c r="R75" s="116">
        <f t="shared" si="40"/>
        <v>46905</v>
      </c>
      <c r="S75" s="116">
        <f t="shared" si="40"/>
        <v>47270</v>
      </c>
      <c r="T75" s="116">
        <f t="shared" si="40"/>
        <v>47635</v>
      </c>
      <c r="U75" s="8" t="str">
        <f>IF(RIGHT(U$4,2)&gt;=RIGHT('Input|General'!$G$13,2),IF(RIGHT(U$4,2)&lt;='Input|General'!$G$14,'Input|Reported opex'!T$4,""),"")</f>
        <v/>
      </c>
    </row>
    <row r="76" spans="3:23" outlineLevel="1">
      <c r="C76" s="15"/>
      <c r="G76" s="21"/>
      <c r="H76" s="21"/>
      <c r="K76" s="23"/>
      <c r="L76" s="23"/>
      <c r="M76" s="23"/>
      <c r="N76" s="23"/>
      <c r="O76" s="23"/>
    </row>
    <row r="77" spans="3:23" outlineLevel="1">
      <c r="C77" s="103" t="str">
        <f>C66</f>
        <v>Customer numbers (#)</v>
      </c>
      <c r="D77" s="16" t="s">
        <v>88</v>
      </c>
      <c r="E77" s="16" t="s">
        <v>107</v>
      </c>
      <c r="F77" s="16" t="s">
        <v>102</v>
      </c>
      <c r="G77" s="21"/>
      <c r="H77" s="21"/>
      <c r="J77" s="78" t="str">
        <f t="shared" ref="J77:M77" si="41">IF(ISBLANK(I66),"",IF(ISBLANK(J66),"",LN(J66)-LN(I66)))</f>
        <v/>
      </c>
      <c r="K77" s="78" t="str">
        <f t="shared" si="41"/>
        <v/>
      </c>
      <c r="L77" s="78" t="str">
        <f t="shared" si="41"/>
        <v/>
      </c>
      <c r="M77" s="78" t="str">
        <f t="shared" si="41"/>
        <v/>
      </c>
      <c r="N77" s="78" t="str">
        <f>IF(ISBLANK(M66),"",IF(ISBLANK(N66),"",LN(N66)-LN(M66)))</f>
        <v/>
      </c>
      <c r="O77" s="78" t="str">
        <f t="shared" ref="O77:T77" si="42">IF(ISBLANK(N66),"",IF(ISBLANK(O66),"",LN(O66)-LN(N66)))</f>
        <v/>
      </c>
      <c r="P77" s="78">
        <f t="shared" si="42"/>
        <v>9.2447413357739094E-3</v>
      </c>
      <c r="Q77" s="78">
        <f t="shared" si="42"/>
        <v>9.2463022066144873E-3</v>
      </c>
      <c r="R77" s="78">
        <f t="shared" si="42"/>
        <v>9.247858354937577E-3</v>
      </c>
      <c r="S77" s="78">
        <f t="shared" si="42"/>
        <v>9.2494097902005024E-3</v>
      </c>
      <c r="T77" s="78">
        <f t="shared" si="42"/>
        <v>9.2509565218801271E-3</v>
      </c>
    </row>
    <row r="78" spans="3:23" outlineLevel="1">
      <c r="C78" s="103" t="str">
        <f t="shared" ref="C78:C82" si="43">C67</f>
        <v>Circuit Length (km)</v>
      </c>
      <c r="D78" s="16" t="s">
        <v>88</v>
      </c>
      <c r="E78" s="16" t="s">
        <v>107</v>
      </c>
      <c r="F78" s="16" t="s">
        <v>102</v>
      </c>
      <c r="G78" s="21"/>
      <c r="H78" s="21"/>
      <c r="J78" s="78" t="str">
        <f t="shared" ref="J78:T78" si="44">IF(ISBLANK(I67),"",IF(ISBLANK(J67),"",LN(J67)-LN(I67)))</f>
        <v/>
      </c>
      <c r="K78" s="78" t="str">
        <f t="shared" si="44"/>
        <v/>
      </c>
      <c r="L78" s="78" t="str">
        <f t="shared" si="44"/>
        <v/>
      </c>
      <c r="M78" s="78" t="str">
        <f t="shared" si="44"/>
        <v/>
      </c>
      <c r="N78" s="78" t="str">
        <f t="shared" si="44"/>
        <v/>
      </c>
      <c r="O78" s="78" t="str">
        <f t="shared" si="44"/>
        <v/>
      </c>
      <c r="P78" s="78">
        <f t="shared" si="44"/>
        <v>3.0328536906480963E-3</v>
      </c>
      <c r="Q78" s="78">
        <f t="shared" si="44"/>
        <v>3.0744912725868545E-3</v>
      </c>
      <c r="R78" s="78">
        <f t="shared" si="44"/>
        <v>3.1164856674834596E-3</v>
      </c>
      <c r="S78" s="78">
        <f t="shared" si="44"/>
        <v>3.1588363759187388E-3</v>
      </c>
      <c r="T78" s="78">
        <f t="shared" si="44"/>
        <v>3.2015428037013294E-3</v>
      </c>
    </row>
    <row r="79" spans="3:23" outlineLevel="1">
      <c r="C79" s="103" t="str">
        <f t="shared" si="43"/>
        <v>Ratcheted Maximum Demand (MW)</v>
      </c>
      <c r="D79" s="16" t="s">
        <v>88</v>
      </c>
      <c r="E79" s="16" t="s">
        <v>107</v>
      </c>
      <c r="F79" s="16" t="s">
        <v>102</v>
      </c>
      <c r="G79" s="21"/>
      <c r="H79" s="21"/>
      <c r="J79" s="78" t="str">
        <f t="shared" ref="J79:T79" si="45">IF(ISBLANK(I68),"",IF(ISBLANK(J68),"",LN(J68)-LN(I68)))</f>
        <v/>
      </c>
      <c r="K79" s="78" t="str">
        <f t="shared" si="45"/>
        <v/>
      </c>
      <c r="L79" s="78" t="str">
        <f t="shared" si="45"/>
        <v/>
      </c>
      <c r="M79" s="78" t="str">
        <f t="shared" si="45"/>
        <v/>
      </c>
      <c r="N79" s="78" t="str">
        <f t="shared" si="45"/>
        <v/>
      </c>
      <c r="O79" s="78" t="str">
        <f t="shared" si="45"/>
        <v/>
      </c>
      <c r="P79" s="78">
        <f t="shared" si="45"/>
        <v>0</v>
      </c>
      <c r="Q79" s="78">
        <f t="shared" si="45"/>
        <v>0</v>
      </c>
      <c r="R79" s="78">
        <f t="shared" si="45"/>
        <v>0</v>
      </c>
      <c r="S79" s="78">
        <f t="shared" si="45"/>
        <v>1.3733273014086222E-2</v>
      </c>
      <c r="T79" s="78">
        <f t="shared" si="45"/>
        <v>2.1851119753780068E-2</v>
      </c>
    </row>
    <row r="80" spans="3:23" outlineLevel="1">
      <c r="C80" s="103">
        <f t="shared" si="43"/>
        <v>0</v>
      </c>
      <c r="D80" s="16" t="s">
        <v>88</v>
      </c>
      <c r="E80" s="16" t="s">
        <v>107</v>
      </c>
      <c r="F80" s="16" t="s">
        <v>102</v>
      </c>
      <c r="G80" s="21"/>
      <c r="H80" s="21"/>
      <c r="J80" s="78" t="str">
        <f t="shared" ref="J80:T80" si="46">IF(ISBLANK(I69),"",IF(ISBLANK(J69),"",LN(J69)-LN(I69)))</f>
        <v/>
      </c>
      <c r="K80" s="78" t="str">
        <f t="shared" si="46"/>
        <v/>
      </c>
      <c r="L80" s="78" t="str">
        <f t="shared" si="46"/>
        <v/>
      </c>
      <c r="M80" s="78" t="str">
        <f t="shared" si="46"/>
        <v/>
      </c>
      <c r="N80" s="78" t="str">
        <f t="shared" si="46"/>
        <v/>
      </c>
      <c r="O80" s="78" t="str">
        <f t="shared" si="46"/>
        <v/>
      </c>
      <c r="P80" s="78" t="str">
        <f t="shared" si="46"/>
        <v/>
      </c>
      <c r="Q80" s="78" t="str">
        <f t="shared" si="46"/>
        <v/>
      </c>
      <c r="R80" s="78" t="str">
        <f t="shared" si="46"/>
        <v/>
      </c>
      <c r="S80" s="78" t="str">
        <f t="shared" si="46"/>
        <v/>
      </c>
      <c r="T80" s="78" t="str">
        <f t="shared" si="46"/>
        <v/>
      </c>
    </row>
    <row r="81" spans="3:20" outlineLevel="1">
      <c r="C81" s="103">
        <f t="shared" si="43"/>
        <v>0</v>
      </c>
      <c r="D81" s="16" t="s">
        <v>88</v>
      </c>
      <c r="E81" s="16" t="s">
        <v>107</v>
      </c>
      <c r="F81" s="16" t="s">
        <v>102</v>
      </c>
      <c r="G81" s="21"/>
      <c r="H81" s="21"/>
      <c r="J81" s="78" t="str">
        <f t="shared" ref="J81:T81" si="47">IF(ISBLANK(I70),"",IF(ISBLANK(J70),"",LN(J70)-LN(I70)))</f>
        <v/>
      </c>
      <c r="K81" s="78" t="str">
        <f t="shared" si="47"/>
        <v/>
      </c>
      <c r="L81" s="78" t="str">
        <f t="shared" si="47"/>
        <v/>
      </c>
      <c r="M81" s="78" t="str">
        <f t="shared" si="47"/>
        <v/>
      </c>
      <c r="N81" s="78" t="str">
        <f t="shared" si="47"/>
        <v/>
      </c>
      <c r="O81" s="78" t="str">
        <f t="shared" si="47"/>
        <v/>
      </c>
      <c r="P81" s="78" t="str">
        <f t="shared" si="47"/>
        <v/>
      </c>
      <c r="Q81" s="78" t="str">
        <f t="shared" si="47"/>
        <v/>
      </c>
      <c r="R81" s="78" t="str">
        <f t="shared" si="47"/>
        <v/>
      </c>
      <c r="S81" s="78" t="str">
        <f t="shared" si="47"/>
        <v/>
      </c>
      <c r="T81" s="78" t="str">
        <f t="shared" si="47"/>
        <v/>
      </c>
    </row>
    <row r="82" spans="3:20" outlineLevel="1">
      <c r="C82" s="103">
        <f t="shared" si="43"/>
        <v>0</v>
      </c>
      <c r="D82" s="16" t="s">
        <v>88</v>
      </c>
      <c r="E82" s="16" t="s">
        <v>107</v>
      </c>
      <c r="F82" s="16" t="s">
        <v>102</v>
      </c>
      <c r="G82" s="21"/>
      <c r="H82" s="21"/>
      <c r="J82" s="78" t="str">
        <f t="shared" ref="J82:T82" si="48">IF(ISBLANK(I71),"",IF(ISBLANK(J71),"",LN(J71)-LN(I71)))</f>
        <v/>
      </c>
      <c r="K82" s="78" t="str">
        <f t="shared" si="48"/>
        <v/>
      </c>
      <c r="L82" s="78" t="str">
        <f t="shared" si="48"/>
        <v/>
      </c>
      <c r="M82" s="78" t="str">
        <f t="shared" si="48"/>
        <v/>
      </c>
      <c r="N82" s="78" t="str">
        <f t="shared" si="48"/>
        <v/>
      </c>
      <c r="O82" s="78" t="str">
        <f t="shared" si="48"/>
        <v/>
      </c>
      <c r="P82" s="78" t="str">
        <f t="shared" si="48"/>
        <v/>
      </c>
      <c r="Q82" s="78" t="str">
        <f t="shared" si="48"/>
        <v/>
      </c>
      <c r="R82" s="78" t="str">
        <f t="shared" si="48"/>
        <v/>
      </c>
      <c r="S82" s="78" t="str">
        <f t="shared" si="48"/>
        <v/>
      </c>
      <c r="T82" s="78" t="str">
        <f t="shared" si="48"/>
        <v/>
      </c>
    </row>
    <row r="83" spans="3:20" outlineLevel="1">
      <c r="C83" s="15"/>
      <c r="G83" s="21"/>
      <c r="H83" s="21"/>
      <c r="K83" s="23"/>
      <c r="L83" s="23"/>
      <c r="M83" s="23"/>
      <c r="N83" s="23"/>
      <c r="O83" s="23"/>
    </row>
    <row r="84" spans="3:20" outlineLevel="1">
      <c r="C84" s="9" t="s">
        <v>111</v>
      </c>
      <c r="D84" s="21" t="s">
        <v>35</v>
      </c>
      <c r="E84" s="21" t="s">
        <v>61</v>
      </c>
      <c r="F84" s="21" t="s">
        <v>64</v>
      </c>
      <c r="G84" s="21"/>
      <c r="H84" s="21"/>
      <c r="J84" s="149" t="s">
        <v>112</v>
      </c>
      <c r="K84" s="149" t="s">
        <v>113</v>
      </c>
      <c r="L84" s="149" t="s">
        <v>114</v>
      </c>
      <c r="M84" s="149" t="s">
        <v>115</v>
      </c>
      <c r="N84" s="116"/>
      <c r="O84" s="116"/>
      <c r="P84" s="116"/>
      <c r="Q84" s="116"/>
      <c r="R84" s="116"/>
      <c r="S84" s="116"/>
      <c r="T84" s="116"/>
    </row>
    <row r="85" spans="3:20" outlineLevel="1">
      <c r="C85" s="15"/>
      <c r="G85" s="21"/>
      <c r="H85" s="21"/>
      <c r="K85" s="23"/>
      <c r="L85" s="23"/>
      <c r="M85" s="23"/>
      <c r="N85" s="116"/>
      <c r="O85" s="70"/>
      <c r="P85" s="70"/>
      <c r="Q85" s="70"/>
      <c r="R85" s="70"/>
      <c r="S85" s="70"/>
      <c r="T85" s="70"/>
    </row>
    <row r="86" spans="3:20" outlineLevel="1">
      <c r="C86" s="103" t="str">
        <f>C66</f>
        <v>Customer numbers (#)</v>
      </c>
      <c r="D86" s="16" t="s">
        <v>94</v>
      </c>
      <c r="E86" s="16" t="s">
        <v>107</v>
      </c>
      <c r="F86" s="16" t="s">
        <v>102</v>
      </c>
      <c r="G86" s="21"/>
      <c r="H86" s="21"/>
      <c r="J86" s="203">
        <v>0.36399999999999999</v>
      </c>
      <c r="K86" s="203">
        <v>0.56499999999999995</v>
      </c>
      <c r="L86" s="203">
        <v>0.40100000000000002</v>
      </c>
      <c r="M86" s="189">
        <v>0.36899999999999999</v>
      </c>
      <c r="N86" s="116"/>
      <c r="O86" s="137"/>
      <c r="P86" s="137"/>
      <c r="Q86" s="137"/>
      <c r="R86" s="137"/>
      <c r="S86" s="137"/>
      <c r="T86" s="137"/>
    </row>
    <row r="87" spans="3:20" outlineLevel="1">
      <c r="C87" s="103" t="str">
        <f t="shared" ref="C87:C91" si="49">C67</f>
        <v>Circuit Length (km)</v>
      </c>
      <c r="D87" s="16" t="s">
        <v>94</v>
      </c>
      <c r="E87" s="16" t="s">
        <v>107</v>
      </c>
      <c r="F87" s="16" t="s">
        <v>102</v>
      </c>
      <c r="G87" s="21"/>
      <c r="H87" s="21"/>
      <c r="J87" s="203">
        <v>0.13200000000000001</v>
      </c>
      <c r="K87" s="203">
        <v>0.17</v>
      </c>
      <c r="L87" s="203">
        <v>0.182</v>
      </c>
      <c r="M87" s="189">
        <v>9.1999999999999998E-2</v>
      </c>
      <c r="N87" s="116"/>
      <c r="O87" s="137"/>
      <c r="P87" s="137"/>
      <c r="Q87" s="137"/>
      <c r="R87" s="137"/>
      <c r="S87" s="137"/>
      <c r="T87" s="137"/>
    </row>
    <row r="88" spans="3:20" outlineLevel="1">
      <c r="C88" s="103" t="str">
        <f t="shared" si="49"/>
        <v>Ratcheted Maximum Demand (MW)</v>
      </c>
      <c r="D88" s="16" t="s">
        <v>94</v>
      </c>
      <c r="E88" s="16" t="s">
        <v>107</v>
      </c>
      <c r="F88" s="16" t="s">
        <v>102</v>
      </c>
      <c r="G88" s="21"/>
      <c r="H88" s="21"/>
      <c r="J88" s="203">
        <v>0.47499999999999998</v>
      </c>
      <c r="K88" s="203">
        <v>0.23799999999999999</v>
      </c>
      <c r="L88" s="203">
        <v>0.373</v>
      </c>
      <c r="M88" s="189">
        <v>0.44500000000000001</v>
      </c>
      <c r="N88" s="116"/>
      <c r="O88" s="137"/>
      <c r="P88" s="137"/>
      <c r="Q88" s="137"/>
      <c r="R88" s="137"/>
      <c r="S88" s="137"/>
      <c r="T88" s="137"/>
    </row>
    <row r="89" spans="3:20" outlineLevel="1">
      <c r="C89" s="103">
        <f t="shared" si="49"/>
        <v>0</v>
      </c>
      <c r="D89" s="16" t="s">
        <v>94</v>
      </c>
      <c r="E89" s="16" t="s">
        <v>107</v>
      </c>
      <c r="F89" s="16" t="s">
        <v>102</v>
      </c>
      <c r="G89" s="21"/>
      <c r="H89" s="21"/>
      <c r="J89" s="169"/>
      <c r="K89" s="169"/>
      <c r="L89" s="169"/>
      <c r="M89" s="168"/>
      <c r="N89" s="116"/>
      <c r="O89" s="137"/>
      <c r="P89" s="137"/>
      <c r="Q89" s="137"/>
      <c r="R89" s="137"/>
      <c r="S89" s="137"/>
      <c r="T89" s="137"/>
    </row>
    <row r="90" spans="3:20" outlineLevel="1">
      <c r="C90" s="103">
        <f t="shared" si="49"/>
        <v>0</v>
      </c>
      <c r="D90" s="16" t="s">
        <v>94</v>
      </c>
      <c r="E90" s="16" t="s">
        <v>107</v>
      </c>
      <c r="F90" s="16" t="s">
        <v>102</v>
      </c>
      <c r="G90" s="21"/>
      <c r="H90" s="21"/>
      <c r="J90" s="170"/>
      <c r="K90" s="170"/>
      <c r="L90" s="170"/>
      <c r="M90" s="170"/>
      <c r="N90" s="116"/>
      <c r="O90" s="137"/>
      <c r="P90" s="137"/>
      <c r="Q90" s="137"/>
      <c r="R90" s="137"/>
      <c r="S90" s="137"/>
      <c r="T90" s="137"/>
    </row>
    <row r="91" spans="3:20" outlineLevel="1">
      <c r="C91" s="103">
        <f t="shared" si="49"/>
        <v>0</v>
      </c>
      <c r="D91" s="16" t="s">
        <v>94</v>
      </c>
      <c r="E91" s="16" t="s">
        <v>107</v>
      </c>
      <c r="F91" s="16" t="s">
        <v>102</v>
      </c>
      <c r="G91" s="21"/>
      <c r="H91" s="21"/>
      <c r="J91" s="170"/>
      <c r="K91" s="170"/>
      <c r="L91" s="170"/>
      <c r="M91" s="170"/>
      <c r="N91" s="116"/>
      <c r="O91" s="137"/>
      <c r="P91" s="137"/>
      <c r="Q91" s="137"/>
      <c r="R91" s="137"/>
      <c r="S91" s="137"/>
      <c r="T91" s="137"/>
    </row>
    <row r="92" spans="3:20" outlineLevel="1">
      <c r="C92" s="15"/>
      <c r="G92" s="21"/>
      <c r="H92" s="21"/>
      <c r="K92" s="23"/>
      <c r="L92" s="23"/>
      <c r="M92" s="23"/>
      <c r="N92" s="23"/>
      <c r="O92" s="23"/>
    </row>
    <row r="93" spans="3:20" outlineLevel="1">
      <c r="C93" s="9" t="s">
        <v>116</v>
      </c>
      <c r="D93" s="21" t="s">
        <v>35</v>
      </c>
      <c r="E93" s="21" t="s">
        <v>61</v>
      </c>
      <c r="F93" s="21" t="s">
        <v>64</v>
      </c>
      <c r="G93" s="21"/>
      <c r="H93" s="21"/>
      <c r="J93" s="149" t="s">
        <v>112</v>
      </c>
      <c r="K93" s="149" t="s">
        <v>113</v>
      </c>
      <c r="L93" s="149" t="s">
        <v>114</v>
      </c>
      <c r="M93" s="149" t="s">
        <v>115</v>
      </c>
      <c r="N93" s="116"/>
      <c r="O93" s="116"/>
      <c r="P93" s="116"/>
      <c r="Q93" s="116"/>
      <c r="R93" s="116"/>
      <c r="S93" s="116"/>
      <c r="T93" s="116"/>
    </row>
    <row r="94" spans="3:20" outlineLevel="1">
      <c r="C94" s="15"/>
      <c r="G94" s="21"/>
      <c r="H94" s="21"/>
      <c r="K94" s="23"/>
      <c r="L94" s="23"/>
      <c r="M94" s="23"/>
      <c r="N94" s="116"/>
      <c r="O94" s="70"/>
      <c r="P94" s="70"/>
      <c r="Q94" s="70"/>
      <c r="R94" s="70"/>
      <c r="S94" s="70"/>
      <c r="T94" s="70"/>
    </row>
    <row r="95" spans="3:20" outlineLevel="1">
      <c r="C95" s="103" t="str">
        <f t="shared" ref="C95:C100" si="50">C66</f>
        <v>Customer numbers (#)</v>
      </c>
      <c r="D95" s="16" t="s">
        <v>88</v>
      </c>
      <c r="E95" s="16" t="str">
        <f t="shared" ref="E95:E100" si="51">percent</f>
        <v>Per cent</v>
      </c>
      <c r="F95" s="16" t="s">
        <v>102</v>
      </c>
      <c r="G95" s="21"/>
      <c r="H95" s="21"/>
      <c r="J95" s="190">
        <f>J86/SUM(J$86:J$91)</f>
        <v>0.37487126673532439</v>
      </c>
      <c r="K95" s="190">
        <f t="shared" ref="K95:M95" si="52">K86/SUM(K$86:K$91)</f>
        <v>0.58067831449126406</v>
      </c>
      <c r="L95" s="190">
        <f t="shared" si="52"/>
        <v>0.41945606694560672</v>
      </c>
      <c r="M95" s="190">
        <f t="shared" si="52"/>
        <v>0.40728476821192056</v>
      </c>
      <c r="N95" s="116"/>
      <c r="O95" s="137"/>
      <c r="P95" s="137"/>
      <c r="Q95" s="137"/>
      <c r="R95" s="137"/>
      <c r="S95" s="137"/>
      <c r="T95" s="137"/>
    </row>
    <row r="96" spans="3:20" outlineLevel="1">
      <c r="C96" s="103" t="str">
        <f t="shared" si="50"/>
        <v>Circuit Length (km)</v>
      </c>
      <c r="D96" s="16" t="s">
        <v>88</v>
      </c>
      <c r="E96" s="16" t="str">
        <f t="shared" si="51"/>
        <v>Per cent</v>
      </c>
      <c r="F96" s="16" t="s">
        <v>102</v>
      </c>
      <c r="G96" s="21"/>
      <c r="H96" s="21"/>
      <c r="J96" s="190">
        <f t="shared" ref="J96:M96" si="53">J87/SUM(J$86:J$91)</f>
        <v>0.13594232749742535</v>
      </c>
      <c r="K96" s="190">
        <f t="shared" si="53"/>
        <v>0.17471736896197329</v>
      </c>
      <c r="L96" s="190">
        <f t="shared" si="53"/>
        <v>0.1903765690376569</v>
      </c>
      <c r="M96" s="190">
        <f t="shared" si="53"/>
        <v>0.10154525386313466</v>
      </c>
      <c r="N96" s="116"/>
      <c r="O96" s="137"/>
      <c r="P96" s="137"/>
      <c r="Q96" s="137"/>
      <c r="R96" s="137"/>
      <c r="S96" s="137"/>
      <c r="T96" s="137"/>
    </row>
    <row r="97" spans="1:33" outlineLevel="1">
      <c r="C97" s="103" t="str">
        <f t="shared" si="50"/>
        <v>Ratcheted Maximum Demand (MW)</v>
      </c>
      <c r="D97" s="16" t="s">
        <v>88</v>
      </c>
      <c r="E97" s="16" t="str">
        <f t="shared" si="51"/>
        <v>Per cent</v>
      </c>
      <c r="F97" s="16" t="s">
        <v>102</v>
      </c>
      <c r="G97" s="21"/>
      <c r="H97" s="21"/>
      <c r="J97" s="190">
        <f t="shared" ref="J97:M97" si="54">J88/SUM(J$86:J$91)</f>
        <v>0.48918640576725025</v>
      </c>
      <c r="K97" s="190">
        <f t="shared" si="54"/>
        <v>0.2446043165467626</v>
      </c>
      <c r="L97" s="190">
        <f t="shared" si="54"/>
        <v>0.39016736401673641</v>
      </c>
      <c r="M97" s="190">
        <f t="shared" si="54"/>
        <v>0.49116997792494488</v>
      </c>
      <c r="N97" s="116"/>
      <c r="O97" s="137"/>
      <c r="P97" s="137"/>
      <c r="Q97" s="137"/>
      <c r="R97" s="137"/>
      <c r="S97" s="137"/>
      <c r="T97" s="137"/>
    </row>
    <row r="98" spans="1:33" outlineLevel="1">
      <c r="C98" s="103">
        <f t="shared" si="50"/>
        <v>0</v>
      </c>
      <c r="D98" s="16" t="s">
        <v>88</v>
      </c>
      <c r="E98" s="16" t="str">
        <f t="shared" si="51"/>
        <v>Per cent</v>
      </c>
      <c r="F98" s="16" t="s">
        <v>102</v>
      </c>
      <c r="G98" s="21"/>
      <c r="H98" s="21"/>
      <c r="J98" s="190">
        <f t="shared" ref="J98:M98" si="55">J89/SUM(J$86:J$91)</f>
        <v>0</v>
      </c>
      <c r="K98" s="190">
        <f t="shared" si="55"/>
        <v>0</v>
      </c>
      <c r="L98" s="190">
        <f t="shared" si="55"/>
        <v>0</v>
      </c>
      <c r="M98" s="190">
        <f t="shared" si="55"/>
        <v>0</v>
      </c>
      <c r="N98" s="116"/>
      <c r="O98" s="137"/>
      <c r="P98" s="137"/>
      <c r="Q98" s="137"/>
      <c r="R98" s="137"/>
      <c r="S98" s="137"/>
      <c r="T98" s="137"/>
    </row>
    <row r="99" spans="1:33" outlineLevel="1">
      <c r="C99" s="103">
        <f t="shared" si="50"/>
        <v>0</v>
      </c>
      <c r="D99" s="16" t="s">
        <v>88</v>
      </c>
      <c r="E99" s="16" t="str">
        <f t="shared" si="51"/>
        <v>Per cent</v>
      </c>
      <c r="F99" s="16" t="s">
        <v>102</v>
      </c>
      <c r="G99" s="21"/>
      <c r="H99" s="21"/>
      <c r="J99" s="190">
        <f t="shared" ref="J99:M99" si="56">J90/SUM(J$86:J$91)</f>
        <v>0</v>
      </c>
      <c r="K99" s="190">
        <f t="shared" si="56"/>
        <v>0</v>
      </c>
      <c r="L99" s="190">
        <f t="shared" si="56"/>
        <v>0</v>
      </c>
      <c r="M99" s="190">
        <f t="shared" si="56"/>
        <v>0</v>
      </c>
      <c r="N99" s="116"/>
      <c r="O99" s="137"/>
      <c r="P99" s="137"/>
      <c r="Q99" s="137"/>
      <c r="R99" s="137"/>
      <c r="S99" s="137"/>
      <c r="T99" s="137"/>
    </row>
    <row r="100" spans="1:33" outlineLevel="1">
      <c r="C100" s="103">
        <f t="shared" si="50"/>
        <v>0</v>
      </c>
      <c r="D100" s="16" t="s">
        <v>88</v>
      </c>
      <c r="E100" s="16" t="str">
        <f t="shared" si="51"/>
        <v>Per cent</v>
      </c>
      <c r="F100" s="16" t="s">
        <v>102</v>
      </c>
      <c r="G100" s="21"/>
      <c r="H100" s="21"/>
      <c r="J100" s="190">
        <f t="shared" ref="J100:M100" si="57">J91/SUM(J$86:J$91)</f>
        <v>0</v>
      </c>
      <c r="K100" s="190">
        <f t="shared" si="57"/>
        <v>0</v>
      </c>
      <c r="L100" s="190">
        <f t="shared" si="57"/>
        <v>0</v>
      </c>
      <c r="M100" s="190">
        <f t="shared" si="57"/>
        <v>0</v>
      </c>
      <c r="N100" s="116"/>
      <c r="O100" s="137"/>
      <c r="P100" s="137"/>
      <c r="Q100" s="137"/>
      <c r="R100" s="137"/>
      <c r="S100" s="137"/>
      <c r="T100" s="137"/>
    </row>
    <row r="101" spans="1:33" outlineLevel="1">
      <c r="G101" s="21"/>
      <c r="H101" s="21"/>
    </row>
    <row r="102" spans="1:33" outlineLevel="1">
      <c r="C102" s="8" t="s">
        <v>100</v>
      </c>
      <c r="D102" s="16" t="s">
        <v>88</v>
      </c>
      <c r="E102" s="16" t="s">
        <v>101</v>
      </c>
      <c r="F102" s="16" t="s">
        <v>102</v>
      </c>
      <c r="J102" s="89" t="str">
        <f t="array" ref="J102">IF(ISBLANK(J95:J100),"",IF(SUM(J95:J100)=1,"Ok","Check"))</f>
        <v>Ok</v>
      </c>
      <c r="K102" s="89" t="str">
        <f t="array" ref="K102">IF(ISBLANK(K95:K100),"",IF(SUM(K95:K100)=1,"Ok","Check"))</f>
        <v>Ok</v>
      </c>
      <c r="L102" s="89" t="str">
        <f t="array" ref="L102">IF(ISBLANK(L95:L100),"",IF(SUM(L95:L100)=1,"Ok","Check"))</f>
        <v>Ok</v>
      </c>
      <c r="M102" s="89" t="str">
        <f t="array" ref="M102">IF(ISBLANK(M95:M100),"",IF(SUM(M95:M100)=1,"Ok","Check"))</f>
        <v>Ok</v>
      </c>
      <c r="N102" s="89" t="str">
        <f t="array" ref="N102">IF(ISBLANK(N95:N100),"",IF(SUM(N95:N100)=1,"Ok","Check"))</f>
        <v/>
      </c>
      <c r="O102" s="89" t="str">
        <f t="array" ref="O102">IF(ISBLANK(O95:O100),"",IF(SUM(O95:O100)=1,"Ok","Check"))</f>
        <v/>
      </c>
      <c r="P102" s="89"/>
      <c r="Q102" s="89" t="str">
        <f t="array" ref="Q102">IF(ISBLANK(Q95:Q100),"",IF(SUM(Q95:Q100)=1,"Ok","Check"))</f>
        <v/>
      </c>
      <c r="R102" s="89" t="str">
        <f t="array" ref="R102">IF(ISBLANK(R95:R100),"",IF(SUM(R95:R100)=1,"Ok","Check"))</f>
        <v/>
      </c>
      <c r="S102" s="89" t="str">
        <f t="array" ref="S102">IF(ISBLANK(S95:S100),"",IF(SUM(S95:S100)=1,"Ok","Check"))</f>
        <v/>
      </c>
      <c r="T102" s="89" t="str">
        <f t="array" ref="T102">IF(ISBLANK(T95:T100),"",IF(SUM(T95:T100)=1,"Ok","Check"))</f>
        <v/>
      </c>
      <c r="U102" s="24"/>
      <c r="W102" s="88" t="str">
        <f>IF(COUNTIF(K102:T102,"Check")=0,"Ok","Check")</f>
        <v>Ok</v>
      </c>
    </row>
    <row r="103" spans="1:33" outlineLevel="1"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24"/>
      <c r="W103" s="89"/>
    </row>
    <row r="104" spans="1:33" outlineLevel="1">
      <c r="C104" s="9" t="s">
        <v>117</v>
      </c>
      <c r="D104" s="21" t="s">
        <v>35</v>
      </c>
      <c r="E104" s="21" t="s">
        <v>61</v>
      </c>
      <c r="F104" s="21" t="s">
        <v>64</v>
      </c>
      <c r="J104" s="116" t="str">
        <f t="shared" ref="J104:P104" si="58">IF(YEAR(J$4)&gt;=FPFirstYear,IF(YEAR(J$4)&lt;=FPLastYear,J$4,""),"")</f>
        <v/>
      </c>
      <c r="K104" s="116" t="str">
        <f t="shared" si="58"/>
        <v/>
      </c>
      <c r="L104" s="116" t="str">
        <f t="shared" si="58"/>
        <v/>
      </c>
      <c r="M104" s="116" t="str">
        <f t="shared" si="58"/>
        <v/>
      </c>
      <c r="N104" s="116" t="str">
        <f t="shared" si="58"/>
        <v/>
      </c>
      <c r="O104" s="116" t="str">
        <f t="shared" si="58"/>
        <v/>
      </c>
      <c r="P104" s="116">
        <f t="shared" si="58"/>
        <v>46174</v>
      </c>
      <c r="Q104" s="116">
        <f>IF(YEAR(Q$4)&gt;FPFirstYear,IF(YEAR(Q$4)&lt;=FPLastYear,Q$4,""),"")</f>
        <v>46539</v>
      </c>
      <c r="R104" s="116">
        <f>IF(YEAR(R$4)&gt;FPFirstYear,IF(YEAR(R$4)&lt;=FPLastYear,R$4,""),"")</f>
        <v>46905</v>
      </c>
      <c r="S104" s="116">
        <f>IF(YEAR(S$4)&gt;FPFirstYear,IF(YEAR(S$4)&lt;=FPLastYear,S$4,""),"")</f>
        <v>47270</v>
      </c>
      <c r="T104" s="116">
        <f>IF(YEAR(T$4)&gt;FPFirstYear,IF(YEAR(T$4)&lt;=FPLastYear,T$4,""),"")</f>
        <v>47635</v>
      </c>
      <c r="U104" s="24"/>
      <c r="W104" s="89"/>
    </row>
    <row r="105" spans="1:33" outlineLevel="1"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24"/>
      <c r="W105" s="89"/>
    </row>
    <row r="106" spans="1:33" outlineLevel="1">
      <c r="C106" s="187" t="str">
        <f t="array" ref="C106:C109">TRANSPOSE(J93:M93)</f>
        <v>SFA CD</v>
      </c>
      <c r="D106" s="16" t="s">
        <v>88</v>
      </c>
      <c r="E106" s="16" t="s">
        <v>107</v>
      </c>
      <c r="F106" s="16" t="s">
        <v>102</v>
      </c>
      <c r="J106" s="78" t="str">
        <f t="shared" ref="J106:O106" si="59">IF(J$104=J$4,SUMPRODUCT(J$77:J$82,$J$95:$J$100),"")</f>
        <v/>
      </c>
      <c r="K106" s="78" t="str">
        <f t="shared" si="59"/>
        <v/>
      </c>
      <c r="L106" s="78" t="str">
        <f t="shared" si="59"/>
        <v/>
      </c>
      <c r="M106" s="78" t="str">
        <f t="shared" si="59"/>
        <v/>
      </c>
      <c r="N106" s="78" t="str">
        <f t="shared" si="59"/>
        <v/>
      </c>
      <c r="O106" s="78" t="str">
        <f t="shared" si="59"/>
        <v/>
      </c>
      <c r="P106" s="188">
        <f>IF(P$104=P$4,SUMPRODUCT(P$77:P$82,$J$95:$J$100),"")</f>
        <v>3.8778810848478389E-3</v>
      </c>
      <c r="Q106" s="188">
        <f t="shared" ref="Q106:T106" si="60">IF(Q$104=Q$4,SUMPRODUCT(Q$77:Q$82,$J$95:$J$100),"")</f>
        <v>3.8841265202771763E-3</v>
      </c>
      <c r="R106" s="188">
        <f t="shared" si="60"/>
        <v>3.8904186913543714E-3</v>
      </c>
      <c r="S106" s="188">
        <f t="shared" si="60"/>
        <v>1.0614887998913709E-2</v>
      </c>
      <c r="T106" s="188">
        <f t="shared" si="60"/>
        <v>1.4592413704529839E-2</v>
      </c>
      <c r="U106" s="24"/>
      <c r="W106" s="89"/>
    </row>
    <row r="107" spans="1:33" outlineLevel="1">
      <c r="C107" s="187" t="str">
        <v>LSE CD</v>
      </c>
      <c r="D107" s="16" t="s">
        <v>88</v>
      </c>
      <c r="E107" s="16" t="s">
        <v>107</v>
      </c>
      <c r="F107" s="16" t="s">
        <v>102</v>
      </c>
      <c r="J107" s="78" t="str">
        <f t="shared" ref="J107:T107" si="61">IF(J$104=J$4,SUMPRODUCT(J$77:J$82,$K$95:$K$100),"")</f>
        <v/>
      </c>
      <c r="K107" s="78" t="str">
        <f t="shared" si="61"/>
        <v/>
      </c>
      <c r="L107" s="78" t="str">
        <f t="shared" si="61"/>
        <v/>
      </c>
      <c r="M107" s="78" t="str">
        <f t="shared" si="61"/>
        <v/>
      </c>
      <c r="N107" s="78" t="str">
        <f t="shared" si="61"/>
        <v/>
      </c>
      <c r="O107" s="78" t="str">
        <f t="shared" si="61"/>
        <v/>
      </c>
      <c r="P107" s="188">
        <f t="shared" si="61"/>
        <v>5.8981130340415569E-3</v>
      </c>
      <c r="Q107" s="188">
        <f t="shared" si="61"/>
        <v>5.9062942066566808E-3</v>
      </c>
      <c r="R107" s="188">
        <f t="shared" si="61"/>
        <v>5.9145349784295153E-3</v>
      </c>
      <c r="S107" s="188">
        <f t="shared" si="61"/>
        <v>9.2820531271551789E-3</v>
      </c>
      <c r="T107" s="188">
        <f t="shared" si="61"/>
        <v>1.1276073188993992E-2</v>
      </c>
      <c r="U107" s="24"/>
      <c r="W107" s="89"/>
    </row>
    <row r="108" spans="1:33" outlineLevel="1">
      <c r="C108" s="187" t="str">
        <v>LSE TLG</v>
      </c>
      <c r="D108" s="16" t="s">
        <v>88</v>
      </c>
      <c r="E108" s="16" t="s">
        <v>107</v>
      </c>
      <c r="F108" s="16" t="s">
        <v>102</v>
      </c>
      <c r="J108" s="78" t="str">
        <f t="shared" ref="J108:T108" si="62">IF(J$104=J$4,SUMPRODUCT(J$77:J$82,$L$95:$L$100),"")</f>
        <v/>
      </c>
      <c r="K108" s="78" t="str">
        <f t="shared" si="62"/>
        <v/>
      </c>
      <c r="L108" s="78" t="str">
        <f t="shared" si="62"/>
        <v/>
      </c>
      <c r="M108" s="78" t="str">
        <f t="shared" si="62"/>
        <v/>
      </c>
      <c r="N108" s="78" t="str">
        <f t="shared" si="62"/>
        <v/>
      </c>
      <c r="O108" s="78" t="str">
        <f t="shared" si="62"/>
        <v/>
      </c>
      <c r="P108" s="188">
        <f t="shared" si="62"/>
        <v>4.4551471206519784E-3</v>
      </c>
      <c r="Q108" s="188">
        <f t="shared" si="62"/>
        <v>4.4637286573883028E-3</v>
      </c>
      <c r="R108" s="188">
        <f t="shared" si="62"/>
        <v>4.4723761420627176E-3</v>
      </c>
      <c r="S108" s="188">
        <f t="shared" si="62"/>
        <v>9.8393644147926496E-3</v>
      </c>
      <c r="T108" s="188">
        <f t="shared" si="62"/>
        <v>1.3015462367894914E-2</v>
      </c>
      <c r="U108" s="24"/>
      <c r="W108" s="89"/>
    </row>
    <row r="109" spans="1:33" outlineLevel="1">
      <c r="C109" s="187" t="str">
        <v>SFA TLG</v>
      </c>
      <c r="D109" s="16" t="s">
        <v>88</v>
      </c>
      <c r="E109" s="16" t="s">
        <v>107</v>
      </c>
      <c r="F109" s="16" t="s">
        <v>102</v>
      </c>
      <c r="J109" s="78" t="str">
        <f t="shared" ref="J109:T109" si="63">IF(J$104=J$4,SUMPRODUCT(J$77:J$82,$M$95:$M$100),"")</f>
        <v/>
      </c>
      <c r="K109" s="78" t="str">
        <f t="shared" si="63"/>
        <v/>
      </c>
      <c r="L109" s="78" t="str">
        <f t="shared" si="63"/>
        <v/>
      </c>
      <c r="M109" s="78" t="str">
        <f t="shared" si="63"/>
        <v/>
      </c>
      <c r="N109" s="78" t="str">
        <f t="shared" si="63"/>
        <v/>
      </c>
      <c r="O109" s="78" t="str">
        <f t="shared" si="63"/>
        <v/>
      </c>
      <c r="P109" s="188">
        <f t="shared" si="63"/>
        <v>4.0732142300664437E-3</v>
      </c>
      <c r="Q109" s="188">
        <f t="shared" si="63"/>
        <v>4.078078047813175E-3</v>
      </c>
      <c r="R109" s="188">
        <f t="shared" si="63"/>
        <v>4.0829761748128529E-3</v>
      </c>
      <c r="S109" s="188">
        <f t="shared" si="63"/>
        <v>1.0833279967369623E-2</v>
      </c>
      <c r="T109" s="188">
        <f t="shared" si="63"/>
        <v>1.4825489166607531E-2</v>
      </c>
      <c r="U109" s="24"/>
      <c r="W109" s="89"/>
    </row>
    <row r="110" spans="1:33" outlineLevel="1">
      <c r="C110" s="16"/>
      <c r="G110" s="21"/>
      <c r="H110" s="21"/>
      <c r="K110" s="23"/>
      <c r="L110" s="23"/>
      <c r="M110" s="23"/>
      <c r="N110" s="23"/>
      <c r="O110" s="23"/>
      <c r="P110" s="78"/>
      <c r="Q110" s="78"/>
      <c r="R110" s="78"/>
      <c r="S110" s="78"/>
      <c r="T110" s="78"/>
    </row>
    <row r="111" spans="1:33" customFormat="1" ht="12.75">
      <c r="A111" s="37"/>
      <c r="B111" s="43" t="s">
        <v>118</v>
      </c>
      <c r="C111" s="37"/>
      <c r="D111" s="37"/>
      <c r="E111" s="37"/>
      <c r="F111" s="38"/>
      <c r="G111" s="38"/>
      <c r="H111" s="38"/>
      <c r="I111" s="38"/>
      <c r="J111" s="38"/>
      <c r="K111" s="39"/>
      <c r="L111" s="40"/>
      <c r="M111" s="39"/>
      <c r="N111" s="40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</row>
    <row r="112" spans="1:33" outlineLevel="1">
      <c r="G112" s="21"/>
      <c r="H112" s="21"/>
    </row>
    <row r="113" spans="1:33" outlineLevel="1">
      <c r="C113" s="9" t="s">
        <v>119</v>
      </c>
      <c r="D113" s="21" t="s">
        <v>35</v>
      </c>
      <c r="E113" s="21" t="s">
        <v>61</v>
      </c>
      <c r="F113" s="21" t="s">
        <v>64</v>
      </c>
      <c r="G113" s="21"/>
      <c r="H113" s="21"/>
      <c r="J113" s="116" t="str">
        <f t="shared" ref="J113:T113" si="64">IF(YEAR(J$4)&gt;=FPFirstYear,IF(YEAR(J$4)&lt;=FPLastYear,J$4,""),"")</f>
        <v/>
      </c>
      <c r="K113" s="116" t="str">
        <f t="shared" si="64"/>
        <v/>
      </c>
      <c r="L113" s="116" t="str">
        <f t="shared" si="64"/>
        <v/>
      </c>
      <c r="M113" s="116" t="str">
        <f t="shared" si="64"/>
        <v/>
      </c>
      <c r="N113" s="116" t="str">
        <f t="shared" si="64"/>
        <v/>
      </c>
      <c r="O113" s="116" t="str">
        <f t="shared" si="64"/>
        <v/>
      </c>
      <c r="P113" s="116">
        <f t="shared" si="64"/>
        <v>46174</v>
      </c>
      <c r="Q113" s="116">
        <f t="shared" si="64"/>
        <v>46539</v>
      </c>
      <c r="R113" s="116">
        <f t="shared" si="64"/>
        <v>46905</v>
      </c>
      <c r="S113" s="116">
        <f t="shared" si="64"/>
        <v>47270</v>
      </c>
      <c r="T113" s="116">
        <f t="shared" si="64"/>
        <v>47635</v>
      </c>
    </row>
    <row r="114" spans="1:33" outlineLevel="1">
      <c r="C114" s="15"/>
      <c r="G114" s="21"/>
      <c r="H114" s="21"/>
      <c r="K114" s="23"/>
      <c r="L114" s="23"/>
      <c r="M114" s="23"/>
      <c r="N114" s="23"/>
      <c r="O114" s="23"/>
    </row>
    <row r="115" spans="1:33" outlineLevel="1">
      <c r="C115" s="15" t="s">
        <v>119</v>
      </c>
      <c r="D115" s="16" t="s">
        <v>94</v>
      </c>
      <c r="E115" s="16" t="str">
        <f>percent</f>
        <v>Per cent</v>
      </c>
      <c r="F115" s="16" t="s">
        <v>102</v>
      </c>
      <c r="G115" s="21"/>
      <c r="H115" s="21"/>
      <c r="J115" s="145"/>
      <c r="K115" s="138"/>
      <c r="L115" s="138"/>
      <c r="M115" s="138"/>
      <c r="N115" s="138"/>
      <c r="O115" s="119"/>
      <c r="P115" s="119">
        <v>5.0000000000000001E-3</v>
      </c>
      <c r="Q115" s="119">
        <v>5.0000000000000001E-3</v>
      </c>
      <c r="R115" s="119">
        <v>5.0000000000000001E-3</v>
      </c>
      <c r="S115" s="119">
        <v>5.0000000000000001E-3</v>
      </c>
      <c r="T115" s="119">
        <v>5.0000000000000001E-3</v>
      </c>
    </row>
    <row r="116" spans="1:33" outlineLevel="1">
      <c r="C116" s="15"/>
      <c r="G116" s="21"/>
      <c r="H116" s="21"/>
      <c r="K116" s="23"/>
      <c r="L116" s="23"/>
      <c r="M116" s="23"/>
      <c r="N116" s="23"/>
      <c r="O116" s="23"/>
      <c r="P116" s="136"/>
      <c r="Q116" s="136"/>
      <c r="R116" s="136"/>
      <c r="S116" s="136"/>
      <c r="T116" s="136"/>
    </row>
    <row r="117" spans="1:33" outlineLevel="1">
      <c r="C117" s="8" t="s">
        <v>100</v>
      </c>
      <c r="D117" s="16" t="s">
        <v>88</v>
      </c>
      <c r="E117" s="16" t="s">
        <v>101</v>
      </c>
      <c r="F117" s="16" t="s">
        <v>102</v>
      </c>
      <c r="J117" s="89" t="str">
        <f t="shared" ref="J117:S117" si="65">IF(J113=J$4,IF(ISBLANK(J115),"Check","Ok"),"")</f>
        <v/>
      </c>
      <c r="K117" s="89" t="str">
        <f t="shared" si="65"/>
        <v/>
      </c>
      <c r="L117" s="89" t="str">
        <f t="shared" si="65"/>
        <v/>
      </c>
      <c r="M117" s="89" t="str">
        <f t="shared" si="65"/>
        <v/>
      </c>
      <c r="N117" s="89" t="str">
        <f t="shared" si="65"/>
        <v/>
      </c>
      <c r="O117" s="89" t="str">
        <f t="shared" si="65"/>
        <v/>
      </c>
      <c r="P117" s="89" t="str">
        <f t="shared" si="65"/>
        <v>Ok</v>
      </c>
      <c r="Q117" s="89" t="str">
        <f t="shared" si="65"/>
        <v>Ok</v>
      </c>
      <c r="R117" s="89" t="str">
        <f t="shared" si="65"/>
        <v>Ok</v>
      </c>
      <c r="S117" s="89" t="str">
        <f t="shared" si="65"/>
        <v>Ok</v>
      </c>
      <c r="T117" s="89" t="str">
        <f>IF(T113=T$4,IF(ISBLANK(T115),"Check","Ok"),"")</f>
        <v>Ok</v>
      </c>
      <c r="U117" s="24"/>
      <c r="W117" s="88" t="str">
        <f>IF(COUNTIF(J117:T117,"Check")=0,"Ok","Check")</f>
        <v>Ok</v>
      </c>
    </row>
    <row r="118" spans="1:33" outlineLevel="1">
      <c r="C118" s="15"/>
      <c r="G118" s="21"/>
      <c r="H118" s="21"/>
      <c r="K118" s="23"/>
      <c r="L118" s="23"/>
      <c r="M118" s="23"/>
      <c r="N118" s="23"/>
      <c r="O118" s="23"/>
    </row>
    <row r="119" spans="1:33" customFormat="1" ht="12.75">
      <c r="A119" s="37"/>
      <c r="B119" s="43" t="s">
        <v>25</v>
      </c>
      <c r="C119" s="37"/>
      <c r="D119" s="37"/>
      <c r="E119" s="37"/>
      <c r="F119" s="38"/>
      <c r="G119" s="38"/>
      <c r="H119" s="38"/>
      <c r="I119" s="38"/>
      <c r="J119" s="38"/>
      <c r="K119" s="39"/>
      <c r="L119" s="40"/>
      <c r="M119" s="39"/>
      <c r="N119" s="40"/>
      <c r="O119" s="39"/>
      <c r="P119" s="39"/>
      <c r="Q119" s="39"/>
      <c r="R119" s="39"/>
      <c r="S119" s="39"/>
      <c r="T119" s="39"/>
      <c r="U119" s="39"/>
      <c r="V119" s="39"/>
      <c r="W119" s="40"/>
      <c r="X119" s="41"/>
      <c r="Y119" s="41"/>
      <c r="Z119" s="41"/>
      <c r="AA119" s="41"/>
      <c r="AB119" s="41"/>
      <c r="AC119" s="41"/>
      <c r="AD119" s="41"/>
      <c r="AE119" s="41"/>
      <c r="AF119" s="42"/>
      <c r="AG119" s="42"/>
    </row>
    <row r="120" spans="1:33"/>
  </sheetData>
  <mergeCells count="2">
    <mergeCell ref="K3:M3"/>
    <mergeCell ref="O3:T3"/>
  </mergeCells>
  <conditionalFormatting sqref="J16:T22">
    <cfRule type="cellIs" dxfId="106" priority="32" operator="equal">
      <formula>0</formula>
    </cfRule>
  </conditionalFormatting>
  <conditionalFormatting sqref="J26:T32">
    <cfRule type="cellIs" dxfId="105" priority="33" operator="equal">
      <formula>0</formula>
    </cfRule>
  </conditionalFormatting>
  <conditionalFormatting sqref="J36:T36">
    <cfRule type="expression" dxfId="104" priority="67">
      <formula>J$36=J$4</formula>
    </cfRule>
  </conditionalFormatting>
  <conditionalFormatting sqref="J38:T45">
    <cfRule type="expression" dxfId="103" priority="16">
      <formula>J$36=J$4</formula>
    </cfRule>
  </conditionalFormatting>
  <conditionalFormatting sqref="J47:T47">
    <cfRule type="cellIs" dxfId="102" priority="53" operator="equal">
      <formula>"Ok"</formula>
    </cfRule>
    <cfRule type="cellIs" dxfId="101" priority="52" operator="equal">
      <formula>"Check"</formula>
    </cfRule>
  </conditionalFormatting>
  <conditionalFormatting sqref="J49:T49">
    <cfRule type="expression" dxfId="100" priority="37">
      <formula>J$36=J$4</formula>
    </cfRule>
  </conditionalFormatting>
  <conditionalFormatting sqref="J51:T58">
    <cfRule type="expression" dxfId="99" priority="15">
      <formula>J$49=J$4</formula>
    </cfRule>
  </conditionalFormatting>
  <conditionalFormatting sqref="J60:T60">
    <cfRule type="cellIs" dxfId="98" priority="76" operator="equal">
      <formula>"Check"</formula>
    </cfRule>
    <cfRule type="cellIs" dxfId="97" priority="77" operator="equal">
      <formula>"Ok"</formula>
    </cfRule>
  </conditionalFormatting>
  <conditionalFormatting sqref="J64:T64">
    <cfRule type="expression" dxfId="96" priority="42">
      <formula>J$64=J$4</formula>
    </cfRule>
  </conditionalFormatting>
  <conditionalFormatting sqref="J66:T71">
    <cfRule type="expression" dxfId="95" priority="1">
      <formula>J$64=J$4</formula>
    </cfRule>
  </conditionalFormatting>
  <conditionalFormatting sqref="J73:T73">
    <cfRule type="cellIs" dxfId="94" priority="48" operator="equal">
      <formula>"Check"</formula>
    </cfRule>
    <cfRule type="cellIs" dxfId="93" priority="49" operator="equal">
      <formula>"Ok"</formula>
    </cfRule>
  </conditionalFormatting>
  <conditionalFormatting sqref="J75:T75">
    <cfRule type="expression" dxfId="92" priority="36">
      <formula>J$36=J$4</formula>
    </cfRule>
  </conditionalFormatting>
  <conditionalFormatting sqref="J102:T103">
    <cfRule type="cellIs" dxfId="91" priority="18" operator="equal">
      <formula>"Check"</formula>
    </cfRule>
    <cfRule type="cellIs" dxfId="90" priority="19" operator="equal">
      <formula>"Ok"</formula>
    </cfRule>
  </conditionalFormatting>
  <conditionalFormatting sqref="J104:T104">
    <cfRule type="expression" dxfId="89" priority="24">
      <formula>J$104=J$4</formula>
    </cfRule>
  </conditionalFormatting>
  <conditionalFormatting sqref="J105:T105">
    <cfRule type="cellIs" dxfId="88" priority="25" operator="equal">
      <formula>"Check"</formula>
    </cfRule>
    <cfRule type="cellIs" dxfId="87" priority="26" operator="equal">
      <formula>"Ok"</formula>
    </cfRule>
  </conditionalFormatting>
  <conditionalFormatting sqref="J113:T113">
    <cfRule type="expression" dxfId="86" priority="35">
      <formula>J$36=J$4</formula>
    </cfRule>
  </conditionalFormatting>
  <conditionalFormatting sqref="J115:T115">
    <cfRule type="expression" dxfId="85" priority="138">
      <formula>J$113=J$4</formula>
    </cfRule>
  </conditionalFormatting>
  <conditionalFormatting sqref="J117:T117">
    <cfRule type="cellIs" dxfId="84" priority="56" operator="equal">
      <formula>"Check"</formula>
    </cfRule>
    <cfRule type="cellIs" dxfId="83" priority="57" operator="equal">
      <formula>"Ok"</formula>
    </cfRule>
  </conditionalFormatting>
  <conditionalFormatting sqref="K89:M91">
    <cfRule type="expression" dxfId="82" priority="6">
      <formula>K$93=K$4</formula>
    </cfRule>
  </conditionalFormatting>
  <conditionalFormatting sqref="T1">
    <cfRule type="cellIs" dxfId="81" priority="96" operator="equal">
      <formula>"Check"</formula>
    </cfRule>
    <cfRule type="cellIs" dxfId="80" priority="97" operator="equal">
      <formula>"Ok"</formula>
    </cfRule>
  </conditionalFormatting>
  <conditionalFormatting sqref="W1">
    <cfRule type="cellIs" dxfId="79" priority="132" operator="equal">
      <formula>"Check"</formula>
    </cfRule>
    <cfRule type="cellIs" dxfId="78" priority="133" operator="equal">
      <formula>"Ok"</formula>
    </cfRule>
  </conditionalFormatting>
  <conditionalFormatting sqref="W47">
    <cfRule type="cellIs" dxfId="77" priority="54" operator="equal">
      <formula>"Check"</formula>
    </cfRule>
    <cfRule type="cellIs" dxfId="76" priority="55" operator="equal">
      <formula>"Ok"</formula>
    </cfRule>
  </conditionalFormatting>
  <conditionalFormatting sqref="W60">
    <cfRule type="cellIs" dxfId="75" priority="84" operator="equal">
      <formula>"Check"</formula>
    </cfRule>
    <cfRule type="cellIs" dxfId="74" priority="85" operator="equal">
      <formula>"Ok"</formula>
    </cfRule>
  </conditionalFormatting>
  <conditionalFormatting sqref="W73">
    <cfRule type="cellIs" dxfId="73" priority="51" operator="equal">
      <formula>"Ok"</formula>
    </cfRule>
    <cfRule type="cellIs" dxfId="72" priority="50" operator="equal">
      <formula>"Check"</formula>
    </cfRule>
  </conditionalFormatting>
  <conditionalFormatting sqref="W102:W109">
    <cfRule type="cellIs" dxfId="71" priority="28" operator="equal">
      <formula>"Check"</formula>
    </cfRule>
    <cfRule type="cellIs" dxfId="70" priority="29" operator="equal">
      <formula>"Ok"</formula>
    </cfRule>
  </conditionalFormatting>
  <conditionalFormatting sqref="W117">
    <cfRule type="cellIs" dxfId="69" priority="58" operator="equal">
      <formula>"Check"</formula>
    </cfRule>
    <cfRule type="cellIs" dxfId="68" priority="59" operator="equal">
      <formula>"Ok"</formula>
    </cfRule>
  </conditionalFormatting>
  <dataValidations disablePrompts="1" count="1">
    <dataValidation type="list" allowBlank="1" showInputMessage="1" showErrorMessage="1" sqref="F118 F74 F94 F92 F85 F83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8"/>
  <sheetViews>
    <sheetView workbookViewId="0">
      <selection activeCell="W14" sqref="W14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26</v>
      </c>
      <c r="L1" s="33" t="s">
        <v>27</v>
      </c>
      <c r="M1" s="50" t="s">
        <v>28</v>
      </c>
      <c r="N1" s="11" t="s">
        <v>29</v>
      </c>
      <c r="O1" s="12" t="s">
        <v>30</v>
      </c>
      <c r="R1" s="33" t="s">
        <v>31</v>
      </c>
      <c r="S1" s="34" t="str">
        <f>IF(COUNTA($W$8:$W$241)=COUNTIF($W$8:$W$241,"OK"),"OK","Check")</f>
        <v>OK</v>
      </c>
      <c r="U1" s="132" t="s">
        <v>32</v>
      </c>
      <c r="V1" s="34" t="str">
        <f>'Check|List'!$S$1</f>
        <v>Ok</v>
      </c>
    </row>
    <row r="2" spans="1:30" s="36" customFormat="1" ht="13.5" thickBot="1">
      <c r="B2" s="35" t="str">
        <f>Index!$C$11</f>
        <v>Input | Step changes</v>
      </c>
      <c r="C2" s="35"/>
      <c r="D2" s="35"/>
      <c r="E2" s="35"/>
      <c r="F2" s="58"/>
      <c r="G2" s="58"/>
      <c r="H2" s="58"/>
      <c r="I2" s="58"/>
    </row>
    <row r="3" spans="1:30" s="59" customFormat="1">
      <c r="D3" s="127"/>
      <c r="E3" s="127"/>
      <c r="F3" s="127"/>
      <c r="G3" s="127"/>
      <c r="H3" s="127"/>
      <c r="I3" s="127"/>
      <c r="J3" s="112" t="s">
        <v>43</v>
      </c>
      <c r="K3" s="121"/>
      <c r="L3" s="121"/>
      <c r="M3" s="127"/>
      <c r="N3" s="210"/>
      <c r="O3" s="210"/>
      <c r="P3" s="210"/>
      <c r="Q3" s="210"/>
      <c r="R3" s="210"/>
      <c r="S3" s="210"/>
      <c r="T3" s="60"/>
      <c r="U3" s="60"/>
      <c r="V3" s="60"/>
      <c r="W3" s="60"/>
      <c r="X3" s="60"/>
      <c r="Y3" s="60"/>
      <c r="Z3" s="60"/>
    </row>
    <row r="4" spans="1:30" customFormat="1">
      <c r="A4" s="61"/>
      <c r="B4" s="61"/>
      <c r="C4" s="61"/>
      <c r="D4" s="62" t="s">
        <v>35</v>
      </c>
      <c r="E4" s="62" t="s">
        <v>61</v>
      </c>
      <c r="F4" s="63" t="s">
        <v>64</v>
      </c>
      <c r="G4" s="64"/>
      <c r="H4" s="64"/>
      <c r="I4" s="64"/>
      <c r="J4" s="110">
        <f>DATE(PPFirstYear,MONTH('Input|General'!$G$9),1)</f>
        <v>44348</v>
      </c>
      <c r="K4" s="110">
        <f>DATE(PPFirstYear+1,MONTH('Input|General'!$G$9),1)</f>
        <v>44713</v>
      </c>
      <c r="L4" s="110">
        <f>DATE(PPFirstYear+2,MONTH('Input|General'!$G$9),1)</f>
        <v>45078</v>
      </c>
      <c r="M4" s="110">
        <f>DATE(PPFirstYear+3,MONTH('Input|General'!$G$9),1)</f>
        <v>45444</v>
      </c>
      <c r="N4" s="110">
        <f>DATE(PPFirstYear+4,MONTH('Input|General'!$G$9),1)</f>
        <v>45809</v>
      </c>
      <c r="O4" s="110">
        <f>DATE(PPFirstYear+5,MONTH('Input|General'!$G$9),1)</f>
        <v>46174</v>
      </c>
      <c r="P4" s="110">
        <f>DATE(PPFirstYear+6,MONTH('Input|General'!$G$9),1)</f>
        <v>46539</v>
      </c>
      <c r="Q4" s="110">
        <f>DATE(PPFirstYear+7,MONTH('Input|General'!$G$9),1)</f>
        <v>46905</v>
      </c>
      <c r="R4" s="110">
        <f>DATE(PPFirstYear+8,MONTH('Input|General'!$G$9),1)</f>
        <v>47270</v>
      </c>
      <c r="S4" s="110">
        <f>DATE(PPFirstYear+9,MONTH('Input|General'!$G$9),1)</f>
        <v>47635</v>
      </c>
      <c r="T4" s="65"/>
      <c r="U4" s="65"/>
      <c r="V4" s="66"/>
      <c r="W4" s="66"/>
    </row>
    <row r="5" spans="1:30" s="6" customFormat="1" ht="3" customHeight="1">
      <c r="D5" s="27"/>
      <c r="E5" s="27"/>
      <c r="F5" s="27"/>
      <c r="G5" s="27"/>
      <c r="H5" s="27"/>
      <c r="I5" s="27"/>
    </row>
    <row r="6" spans="1:30" s="6" customFormat="1" ht="9" customHeight="1">
      <c r="D6" s="27"/>
      <c r="E6" s="27"/>
      <c r="F6" s="27"/>
      <c r="G6" s="27"/>
      <c r="H6" s="27"/>
      <c r="I6" s="27"/>
    </row>
    <row r="7" spans="1:30" s="6" customFormat="1" ht="3" customHeight="1">
      <c r="D7" s="27"/>
      <c r="E7" s="27"/>
      <c r="F7" s="27"/>
      <c r="G7" s="27"/>
      <c r="H7" s="27"/>
      <c r="I7" s="27"/>
    </row>
    <row r="8" spans="1:30" customFormat="1" ht="12.75">
      <c r="A8" s="37"/>
      <c r="B8" s="43" t="s">
        <v>120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121</v>
      </c>
      <c r="D10" s="21" t="s">
        <v>35</v>
      </c>
      <c r="E10" s="21" t="s">
        <v>61</v>
      </c>
      <c r="F10" s="21" t="s">
        <v>64</v>
      </c>
      <c r="G10" s="21"/>
      <c r="H10" s="21"/>
      <c r="I10" s="116"/>
      <c r="J10" s="116" t="str">
        <f t="shared" ref="J10:S10" si="0">IF(YEAR(J$4)&gt;=FPFirstYear,IF(YEAR(J$4)&lt;=FPLastYear,J$4,""),"")</f>
        <v/>
      </c>
      <c r="K10" s="116" t="str">
        <f t="shared" si="0"/>
        <v/>
      </c>
      <c r="L10" s="116" t="str">
        <f t="shared" si="0"/>
        <v/>
      </c>
      <c r="M10" s="116" t="str">
        <f t="shared" si="0"/>
        <v/>
      </c>
      <c r="N10" s="116" t="str">
        <f t="shared" si="0"/>
        <v/>
      </c>
      <c r="O10" s="116">
        <f t="shared" si="0"/>
        <v>46174</v>
      </c>
      <c r="P10" s="116">
        <f t="shared" si="0"/>
        <v>46539</v>
      </c>
      <c r="Q10" s="116">
        <f t="shared" si="0"/>
        <v>46905</v>
      </c>
      <c r="R10" s="116">
        <f t="shared" si="0"/>
        <v>47270</v>
      </c>
      <c r="S10" s="116">
        <f t="shared" si="0"/>
        <v>47635</v>
      </c>
    </row>
    <row r="11" spans="1:30" outlineLevel="1">
      <c r="G11" s="21"/>
      <c r="H11" s="21"/>
    </row>
    <row r="12" spans="1:30" outlineLevel="1">
      <c r="C12" s="170" t="str">
        <f>'Info|Source data'!C61</f>
        <v>Cyber Security Uplift</v>
      </c>
      <c r="D12" s="16" t="s">
        <v>38</v>
      </c>
      <c r="E12" s="180" t="str">
        <f t="shared" ref="E12:E26" si="1">Units</f>
        <v>$millions</v>
      </c>
      <c r="F12" s="142">
        <v>44713</v>
      </c>
      <c r="G12" s="21"/>
      <c r="H12" s="21"/>
      <c r="J12" s="106"/>
      <c r="K12" s="106"/>
      <c r="L12" s="106"/>
      <c r="M12" s="106"/>
      <c r="N12" s="106"/>
      <c r="O12" s="207">
        <v>4.072287424079434</v>
      </c>
      <c r="P12" s="207">
        <v>9.6014524166611199</v>
      </c>
      <c r="Q12" s="207">
        <v>10.01890025973181</v>
      </c>
      <c r="R12" s="207">
        <v>9.2252103361754418</v>
      </c>
      <c r="S12" s="207">
        <v>9.15617710210784</v>
      </c>
      <c r="T12" s="97"/>
    </row>
    <row r="13" spans="1:30" outlineLevel="1">
      <c r="C13" s="170" t="str">
        <f>'Info|Source data'!C62</f>
        <v>Smart Meter Rollout - IT upgrades</v>
      </c>
      <c r="D13" s="16" t="s">
        <v>38</v>
      </c>
      <c r="E13" s="180" t="str">
        <f t="shared" si="1"/>
        <v>$millions</v>
      </c>
      <c r="F13" s="142">
        <v>44713</v>
      </c>
      <c r="G13" s="21"/>
      <c r="H13" s="21"/>
      <c r="J13" s="106"/>
      <c r="K13" s="106"/>
      <c r="L13" s="106"/>
      <c r="M13" s="106"/>
      <c r="N13" s="106"/>
      <c r="O13" s="207">
        <v>0.3184343434343434</v>
      </c>
      <c r="P13" s="207">
        <v>0.53072390572390571</v>
      </c>
      <c r="Q13" s="207">
        <v>0.74301346801346779</v>
      </c>
      <c r="R13" s="207">
        <v>1.0614478114478114</v>
      </c>
      <c r="S13" s="207">
        <v>1.5921717171717171</v>
      </c>
      <c r="T13" s="97"/>
    </row>
    <row r="14" spans="1:30" outlineLevel="1">
      <c r="C14" s="170" t="str">
        <f>'Info|Source data'!C63</f>
        <v>IT Infrastructure Refresh</v>
      </c>
      <c r="D14" s="16" t="s">
        <v>38</v>
      </c>
      <c r="E14" s="180" t="str">
        <f t="shared" si="1"/>
        <v>$millions</v>
      </c>
      <c r="F14" s="142">
        <v>44713</v>
      </c>
      <c r="G14" s="21"/>
      <c r="H14" s="21"/>
      <c r="J14" s="106"/>
      <c r="K14" s="106"/>
      <c r="L14" s="106"/>
      <c r="M14" s="106"/>
      <c r="N14" s="106"/>
      <c r="O14" s="207">
        <v>0.70569144159073283</v>
      </c>
      <c r="P14" s="207">
        <v>1.1303210243758848</v>
      </c>
      <c r="Q14" s="207">
        <v>1.7630548735575853</v>
      </c>
      <c r="R14" s="207">
        <v>2.3533853825138125</v>
      </c>
      <c r="S14" s="207">
        <v>2.8181826285353981</v>
      </c>
      <c r="T14" s="97"/>
    </row>
    <row r="15" spans="1:30" outlineLevel="1">
      <c r="C15" s="170" t="str">
        <f>'Info|Source data'!C64</f>
        <v xml:space="preserve">Operationalising Cyber Security </v>
      </c>
      <c r="D15" s="16" t="s">
        <v>38</v>
      </c>
      <c r="E15" s="180" t="str">
        <f t="shared" si="1"/>
        <v>$millions</v>
      </c>
      <c r="F15" s="142">
        <v>44713</v>
      </c>
      <c r="G15" s="21"/>
      <c r="H15" s="21"/>
      <c r="J15" s="106"/>
      <c r="K15" s="106"/>
      <c r="L15" s="106"/>
      <c r="M15" s="106"/>
      <c r="N15" s="106"/>
      <c r="O15" s="207">
        <v>3.0669099356933365</v>
      </c>
      <c r="P15" s="207">
        <v>3.0669099356933365</v>
      </c>
      <c r="Q15" s="207">
        <v>3.0669099356933365</v>
      </c>
      <c r="R15" s="207">
        <v>3.0669099356933365</v>
      </c>
      <c r="S15" s="207">
        <v>3.0669099356933365</v>
      </c>
      <c r="T15" s="97"/>
    </row>
    <row r="16" spans="1:30" outlineLevel="1">
      <c r="C16" s="170" t="str">
        <f>'Info|Source data'!C65</f>
        <v>CER Compliance</v>
      </c>
      <c r="D16" s="16" t="s">
        <v>38</v>
      </c>
      <c r="E16" s="180" t="str">
        <f t="shared" si="1"/>
        <v>$millions</v>
      </c>
      <c r="F16" s="142">
        <v>44713</v>
      </c>
      <c r="G16" s="21"/>
      <c r="H16" s="21"/>
      <c r="J16" s="106"/>
      <c r="K16" s="106"/>
      <c r="L16" s="106"/>
      <c r="M16" s="106"/>
      <c r="N16" s="106"/>
      <c r="O16" s="207">
        <v>0.27800000000000002</v>
      </c>
      <c r="P16" s="207">
        <v>0.46</v>
      </c>
      <c r="Q16" s="207">
        <v>0.46</v>
      </c>
      <c r="R16" s="207">
        <v>0.52</v>
      </c>
      <c r="S16" s="207">
        <v>0.52</v>
      </c>
      <c r="T16" s="97"/>
    </row>
    <row r="17" spans="1:30" outlineLevel="1">
      <c r="C17" s="170" t="str">
        <f>'Info|Source data'!C66</f>
        <v>CER Integration</v>
      </c>
      <c r="D17" s="16" t="s">
        <v>38</v>
      </c>
      <c r="E17" s="180" t="str">
        <f t="shared" si="1"/>
        <v>$millions</v>
      </c>
      <c r="F17" s="142">
        <v>44713</v>
      </c>
      <c r="G17" s="21"/>
      <c r="H17" s="21"/>
      <c r="J17" s="106"/>
      <c r="K17" s="106"/>
      <c r="L17" s="106"/>
      <c r="M17" s="106"/>
      <c r="N17" s="106"/>
      <c r="O17" s="207">
        <v>0.53575740383241699</v>
      </c>
      <c r="P17" s="207">
        <v>0.65535394980265205</v>
      </c>
      <c r="Q17" s="207">
        <v>0.7724754487941341</v>
      </c>
      <c r="R17" s="207">
        <v>0.88682023523636655</v>
      </c>
      <c r="S17" s="207">
        <v>0.99849183043631062</v>
      </c>
      <c r="T17" s="97"/>
    </row>
    <row r="18" spans="1:30" outlineLevel="1">
      <c r="C18" s="170" t="str">
        <f>'Info|Source data'!C67</f>
        <v>Network Visability</v>
      </c>
      <c r="D18" s="16" t="s">
        <v>38</v>
      </c>
      <c r="E18" s="180" t="str">
        <f t="shared" si="1"/>
        <v>$millions</v>
      </c>
      <c r="F18" s="142">
        <v>44713</v>
      </c>
      <c r="G18" s="21"/>
      <c r="H18" s="21"/>
      <c r="J18" s="106"/>
      <c r="K18" s="106"/>
      <c r="L18" s="106"/>
      <c r="M18" s="106"/>
      <c r="N18" s="106"/>
      <c r="O18" s="207">
        <v>0.92388844388288471</v>
      </c>
      <c r="P18" s="207">
        <v>1.0630704213712276</v>
      </c>
      <c r="Q18" s="207">
        <v>1.2015249030577859</v>
      </c>
      <c r="R18" s="207">
        <v>1.3388957191450974</v>
      </c>
      <c r="S18" s="207">
        <v>1.4337410626210412</v>
      </c>
      <c r="T18" s="97"/>
    </row>
    <row r="19" spans="1:30" outlineLevel="1">
      <c r="C19" s="170" t="str">
        <f>'Info|Source data'!C68</f>
        <v>Increases to Insurance Premiums</v>
      </c>
      <c r="D19" s="16" t="s">
        <v>38</v>
      </c>
      <c r="E19" s="180" t="str">
        <f t="shared" si="1"/>
        <v>$millions</v>
      </c>
      <c r="F19" s="142">
        <v>44713</v>
      </c>
      <c r="G19" s="21"/>
      <c r="H19" s="21"/>
      <c r="J19" s="106"/>
      <c r="K19" s="106"/>
      <c r="L19" s="106"/>
      <c r="M19" s="106"/>
      <c r="N19" s="106"/>
      <c r="O19" s="207">
        <v>1.9725204170139217</v>
      </c>
      <c r="P19" s="207">
        <v>2.9277348346971754</v>
      </c>
      <c r="Q19" s="207">
        <v>3.6567840615394247</v>
      </c>
      <c r="R19" s="207">
        <v>4.0969190743937309</v>
      </c>
      <c r="S19" s="207">
        <v>4.4755811245910175</v>
      </c>
      <c r="T19" s="97"/>
    </row>
    <row r="20" spans="1:30" outlineLevel="1">
      <c r="C20" s="170" t="str">
        <f>'Info|Source data'!C69</f>
        <v>Network Program Uplift</v>
      </c>
      <c r="D20" s="16" t="s">
        <v>38</v>
      </c>
      <c r="E20" s="180" t="str">
        <f t="shared" si="1"/>
        <v>$millions</v>
      </c>
      <c r="F20" s="142">
        <v>44713</v>
      </c>
      <c r="G20" s="21"/>
      <c r="H20" s="21"/>
      <c r="J20" s="106"/>
      <c r="K20" s="106"/>
      <c r="L20" s="106"/>
      <c r="M20" s="106"/>
      <c r="N20" s="106"/>
      <c r="O20" s="207">
        <v>3.1242585233357869</v>
      </c>
      <c r="P20" s="207">
        <v>2.6667926443282086</v>
      </c>
      <c r="Q20" s="207">
        <v>3.4185851205826645</v>
      </c>
      <c r="R20" s="207">
        <v>3.1851371258227545</v>
      </c>
      <c r="S20" s="207">
        <v>3.5055052846427546</v>
      </c>
      <c r="T20" s="97"/>
    </row>
    <row r="21" spans="1:30" outlineLevel="1">
      <c r="C21" s="170" t="str">
        <f>'Info|Source data'!C70</f>
        <v>Reliability Improvements</v>
      </c>
      <c r="D21" s="16" t="s">
        <v>38</v>
      </c>
      <c r="E21" s="180" t="str">
        <f t="shared" si="1"/>
        <v>$millions</v>
      </c>
      <c r="F21" s="142">
        <v>44713</v>
      </c>
      <c r="G21" s="21"/>
      <c r="H21" s="21"/>
      <c r="J21" s="106"/>
      <c r="K21" s="106"/>
      <c r="L21" s="106"/>
      <c r="M21" s="106"/>
      <c r="N21" s="106"/>
      <c r="O21" s="207">
        <v>-3.184343434343434E-2</v>
      </c>
      <c r="P21" s="207">
        <v>-7.4301346801346813E-2</v>
      </c>
      <c r="Q21" s="207">
        <v>-0.11675925925925926</v>
      </c>
      <c r="R21" s="207">
        <v>-0.1592171717171717</v>
      </c>
      <c r="S21" s="207">
        <v>-0.20167508417508417</v>
      </c>
      <c r="T21" s="97"/>
    </row>
    <row r="22" spans="1:30" outlineLevel="1">
      <c r="C22" s="170" t="str">
        <f>'Info|Source data'!C71</f>
        <v>Transitioning to Electric Vehicles</v>
      </c>
      <c r="D22" s="16" t="s">
        <v>38</v>
      </c>
      <c r="E22" s="180" t="str">
        <f t="shared" si="1"/>
        <v>$millions</v>
      </c>
      <c r="F22" s="142">
        <v>44713</v>
      </c>
      <c r="G22" s="21"/>
      <c r="H22" s="21"/>
      <c r="J22" s="106"/>
      <c r="K22" s="106"/>
      <c r="L22" s="106"/>
      <c r="M22" s="106"/>
      <c r="N22" s="106"/>
      <c r="O22" s="207">
        <v>-2.826E-2</v>
      </c>
      <c r="P22" s="207">
        <v>-0.116997</v>
      </c>
      <c r="Q22" s="207">
        <v>-0.24348</v>
      </c>
      <c r="R22" s="207">
        <v>-0.32978600000000002</v>
      </c>
      <c r="S22" s="207">
        <v>-0.46408500000000003</v>
      </c>
      <c r="T22" s="97"/>
    </row>
    <row r="23" spans="1:30" outlineLevel="1">
      <c r="C23" s="51"/>
      <c r="D23" s="16" t="s">
        <v>38</v>
      </c>
      <c r="E23" s="180" t="str">
        <f t="shared" si="1"/>
        <v>$millions</v>
      </c>
      <c r="F23" s="142">
        <v>44713</v>
      </c>
      <c r="G23" s="21"/>
      <c r="H23" s="21"/>
      <c r="J23" s="106"/>
      <c r="K23" s="106"/>
      <c r="L23" s="106"/>
      <c r="M23" s="106"/>
      <c r="N23" s="106"/>
      <c r="O23" s="193"/>
      <c r="P23" s="193"/>
      <c r="Q23" s="193"/>
      <c r="R23" s="193"/>
      <c r="S23" s="193"/>
      <c r="T23" s="97"/>
    </row>
    <row r="24" spans="1:30" outlineLevel="1">
      <c r="C24" s="51"/>
      <c r="D24" s="16" t="s">
        <v>38</v>
      </c>
      <c r="E24" s="180" t="str">
        <f t="shared" si="1"/>
        <v>$millions</v>
      </c>
      <c r="F24" s="142">
        <v>44713</v>
      </c>
      <c r="G24" s="21"/>
      <c r="H24" s="21"/>
      <c r="J24" s="106"/>
      <c r="K24" s="106"/>
      <c r="L24" s="106"/>
      <c r="M24" s="106"/>
      <c r="N24" s="106"/>
      <c r="O24" s="193"/>
      <c r="P24" s="193"/>
      <c r="Q24" s="193"/>
      <c r="R24" s="193"/>
      <c r="S24" s="193"/>
      <c r="T24" s="97"/>
    </row>
    <row r="25" spans="1:30" outlineLevel="1">
      <c r="C25" s="51"/>
      <c r="D25" s="16" t="s">
        <v>38</v>
      </c>
      <c r="E25" s="180" t="str">
        <f t="shared" si="1"/>
        <v>$millions</v>
      </c>
      <c r="F25" s="142">
        <v>44713</v>
      </c>
      <c r="G25" s="21"/>
      <c r="H25" s="21"/>
      <c r="J25" s="106"/>
      <c r="K25" s="106"/>
      <c r="L25" s="106"/>
      <c r="M25" s="106"/>
      <c r="N25" s="106"/>
      <c r="O25" s="193"/>
      <c r="P25" s="193"/>
      <c r="Q25" s="193"/>
      <c r="R25" s="193"/>
      <c r="S25" s="193"/>
      <c r="T25" s="97"/>
    </row>
    <row r="26" spans="1:30" outlineLevel="1">
      <c r="C26" s="51"/>
      <c r="D26" s="16" t="s">
        <v>38</v>
      </c>
      <c r="E26" s="180" t="str">
        <f t="shared" si="1"/>
        <v>$millions</v>
      </c>
      <c r="F26" s="142">
        <v>44713</v>
      </c>
      <c r="G26" s="21"/>
      <c r="H26" s="21"/>
      <c r="J26" s="106"/>
      <c r="K26" s="106"/>
      <c r="L26" s="106"/>
      <c r="M26" s="106"/>
      <c r="N26" s="106"/>
      <c r="O26" s="193"/>
      <c r="P26" s="193"/>
      <c r="Q26" s="193"/>
      <c r="R26" s="193"/>
      <c r="S26" s="193"/>
      <c r="T26" s="97"/>
    </row>
    <row r="27" spans="1:30" outlineLevel="1">
      <c r="G27" s="21"/>
      <c r="H27" s="21"/>
    </row>
    <row r="28" spans="1:30" outlineLevel="1">
      <c r="C28" s="8" t="s">
        <v>100</v>
      </c>
      <c r="D28" s="16" t="s">
        <v>88</v>
      </c>
      <c r="E28" s="16" t="s">
        <v>101</v>
      </c>
      <c r="F28" s="16" t="s">
        <v>102</v>
      </c>
      <c r="J28" s="89" t="str">
        <f t="shared" ref="J28:S28" si="2">IF(J10=J4,IF(COUNTA($C12:$C26)=COUNT(J12:J26),"Ok","Check"),"")</f>
        <v/>
      </c>
      <c r="K28" s="89" t="str">
        <f t="shared" si="2"/>
        <v/>
      </c>
      <c r="L28" s="89" t="str">
        <f t="shared" si="2"/>
        <v/>
      </c>
      <c r="M28" s="89" t="str">
        <f t="shared" si="2"/>
        <v/>
      </c>
      <c r="N28" s="89" t="str">
        <f t="shared" si="2"/>
        <v/>
      </c>
      <c r="O28" s="89" t="str">
        <f t="shared" si="2"/>
        <v>Ok</v>
      </c>
      <c r="P28" s="89" t="str">
        <f t="shared" si="2"/>
        <v>Ok</v>
      </c>
      <c r="Q28" s="89" t="str">
        <f t="shared" si="2"/>
        <v>Ok</v>
      </c>
      <c r="R28" s="89" t="str">
        <f t="shared" si="2"/>
        <v>Ok</v>
      </c>
      <c r="S28" s="89" t="str">
        <f t="shared" si="2"/>
        <v>Ok</v>
      </c>
      <c r="T28" s="89"/>
      <c r="U28" s="24"/>
      <c r="W28" s="88" t="str">
        <f>IF(COUNTIF(J28:T28,"Check")=0,"Ok","Check")</f>
        <v>Ok</v>
      </c>
    </row>
    <row r="29" spans="1:30">
      <c r="G29" s="21"/>
      <c r="H29" s="21"/>
    </row>
    <row r="30" spans="1:30" customFormat="1" ht="12.75">
      <c r="A30" s="37"/>
      <c r="B30" s="43" t="s">
        <v>122</v>
      </c>
      <c r="C30" s="37"/>
      <c r="D30" s="37"/>
      <c r="E30" s="37"/>
      <c r="F30" s="38"/>
      <c r="G30" s="38"/>
      <c r="H30" s="38"/>
      <c r="I30" s="38"/>
      <c r="J30" s="39"/>
      <c r="K30" s="40"/>
      <c r="L30" s="39"/>
      <c r="M30" s="40"/>
      <c r="N30" s="39"/>
      <c r="O30" s="39"/>
      <c r="P30" s="39"/>
      <c r="Q30" s="39"/>
      <c r="R30" s="39"/>
      <c r="S30" s="39"/>
      <c r="T30" s="39"/>
      <c r="U30" s="39"/>
      <c r="V30" s="40"/>
      <c r="W30" s="40"/>
      <c r="X30" s="41"/>
      <c r="Y30" s="41"/>
      <c r="Z30" s="41"/>
      <c r="AA30" s="41"/>
      <c r="AB30" s="41"/>
      <c r="AC30" s="42"/>
      <c r="AD30" s="42"/>
    </row>
    <row r="31" spans="1:30" outlineLevel="1">
      <c r="G31" s="21"/>
      <c r="H31" s="21"/>
    </row>
    <row r="32" spans="1:30" outlineLevel="1">
      <c r="C32" s="9" t="s">
        <v>123</v>
      </c>
      <c r="D32" s="21" t="s">
        <v>35</v>
      </c>
      <c r="E32" s="21" t="s">
        <v>61</v>
      </c>
      <c r="F32" s="21" t="s">
        <v>64</v>
      </c>
      <c r="G32" s="21"/>
      <c r="H32" s="21"/>
      <c r="J32" s="116" t="str">
        <f t="shared" ref="J32:S32" si="3">IF(YEAR(J$4)&gt;=FPFirstYear,IF(YEAR(J$4)&lt;=FPLastYear,J$4,""),"")</f>
        <v/>
      </c>
      <c r="K32" s="116" t="str">
        <f t="shared" si="3"/>
        <v/>
      </c>
      <c r="L32" s="116" t="str">
        <f t="shared" si="3"/>
        <v/>
      </c>
      <c r="M32" s="116" t="str">
        <f t="shared" si="3"/>
        <v/>
      </c>
      <c r="N32" s="116" t="str">
        <f t="shared" si="3"/>
        <v/>
      </c>
      <c r="O32" s="116">
        <f t="shared" si="3"/>
        <v>46174</v>
      </c>
      <c r="P32" s="116">
        <f t="shared" si="3"/>
        <v>46539</v>
      </c>
      <c r="Q32" s="116">
        <f t="shared" si="3"/>
        <v>46905</v>
      </c>
      <c r="R32" s="116">
        <f t="shared" si="3"/>
        <v>47270</v>
      </c>
      <c r="S32" s="116">
        <f t="shared" si="3"/>
        <v>47635</v>
      </c>
    </row>
    <row r="33" spans="1:30" outlineLevel="1">
      <c r="G33" s="21"/>
      <c r="H33" s="21"/>
    </row>
    <row r="34" spans="1:30" outlineLevel="1">
      <c r="C34" s="170" t="str">
        <f>'Info|Source data'!C75</f>
        <v>Enactment of the Small Compensation Claims Regime</v>
      </c>
      <c r="D34" s="16" t="s">
        <v>38</v>
      </c>
      <c r="E34" s="180" t="str">
        <f>Units</f>
        <v>$millions</v>
      </c>
      <c r="F34" s="142">
        <v>44713</v>
      </c>
      <c r="G34" s="21"/>
      <c r="H34" s="21"/>
      <c r="J34" s="106"/>
      <c r="K34" s="106"/>
      <c r="L34" s="106"/>
      <c r="M34" s="106"/>
      <c r="N34" s="120"/>
      <c r="O34" s="208">
        <v>8.3791662556425308</v>
      </c>
      <c r="P34" s="208">
        <v>2.3220612637874911</v>
      </c>
      <c r="Q34" s="208">
        <v>2.3220612637874911</v>
      </c>
      <c r="R34" s="208">
        <v>2.3220612637874911</v>
      </c>
      <c r="S34" s="208">
        <v>2.3220612637874911</v>
      </c>
    </row>
    <row r="35" spans="1:30" outlineLevel="1">
      <c r="C35" s="51"/>
      <c r="D35" s="16" t="s">
        <v>38</v>
      </c>
      <c r="E35" s="180" t="str">
        <f>Units</f>
        <v>$millions</v>
      </c>
      <c r="F35" s="142">
        <v>44713</v>
      </c>
      <c r="G35" s="21"/>
      <c r="H35" s="21"/>
      <c r="J35" s="106"/>
      <c r="K35" s="106"/>
      <c r="L35" s="106"/>
      <c r="M35" s="106"/>
      <c r="N35" s="120"/>
      <c r="O35" s="120"/>
      <c r="P35" s="120"/>
      <c r="Q35" s="120"/>
      <c r="R35" s="120"/>
      <c r="S35" s="120"/>
    </row>
    <row r="36" spans="1:30" outlineLevel="1">
      <c r="C36" s="51"/>
      <c r="D36" s="16" t="s">
        <v>38</v>
      </c>
      <c r="E36" s="180" t="str">
        <f>Units</f>
        <v>$millions</v>
      </c>
      <c r="F36" s="142">
        <v>44713</v>
      </c>
      <c r="G36" s="21"/>
      <c r="H36" s="21"/>
      <c r="J36" s="106"/>
      <c r="K36" s="106"/>
      <c r="L36" s="106"/>
      <c r="M36" s="106"/>
      <c r="N36" s="120"/>
      <c r="O36" s="120"/>
      <c r="P36" s="120"/>
      <c r="Q36" s="120"/>
      <c r="R36" s="120"/>
      <c r="S36" s="120"/>
    </row>
    <row r="37" spans="1:30" outlineLevel="1">
      <c r="G37" s="21"/>
      <c r="H37" s="21"/>
    </row>
    <row r="38" spans="1:30" outlineLevel="1">
      <c r="C38" s="8" t="s">
        <v>100</v>
      </c>
      <c r="D38" s="16" t="s">
        <v>88</v>
      </c>
      <c r="E38" s="16" t="s">
        <v>101</v>
      </c>
      <c r="F38" s="16" t="s">
        <v>102</v>
      </c>
      <c r="J38" s="89" t="str">
        <f t="shared" ref="J38:R38" si="4">IF(J32=J4,IF(COUNTA($C34:$C36)=COUNT(J34:J36),"Ok","Check"),"")</f>
        <v/>
      </c>
      <c r="K38" s="89" t="str">
        <f t="shared" si="4"/>
        <v/>
      </c>
      <c r="L38" s="89" t="str">
        <f t="shared" si="4"/>
        <v/>
      </c>
      <c r="M38" s="89" t="str">
        <f t="shared" si="4"/>
        <v/>
      </c>
      <c r="N38" s="89" t="str">
        <f t="shared" si="4"/>
        <v/>
      </c>
      <c r="O38" s="89" t="str">
        <f t="shared" si="4"/>
        <v>Ok</v>
      </c>
      <c r="P38" s="89" t="str">
        <f t="shared" si="4"/>
        <v>Ok</v>
      </c>
      <c r="Q38" s="89" t="str">
        <f t="shared" si="4"/>
        <v>Ok</v>
      </c>
      <c r="R38" s="89" t="str">
        <f t="shared" si="4"/>
        <v>Ok</v>
      </c>
      <c r="S38" s="89" t="str">
        <f>IF(S32=S4,IF(COUNTA($C34:$C36)=COUNT(S34:S36),"Ok","Check"),"")</f>
        <v>Ok</v>
      </c>
      <c r="T38" s="89"/>
      <c r="U38" s="24"/>
      <c r="W38" s="88" t="str">
        <f>IF(COUNTIF(J38:T38,"Check")=0,"Ok","Check")</f>
        <v>Ok</v>
      </c>
    </row>
    <row r="39" spans="1:30">
      <c r="G39" s="21"/>
      <c r="H39" s="21"/>
    </row>
    <row r="40" spans="1:30" customFormat="1" ht="12.75">
      <c r="A40" s="37"/>
      <c r="B40" s="43" t="s">
        <v>124</v>
      </c>
      <c r="C40" s="37"/>
      <c r="D40" s="37"/>
      <c r="E40" s="37"/>
      <c r="F40" s="38"/>
      <c r="G40" s="38"/>
      <c r="H40" s="38"/>
      <c r="I40" s="38"/>
      <c r="J40" s="39"/>
      <c r="K40" s="40"/>
      <c r="L40" s="39"/>
      <c r="M40" s="40"/>
      <c r="N40" s="39"/>
      <c r="O40" s="39"/>
      <c r="P40" s="39"/>
      <c r="Q40" s="39"/>
      <c r="R40" s="39"/>
      <c r="S40" s="39"/>
      <c r="T40" s="39"/>
      <c r="U40" s="39"/>
      <c r="V40" s="40"/>
      <c r="W40" s="40"/>
      <c r="X40" s="41"/>
      <c r="Y40" s="41"/>
      <c r="Z40" s="41"/>
      <c r="AA40" s="41"/>
      <c r="AB40" s="41"/>
      <c r="AC40" s="42"/>
      <c r="AD40" s="42"/>
    </row>
    <row r="41" spans="1:30" outlineLevel="1">
      <c r="G41" s="21"/>
      <c r="H41" s="21"/>
    </row>
    <row r="42" spans="1:30" outlineLevel="1">
      <c r="C42" s="9" t="s">
        <v>125</v>
      </c>
      <c r="D42" s="21" t="s">
        <v>35</v>
      </c>
      <c r="E42" s="21" t="s">
        <v>61</v>
      </c>
      <c r="F42" s="21" t="s">
        <v>64</v>
      </c>
      <c r="G42" s="21"/>
      <c r="H42" s="21"/>
      <c r="J42" s="116" t="str">
        <f t="shared" ref="J42:S42" si="5">IF(YEAR(J$4)&gt;=FPFirstYear,IF(YEAR(J$4)&lt;=FPLastYear,J$4,""),"")</f>
        <v/>
      </c>
      <c r="K42" s="116" t="str">
        <f t="shared" si="5"/>
        <v/>
      </c>
      <c r="L42" s="116" t="str">
        <f t="shared" si="5"/>
        <v/>
      </c>
      <c r="M42" s="116" t="str">
        <f t="shared" si="5"/>
        <v/>
      </c>
      <c r="N42" s="116" t="str">
        <f t="shared" si="5"/>
        <v/>
      </c>
      <c r="O42" s="116">
        <f t="shared" si="5"/>
        <v>46174</v>
      </c>
      <c r="P42" s="116">
        <f t="shared" si="5"/>
        <v>46539</v>
      </c>
      <c r="Q42" s="116">
        <f t="shared" si="5"/>
        <v>46905</v>
      </c>
      <c r="R42" s="116">
        <f t="shared" si="5"/>
        <v>47270</v>
      </c>
      <c r="S42" s="116">
        <f t="shared" si="5"/>
        <v>47635</v>
      </c>
    </row>
    <row r="43" spans="1:30" outlineLevel="1">
      <c r="G43" s="21"/>
      <c r="H43" s="21"/>
    </row>
    <row r="44" spans="1:30" outlineLevel="1">
      <c r="C44" s="15" t="s">
        <v>126</v>
      </c>
      <c r="D44" s="16" t="s">
        <v>127</v>
      </c>
      <c r="E44" s="180" t="str">
        <f>Units</f>
        <v>$millions</v>
      </c>
      <c r="F44" s="179">
        <f>DATE(PPLastYear,MONTH(Month),1)</f>
        <v>45809</v>
      </c>
      <c r="G44" s="21"/>
      <c r="H44" s="21"/>
      <c r="J44" s="120"/>
      <c r="K44" s="120"/>
      <c r="L44" s="120"/>
      <c r="M44" s="120"/>
      <c r="N44" s="120"/>
      <c r="O44" s="120">
        <v>2.6636777977582708</v>
      </c>
      <c r="P44" s="120">
        <v>2.7008666540683528</v>
      </c>
      <c r="Q44" s="120">
        <v>2.7456348908061883</v>
      </c>
      <c r="R44" s="120">
        <v>2.7986154665992546</v>
      </c>
      <c r="S44" s="120">
        <v>2.8704835321640019</v>
      </c>
    </row>
    <row r="45" spans="1:30" outlineLevel="1">
      <c r="G45" s="21"/>
      <c r="H45" s="21"/>
    </row>
    <row r="46" spans="1:30" outlineLevel="1">
      <c r="C46" s="8" t="s">
        <v>100</v>
      </c>
      <c r="D46" s="16" t="s">
        <v>88</v>
      </c>
      <c r="E46" s="16" t="s">
        <v>101</v>
      </c>
      <c r="F46" s="16" t="s">
        <v>102</v>
      </c>
      <c r="J46" s="89" t="str">
        <f t="shared" ref="J46:R46" si="6">IF(J42=J4,IF(ISBLANK(J44),"Check","Ok"),"")</f>
        <v/>
      </c>
      <c r="K46" s="89" t="str">
        <f t="shared" si="6"/>
        <v/>
      </c>
      <c r="L46" s="89" t="str">
        <f t="shared" si="6"/>
        <v/>
      </c>
      <c r="M46" s="89" t="str">
        <f t="shared" si="6"/>
        <v/>
      </c>
      <c r="N46" s="89" t="str">
        <f t="shared" si="6"/>
        <v/>
      </c>
      <c r="O46" s="89" t="str">
        <f t="shared" si="6"/>
        <v>Ok</v>
      </c>
      <c r="P46" s="89" t="str">
        <f t="shared" si="6"/>
        <v>Ok</v>
      </c>
      <c r="Q46" s="89" t="str">
        <f t="shared" si="6"/>
        <v>Ok</v>
      </c>
      <c r="R46" s="89" t="str">
        <f t="shared" si="6"/>
        <v>Ok</v>
      </c>
      <c r="S46" s="89" t="str">
        <f>IF(S42=S4,IF(ISBLANK(S44),"Check","Ok"),"")</f>
        <v>Ok</v>
      </c>
      <c r="T46" s="89"/>
      <c r="U46" s="24"/>
      <c r="W46" s="88" t="str">
        <f>IF(COUNTIF(J46:T46,"Check")=0,"Ok","Check")</f>
        <v>Ok</v>
      </c>
    </row>
    <row r="47" spans="1:30">
      <c r="G47" s="21"/>
      <c r="H47" s="21"/>
    </row>
    <row r="48" spans="1:30" customFormat="1" ht="12.75">
      <c r="A48" s="37"/>
      <c r="B48" s="43" t="s">
        <v>25</v>
      </c>
      <c r="C48" s="37"/>
      <c r="D48" s="37"/>
      <c r="E48" s="37"/>
      <c r="F48" s="38"/>
      <c r="G48" s="38"/>
      <c r="H48" s="38"/>
      <c r="I48" s="38"/>
      <c r="J48" s="39"/>
      <c r="K48" s="40"/>
      <c r="L48" s="39"/>
      <c r="M48" s="40"/>
      <c r="N48" s="39"/>
      <c r="O48" s="39"/>
      <c r="P48" s="39"/>
      <c r="Q48" s="39"/>
      <c r="R48" s="39"/>
      <c r="S48" s="39"/>
      <c r="T48" s="39"/>
      <c r="U48" s="39"/>
      <c r="V48" s="40"/>
      <c r="W48" s="40"/>
      <c r="X48" s="41"/>
      <c r="Y48" s="41"/>
      <c r="Z48" s="41"/>
      <c r="AA48" s="41"/>
      <c r="AB48" s="41"/>
      <c r="AC48" s="42"/>
      <c r="AD48" s="42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  <row r="55" spans="7:8" hidden="1">
      <c r="G55" s="21"/>
      <c r="H55" s="21"/>
    </row>
    <row r="56" spans="7:8" hidden="1">
      <c r="G56" s="21"/>
      <c r="H56" s="21"/>
    </row>
    <row r="57" spans="7:8" hidden="1">
      <c r="G57" s="21"/>
      <c r="H57" s="21"/>
    </row>
    <row r="58" spans="7:8" hidden="1">
      <c r="G58" s="21"/>
      <c r="H58" s="21"/>
    </row>
  </sheetData>
  <mergeCells count="1">
    <mergeCell ref="N3:S3"/>
  </mergeCells>
  <conditionalFormatting sqref="J34:M36 O35:S36">
    <cfRule type="expression" dxfId="67" priority="13">
      <formula>J$32=J$4</formula>
    </cfRule>
  </conditionalFormatting>
  <conditionalFormatting sqref="J10:S10">
    <cfRule type="expression" dxfId="66" priority="25">
      <formula>J$10=J$4</formula>
    </cfRule>
  </conditionalFormatting>
  <conditionalFormatting sqref="J12:S26">
    <cfRule type="expression" dxfId="65" priority="24">
      <formula>J$10=J$4</formula>
    </cfRule>
  </conditionalFormatting>
  <conditionalFormatting sqref="J32:S32">
    <cfRule type="expression" dxfId="64" priority="3">
      <formula>J$10=J$4</formula>
    </cfRule>
  </conditionalFormatting>
  <conditionalFormatting sqref="J42:S42">
    <cfRule type="expression" dxfId="63" priority="2">
      <formula>J$10=J$4</formula>
    </cfRule>
  </conditionalFormatting>
  <conditionalFormatting sqref="J44:S44">
    <cfRule type="expression" dxfId="62" priority="1">
      <formula>J$42=J$4</formula>
    </cfRule>
  </conditionalFormatting>
  <conditionalFormatting sqref="J28:T28">
    <cfRule type="cellIs" dxfId="61" priority="18" operator="equal">
      <formula>"Check"</formula>
    </cfRule>
    <cfRule type="cellIs" dxfId="60" priority="19" operator="equal">
      <formula>"Ok"</formula>
    </cfRule>
  </conditionalFormatting>
  <conditionalFormatting sqref="J38:T38">
    <cfRule type="cellIs" dxfId="59" priority="14" operator="equal">
      <formula>"Check"</formula>
    </cfRule>
    <cfRule type="cellIs" dxfId="58" priority="15" operator="equal">
      <formula>"Ok"</formula>
    </cfRule>
  </conditionalFormatting>
  <conditionalFormatting sqref="J46:T46">
    <cfRule type="cellIs" dxfId="57" priority="9" operator="equal">
      <formula>"Check"</formula>
    </cfRule>
    <cfRule type="cellIs" dxfId="56" priority="10" operator="equal">
      <formula>"Ok"</formula>
    </cfRule>
  </conditionalFormatting>
  <conditionalFormatting sqref="N34:N36">
    <cfRule type="expression" dxfId="55" priority="7">
      <formula>N$10=N$4</formula>
    </cfRule>
  </conditionalFormatting>
  <conditionalFormatting sqref="O34:S34">
    <cfRule type="expression" dxfId="54" priority="8">
      <formula>O$10=O$4</formula>
    </cfRule>
  </conditionalFormatting>
  <conditionalFormatting sqref="S1">
    <cfRule type="cellIs" dxfId="53" priority="27" operator="equal">
      <formula>"Check"</formula>
    </cfRule>
    <cfRule type="cellIs" dxfId="52" priority="28" operator="equal">
      <formula>"Ok"</formula>
    </cfRule>
  </conditionalFormatting>
  <conditionalFormatting sqref="V1">
    <cfRule type="cellIs" dxfId="51" priority="29" operator="equal">
      <formula>"Check"</formula>
    </cfRule>
    <cfRule type="cellIs" dxfId="50" priority="30" operator="equal">
      <formula>"Ok"</formula>
    </cfRule>
  </conditionalFormatting>
  <conditionalFormatting sqref="W28">
    <cfRule type="cellIs" dxfId="49" priority="20" operator="equal">
      <formula>"Check"</formula>
    </cfRule>
    <cfRule type="cellIs" dxfId="48" priority="21" operator="equal">
      <formula>"Ok"</formula>
    </cfRule>
  </conditionalFormatting>
  <conditionalFormatting sqref="W38">
    <cfRule type="cellIs" dxfId="47" priority="16" operator="equal">
      <formula>"Check"</formula>
    </cfRule>
    <cfRule type="cellIs" dxfId="46" priority="17" operator="equal">
      <formula>"Ok"</formula>
    </cfRule>
  </conditionalFormatting>
  <conditionalFormatting sqref="W46">
    <cfRule type="cellIs" dxfId="45" priority="11" operator="equal">
      <formula>"Check"</formula>
    </cfRule>
    <cfRule type="cellIs" dxfId="44" priority="12" operator="equal">
      <formula>"Ok"</formula>
    </cfRule>
  </conditionalFormatting>
  <dataValidations count="2">
    <dataValidation type="list" allowBlank="1" showInputMessage="1" showErrorMessage="1" sqref="F29 F37 F39 F47" xr:uid="{00000000-0002-0000-0500-000000000000}">
      <formula1>"Real 2010,Real 2011,Real 2012,Real 2013,Real 2014,Real 2015,Nominal"</formula1>
    </dataValidation>
    <dataValidation type="list" allowBlank="1" showInputMessage="1" showErrorMessage="1" sqref="U34:U37 I44 U29 I29 U12:U27 I34:I37 U39 I39 U47 I47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'Lookup|Tables'!$G$10:$G$12</xm:f>
          </x14:formula1>
          <xm:sqref>E27</xm:sqref>
        </x14:dataValidation>
        <x14:dataValidation type="list" allowBlank="1" showInputMessage="1" showErrorMessage="1" xr:uid="{00000000-0002-0000-0500-000003000000}">
          <x14:formula1>
            <xm:f>'Lookup|Tables'!$C$66:$C$74</xm:f>
          </x14:formula1>
          <xm:sqref>F27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AL195"/>
  <sheetViews>
    <sheetView workbookViewId="0"/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13" width="10.83203125" style="8" customWidth="1"/>
    <col min="14" max="14" width="12.5" style="8" customWidth="1"/>
    <col min="15" max="19" width="15.5" style="8" customWidth="1"/>
    <col min="20" max="20" width="14.6640625" style="8" customWidth="1"/>
    <col min="21" max="21" width="17.5" style="8" customWidth="1"/>
    <col min="22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26</v>
      </c>
      <c r="L1" s="33" t="s">
        <v>27</v>
      </c>
      <c r="M1" s="50" t="s">
        <v>28</v>
      </c>
      <c r="N1" s="11" t="s">
        <v>29</v>
      </c>
      <c r="O1" s="12" t="s">
        <v>30</v>
      </c>
      <c r="R1" s="33" t="s">
        <v>31</v>
      </c>
      <c r="S1" s="34" t="s">
        <v>102</v>
      </c>
      <c r="U1" s="132" t="s">
        <v>32</v>
      </c>
      <c r="V1" s="34" t="str">
        <f>'Check|List'!$S$1</f>
        <v>Ok</v>
      </c>
    </row>
    <row r="2" spans="1:30" s="36" customFormat="1" ht="13.5" thickBot="1">
      <c r="B2" s="35" t="str">
        <f>Index!$C$12</f>
        <v>Calc | Opex Forecast</v>
      </c>
      <c r="C2" s="35"/>
      <c r="D2" s="35"/>
      <c r="E2" s="35"/>
      <c r="F2" s="58"/>
      <c r="G2" s="58"/>
      <c r="H2" s="58"/>
      <c r="I2" s="58"/>
    </row>
    <row r="3" spans="1:30" s="59" customFormat="1">
      <c r="D3" s="127"/>
      <c r="E3" s="127"/>
      <c r="F3" s="127"/>
      <c r="G3" s="127"/>
      <c r="H3" s="127"/>
      <c r="I3" s="127"/>
      <c r="J3" s="121" t="s">
        <v>43</v>
      </c>
      <c r="K3" s="121"/>
      <c r="L3" s="121"/>
      <c r="M3" s="127"/>
      <c r="N3" s="210"/>
      <c r="O3" s="210"/>
      <c r="P3" s="210"/>
      <c r="Q3" s="210"/>
      <c r="R3" s="210"/>
      <c r="S3" s="210"/>
      <c r="T3" s="60"/>
      <c r="U3" s="60"/>
      <c r="V3" s="60"/>
      <c r="W3" s="60"/>
      <c r="X3" s="60"/>
      <c r="Y3" s="60"/>
      <c r="Z3" s="60"/>
    </row>
    <row r="4" spans="1:30" customFormat="1">
      <c r="A4" s="61"/>
      <c r="B4" s="61"/>
      <c r="C4" s="61"/>
      <c r="D4" s="62" t="s">
        <v>35</v>
      </c>
      <c r="E4" s="62" t="s">
        <v>61</v>
      </c>
      <c r="F4" s="63" t="s">
        <v>64</v>
      </c>
      <c r="G4" s="64"/>
      <c r="H4" s="64"/>
      <c r="I4" s="64"/>
      <c r="J4" s="110">
        <f>DATE(PPFirstYear,MONTH('Input|General'!$G$9),1)</f>
        <v>44348</v>
      </c>
      <c r="K4" s="110">
        <f>DATE(PPFirstYear+1,MONTH('Input|General'!$G$9),1)</f>
        <v>44713</v>
      </c>
      <c r="L4" s="110">
        <f>DATE(PPFirstYear+2,MONTH('Input|General'!$G$9),1)</f>
        <v>45078</v>
      </c>
      <c r="M4" s="110">
        <f>DATE(PPFirstYear+3,MONTH('Input|General'!$G$9),1)</f>
        <v>45444</v>
      </c>
      <c r="N4" s="110">
        <f>DATE(PPFirstYear+4,MONTH('Input|General'!$G$9),1)</f>
        <v>45809</v>
      </c>
      <c r="O4" s="110">
        <f>DATE(PPFirstYear+5,MONTH('Input|General'!$G$9),1)</f>
        <v>46174</v>
      </c>
      <c r="P4" s="110">
        <f>DATE(PPFirstYear+6,MONTH('Input|General'!$G$9),1)</f>
        <v>46539</v>
      </c>
      <c r="Q4" s="110">
        <f>DATE(PPFirstYear+7,MONTH('Input|General'!$G$9),1)</f>
        <v>46905</v>
      </c>
      <c r="R4" s="110">
        <f>DATE(PPFirstYear+8,MONTH('Input|General'!$G$9),1)</f>
        <v>47270</v>
      </c>
      <c r="S4" s="110">
        <f>DATE(PPFirstYear+9,MONTH('Input|General'!$G$9),1)</f>
        <v>47635</v>
      </c>
      <c r="T4" s="65"/>
      <c r="U4" s="65"/>
      <c r="V4" s="66"/>
      <c r="W4" s="66"/>
    </row>
    <row r="5" spans="1:30" s="6" customFormat="1" ht="3" customHeight="1">
      <c r="D5" s="27"/>
      <c r="E5" s="27"/>
      <c r="F5" s="27"/>
      <c r="G5" s="27"/>
      <c r="H5" s="27"/>
      <c r="I5" s="27"/>
    </row>
    <row r="6" spans="1:30" s="6" customFormat="1" ht="9" customHeight="1">
      <c r="D6" s="27"/>
      <c r="E6" s="27"/>
      <c r="F6" s="27"/>
      <c r="G6" s="27"/>
      <c r="H6" s="27"/>
      <c r="I6" s="27"/>
    </row>
    <row r="7" spans="1:30" s="6" customFormat="1" ht="3" customHeight="1">
      <c r="D7" s="27"/>
      <c r="E7" s="27"/>
      <c r="F7" s="27"/>
      <c r="G7" s="27"/>
      <c r="H7" s="27"/>
      <c r="I7" s="27"/>
    </row>
    <row r="8" spans="1:30" customFormat="1" ht="12.75">
      <c r="A8" s="37"/>
      <c r="B8" s="43" t="s">
        <v>128</v>
      </c>
      <c r="C8" s="37"/>
      <c r="D8" s="37"/>
      <c r="E8" s="57" t="s">
        <v>52</v>
      </c>
      <c r="F8" s="146">
        <f>DATE(PPLastYear,MONTH('Input|General'!$G$9),1)</f>
        <v>45809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/>
    <row r="10" spans="1:30" outlineLevel="1">
      <c r="C10" s="9"/>
      <c r="D10" s="21" t="s">
        <v>35</v>
      </c>
      <c r="E10" s="21" t="s">
        <v>61</v>
      </c>
      <c r="F10" s="21" t="s">
        <v>64</v>
      </c>
      <c r="J10" s="116">
        <f t="shared" ref="J10:S10" si="0">IF(YEAR(J$4)&lt;=PPLastYear,J$4,"")</f>
        <v>44348</v>
      </c>
      <c r="K10" s="116">
        <f t="shared" si="0"/>
        <v>44713</v>
      </c>
      <c r="L10" s="116">
        <f t="shared" si="0"/>
        <v>45078</v>
      </c>
      <c r="M10" s="116">
        <f t="shared" si="0"/>
        <v>45444</v>
      </c>
      <c r="N10" s="116">
        <f t="shared" si="0"/>
        <v>45809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</row>
    <row r="11" spans="1:30" outlineLevel="1">
      <c r="C11" s="15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spans="1:30" outlineLevel="1">
      <c r="C12" s="15" t="s">
        <v>129</v>
      </c>
      <c r="D12" s="71" t="s">
        <v>130</v>
      </c>
      <c r="E12" s="16" t="str">
        <f>'Input|Reported opex'!E56</f>
        <v>$millions</v>
      </c>
      <c r="F12" s="115" t="str">
        <f>'Input|Reported opex'!F56</f>
        <v>nominal</v>
      </c>
      <c r="J12" s="72">
        <f>IF(YEAR(J$4)=BaseYear,'Input|Reported opex'!J47,0)</f>
        <v>0</v>
      </c>
      <c r="K12" s="72">
        <f>IF(YEAR(K$4)=BaseYear,'Input|Reported opex'!K47,0)</f>
        <v>0</v>
      </c>
      <c r="L12" s="72">
        <f>IF(YEAR(L$4)=BaseYear,'Input|Reported opex'!L47,0)</f>
        <v>0</v>
      </c>
      <c r="M12" s="206">
        <f>IF(YEAR(M$4)=BaseYear,'Input|Reported opex'!M47,0)</f>
        <v>322.32697688000002</v>
      </c>
      <c r="N12" s="178">
        <f>IF(YEAR(N$4)=BaseYear,'Input|Reported opex'!N47,0)</f>
        <v>0</v>
      </c>
      <c r="O12" s="72">
        <f>IF(YEAR(O$4)=BaseYear,'Input|Reported opex'!O47,0)</f>
        <v>0</v>
      </c>
      <c r="P12" s="72">
        <f>IF(YEAR(P$4)=BaseYear,'Input|Reported opex'!P47,0)</f>
        <v>0</v>
      </c>
      <c r="Q12" s="177"/>
      <c r="R12" s="72">
        <f>IF(YEAR(R$4)=BaseYear,'Input|Reported opex'!R47,0)</f>
        <v>0</v>
      </c>
      <c r="S12" s="72">
        <f>IF(YEAR(S$4)=BaseYear,'Input|Reported opex'!S47,0)</f>
        <v>0</v>
      </c>
    </row>
    <row r="13" spans="1:30" outlineLevel="1">
      <c r="C13" s="15" t="s">
        <v>129</v>
      </c>
      <c r="D13" s="16" t="s">
        <v>59</v>
      </c>
      <c r="E13" s="16" t="str">
        <f>$E$8</f>
        <v>$millions</v>
      </c>
      <c r="F13" s="115">
        <f>$F$8</f>
        <v>45809</v>
      </c>
      <c r="J13" s="72">
        <f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2">
        <f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2">
        <f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206">
        <f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338.24796927798326</v>
      </c>
      <c r="N13" s="206">
        <f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2">
        <f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2">
        <f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2">
        <f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2">
        <f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2">
        <f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0" outlineLevel="1">
      <c r="C14" s="15" t="s">
        <v>131</v>
      </c>
      <c r="D14" s="71" t="s">
        <v>130</v>
      </c>
      <c r="E14" s="16" t="str">
        <f>'Input|Reported opex'!E15</f>
        <v>$millions</v>
      </c>
      <c r="F14" s="115">
        <f>'Input|Reported opex'!F15</f>
        <v>43983</v>
      </c>
      <c r="J14" s="72">
        <f>IF(YEAR(J$4)=BaseYear,'Input|Reported opex'!J15,0)</f>
        <v>0</v>
      </c>
      <c r="K14" s="72">
        <f>IF(YEAR(K$4)=BaseYear,'Input|Reported opex'!K15,0)</f>
        <v>0</v>
      </c>
      <c r="L14" s="72">
        <f>IF(YEAR(L$4)=BaseYear,'Input|Reported opex'!L15,0)</f>
        <v>0</v>
      </c>
      <c r="M14" s="206">
        <f>IF(YEAR(M$4)=BaseYear,'Input|Reported opex'!M15,0)</f>
        <v>294.67306876870595</v>
      </c>
      <c r="N14" s="206">
        <f>IF(YEAR(N$4)=BaseYear,'Input|Reported opex'!N15,0)</f>
        <v>0</v>
      </c>
      <c r="O14" s="72">
        <f>IF(YEAR(O$4)=BaseYear,'Input|Reported opex'!O15,0)</f>
        <v>0</v>
      </c>
      <c r="P14" s="72">
        <f>IF(YEAR(P$4)=BaseYear,'Input|Reported opex'!P15,0)</f>
        <v>0</v>
      </c>
      <c r="Q14" s="72">
        <f>IF(YEAR(Q$4)=BaseYear,'Input|Reported opex'!Q15,0)</f>
        <v>0</v>
      </c>
      <c r="R14" s="72">
        <f>IF(YEAR(R$4)=BaseYear,'Input|Reported opex'!R15,0)</f>
        <v>0</v>
      </c>
      <c r="S14" s="72">
        <f>IF(YEAR(S$4)=BaseYear,'Input|Reported opex'!S15,0)</f>
        <v>0</v>
      </c>
    </row>
    <row r="15" spans="1:30" outlineLevel="1">
      <c r="C15" s="15" t="s">
        <v>131</v>
      </c>
      <c r="D15" s="16" t="s">
        <v>59</v>
      </c>
      <c r="E15" s="16" t="str">
        <f>$E$8</f>
        <v>$millions</v>
      </c>
      <c r="F15" s="115">
        <f>$F$8</f>
        <v>45809</v>
      </c>
      <c r="J15" s="72">
        <f>J14*IF($F14="nominal",LOOKUP($F15,Nominal_to_Real,'Input|Rate of change'!K$26:K$31),INDEX('Input|Rate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72">
        <f>K14*IF($F14="nominal",LOOKUP($F15,Nominal_to_Real,'Input|Rate of change'!L$26:L$31),INDEX('Input|Rate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72">
        <f>L14*IF($F14="nominal",LOOKUP($F15,Nominal_to_Real,'Input|Rate of change'!M$26:M$31),INDEX('Input|Rate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206">
        <f>M14*IF($F14="nominal",LOOKUP($F15,Nominal_to_Real,'Input|Rate of change'!N$26:N$31),INDEX('Input|Rate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367.84448522685045</v>
      </c>
      <c r="N15" s="206">
        <f>N14*IF($F14="nominal",LOOKUP($F15,Nominal_to_Real,'Input|Rate of change'!O$26:O$31),INDEX('Input|Rate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72">
        <f>O14*IF($F14="nominal",LOOKUP($F15,Nominal_to_Real,'Input|Rate of change'!P$26:P$31),INDEX('Input|Rate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72">
        <f>P14*IF($F14="nominal",LOOKUP($F15,Nominal_to_Real,'Input|Rate of change'!Q$26:Q$31),INDEX('Input|Rate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72">
        <f>Q14*IF($F14="nominal",LOOKUP($F15,Nominal_to_Real,'Input|Rate of change'!R$26:R$31),INDEX('Input|Rate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72">
        <f>R14*IF($F14="nominal",LOOKUP($F15,Nominal_to_Real,'Input|Rate of change'!S$26:S$31),INDEX('Input|Rate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72">
        <f>S14*IF($F14="nominal",LOOKUP($F15,Nominal_to_Real,'Input|Rate of change'!T$26:T$31),INDEX('Input|Rate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30" outlineLevel="1">
      <c r="C16" s="15" t="s">
        <v>132</v>
      </c>
      <c r="D16" s="71" t="s">
        <v>130</v>
      </c>
      <c r="E16" s="16" t="str">
        <f>'Input|Reported opex'!E15</f>
        <v>$millions</v>
      </c>
      <c r="F16" s="115">
        <f>'Input|Reported opex'!F15</f>
        <v>43983</v>
      </c>
      <c r="J16" s="72">
        <f>IF(YEAR(J$4)=PPLastYear,'Input|Reported opex'!J15,0)</f>
        <v>0</v>
      </c>
      <c r="K16" s="72">
        <f>IF(YEAR(K$4)=PPLastYear,'Input|Reported opex'!K15,0)</f>
        <v>0</v>
      </c>
      <c r="L16" s="72">
        <f>IF(YEAR(L$4)=PPLastYear,'Input|Reported opex'!L15,0)</f>
        <v>0</v>
      </c>
      <c r="M16" s="206">
        <f>IF(YEAR(M$4)=PPLastYear,'Input|Reported opex'!M15,0)</f>
        <v>0</v>
      </c>
      <c r="N16" s="206">
        <f>IF(YEAR(N$4)=PPLastYear,'Input|Reported opex'!N15,0)</f>
        <v>297.06665982025783</v>
      </c>
      <c r="O16" s="72">
        <f>IF(YEAR(O$4)=PPLastYear,'Input|Reported opex'!O15,0)</f>
        <v>0</v>
      </c>
      <c r="P16" s="72">
        <f>IF(YEAR(P$4)=PPLastYear,'Input|Reported opex'!P15,0)</f>
        <v>0</v>
      </c>
      <c r="Q16" s="72">
        <f>IF(YEAR(Q$4)=PPLastYear,'Input|Reported opex'!Q15,0)</f>
        <v>0</v>
      </c>
      <c r="R16" s="72">
        <f>IF(YEAR(R$4)=PPLastYear,'Input|Reported opex'!R15,0)</f>
        <v>0</v>
      </c>
      <c r="S16" s="72">
        <f>IF(YEAR(S$4)=PPLastYear,'Input|Reported opex'!S15,0)</f>
        <v>0</v>
      </c>
    </row>
    <row r="17" spans="3:19" outlineLevel="1">
      <c r="C17" s="15" t="s">
        <v>132</v>
      </c>
      <c r="D17" s="16" t="s">
        <v>59</v>
      </c>
      <c r="E17" s="16" t="str">
        <f>$E$8</f>
        <v>$millions</v>
      </c>
      <c r="F17" s="115">
        <f>$F$8</f>
        <v>45809</v>
      </c>
      <c r="J17" s="72">
        <f>J16*IF($F16="nominal",LOOKUP($F17,Nominal_to_Real,'Input|Rate of change'!K$26:K$31),INDEX('Input|Rate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72">
        <f>K16*IF($F16="nominal",LOOKUP($F17,Nominal_to_Real,'Input|Rate of change'!L$26:L$31),INDEX('Input|Rate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72">
        <f>L16*IF($F16="nominal",LOOKUP($F17,Nominal_to_Real,'Input|Rate of change'!M$26:M$31),INDEX('Input|Rate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206">
        <f>M16*IF($F16="nominal",LOOKUP($F17,Nominal_to_Real,'Input|Rate of change'!N$26:N$31),INDEX('Input|Rate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206">
        <f>N16*IF($F16="nominal",LOOKUP($F17,Nominal_to_Real,'Input|Rate of change'!O$26:O$31),INDEX('Input|Rate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370.83243818733217</v>
      </c>
      <c r="O17" s="72">
        <f>O16*IF($F16="nominal",LOOKUP($F17,Nominal_to_Real,'Input|Rate of change'!P$26:P$31),INDEX('Input|Rate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72">
        <f>P16*IF($F16="nominal",LOOKUP($F17,Nominal_to_Real,'Input|Rate of change'!Q$26:Q$31),INDEX('Input|Rate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72">
        <f>Q16*IF($F16="nominal",LOOKUP($F17,Nominal_to_Real,'Input|Rate of change'!R$26:R$31),INDEX('Input|Rate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72">
        <f>R16*IF($F16="nominal",LOOKUP($F17,Nominal_to_Real,'Input|Rate of change'!S$26:S$31),INDEX('Input|Rate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72">
        <f>S16*IF($F16="nominal",LOOKUP($F17,Nominal_to_Real,'Input|Rate of change'!T$26:T$31),INDEX('Input|Rate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5"/>
      <c r="F18" s="115"/>
      <c r="J18" s="72"/>
      <c r="K18" s="72"/>
      <c r="L18" s="72"/>
      <c r="M18" s="178"/>
      <c r="N18" s="178"/>
      <c r="O18" s="72"/>
      <c r="P18" s="72"/>
      <c r="Q18" s="72"/>
      <c r="R18" s="72"/>
      <c r="S18" s="72"/>
    </row>
    <row r="19" spans="3:19" outlineLevel="1">
      <c r="C19" s="15" t="s">
        <v>133</v>
      </c>
      <c r="D19" s="71" t="s">
        <v>130</v>
      </c>
      <c r="E19" s="16" t="str">
        <f>'Input|Reported opex'!E63</f>
        <v>$millions</v>
      </c>
      <c r="F19" s="115" t="str">
        <f>'Input|Reported opex'!F56</f>
        <v>nominal</v>
      </c>
      <c r="J19" s="72">
        <f>IF(YEAR(J$4)=BaseYear,'Input|Reported opex'!J56,0)</f>
        <v>0</v>
      </c>
      <c r="K19" s="72">
        <f>IF(YEAR(K$4)=BaseYear,'Input|Reported opex'!K56,0)</f>
        <v>0</v>
      </c>
      <c r="L19" s="72">
        <f>IF(YEAR(L$4)=BaseYear,'Input|Reported opex'!L56,0)</f>
        <v>0</v>
      </c>
      <c r="M19" s="178">
        <f>IF(YEAR(M$4)=BaseYear,'Input|Reported opex'!M56,0)</f>
        <v>0</v>
      </c>
      <c r="N19" s="178">
        <f>IF(YEAR(N$4)=BaseYear,'Input|Reported opex'!N56,0)</f>
        <v>0</v>
      </c>
      <c r="O19" s="72">
        <f>IF(YEAR(O$4)=BaseYear,'Input|Reported opex'!O56,0)</f>
        <v>0</v>
      </c>
      <c r="P19" s="72">
        <f>IF(YEAR(P$4)=BaseYear,'Input|Reported opex'!P56,0)</f>
        <v>0</v>
      </c>
      <c r="Q19" s="72">
        <f>IF(YEAR(Q$4)=BaseYear,'Input|Reported opex'!Q56,0)</f>
        <v>0</v>
      </c>
      <c r="R19" s="72">
        <f>IF(YEAR(R$4)=BaseYear,'Input|Reported opex'!R56,0)</f>
        <v>0</v>
      </c>
      <c r="S19" s="72">
        <f>IF(YEAR(S$4)=BaseYear,'Input|Reported opex'!S56,0)</f>
        <v>0</v>
      </c>
    </row>
    <row r="20" spans="3:19" outlineLevel="1">
      <c r="C20" s="15" t="s">
        <v>133</v>
      </c>
      <c r="D20" s="16" t="s">
        <v>59</v>
      </c>
      <c r="E20" s="16" t="str">
        <f>$E$8</f>
        <v>$millions</v>
      </c>
      <c r="F20" s="115">
        <f>$F$8</f>
        <v>45809</v>
      </c>
      <c r="J20" s="72">
        <f>J19*IF($F19="nominal",LOOKUP($F20,Nominal_to_Real,'Input|Rate of change'!K$26:K$31),INDEX('Input|Rate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72">
        <f>K19*IF($F19="nominal",LOOKUP($F20,Nominal_to_Real,'Input|Rate of change'!L$26:L$31),INDEX('Input|Rate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72">
        <f>L19*IF($F19="nominal",LOOKUP($F20,Nominal_to_Real,'Input|Rate of change'!M$26:M$31),INDEX('Input|Rate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78">
        <f>M19*IF($F19="nominal",LOOKUP($F20,Nominal_to_Real,'Input|Rate of change'!N$26:N$31),INDEX('Input|Rate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78">
        <f>N19*IF($F19="nominal",LOOKUP($F20,Nominal_to_Real,'Input|Rate of change'!O$26:O$31),INDEX('Input|Rate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72">
        <f>O19*IF($F19="nominal",LOOKUP($F20,Nominal_to_Real,'Input|Rate of change'!P$26:P$31),INDEX('Input|Rate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72">
        <f>P19*IF($F19="nominal",LOOKUP($F20,Nominal_to_Real,'Input|Rate of change'!Q$26:Q$31),INDEX('Input|Rate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72">
        <f>Q19*IF($F19="nominal",LOOKUP($F20,Nominal_to_Real,'Input|Rate of change'!R$26:R$31),INDEX('Input|Rate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72">
        <f>R19*IF($F19="nominal",LOOKUP($F20,Nominal_to_Real,'Input|Rate of change'!S$26:S$31),INDEX('Input|Rate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72">
        <f>S19*IF($F19="nominal",LOOKUP($F20,Nominal_to_Real,'Input|Rate of change'!T$26:T$31),INDEX('Input|Rate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5" t="s">
        <v>134</v>
      </c>
      <c r="D21" s="71" t="s">
        <v>130</v>
      </c>
      <c r="E21" s="16" t="str">
        <f>'Input|Reported opex'!E22</f>
        <v>$millions</v>
      </c>
      <c r="F21" s="115">
        <f>'Input|Reported opex'!F29</f>
        <v>43983</v>
      </c>
      <c r="J21" s="72">
        <f>IF(YEAR(J$4)=BaseYear,'Input|Reported opex'!J29,0)</f>
        <v>0</v>
      </c>
      <c r="K21" s="72">
        <f>IF(YEAR(K$4)=BaseYear,'Input|Reported opex'!K29,0)</f>
        <v>0</v>
      </c>
      <c r="L21" s="72">
        <f>IF(YEAR(L$4)=BaseYear,'Input|Reported opex'!L29,0)</f>
        <v>0</v>
      </c>
      <c r="M21" s="178">
        <f>IF(YEAR(M$4)=BaseYear,'Input|Reported opex'!M29,0)</f>
        <v>0</v>
      </c>
      <c r="N21" s="178">
        <f>IF(YEAR(N$4)=BaseYear,'Input|Reported opex'!N29,0)</f>
        <v>0</v>
      </c>
      <c r="O21" s="72">
        <f>IF(YEAR(O$4)=BaseYear,'Input|Reported opex'!O29,0)</f>
        <v>0</v>
      </c>
      <c r="P21" s="72">
        <f>IF(YEAR(P$4)=BaseYear,'Input|Reported opex'!P29,0)</f>
        <v>0</v>
      </c>
      <c r="Q21" s="72">
        <f>IF(YEAR(Q$4)=BaseYear,'Input|Reported opex'!Q29,0)</f>
        <v>0</v>
      </c>
      <c r="R21" s="72">
        <f>IF(YEAR(R$4)=BaseYear,'Input|Reported opex'!R29,0)</f>
        <v>0</v>
      </c>
      <c r="S21" s="72">
        <f>IF(YEAR(S$4)=BaseYear,'Input|Reported opex'!S29,0)</f>
        <v>0</v>
      </c>
    </row>
    <row r="22" spans="3:19" outlineLevel="1">
      <c r="C22" s="15" t="s">
        <v>134</v>
      </c>
      <c r="D22" s="16" t="s">
        <v>59</v>
      </c>
      <c r="E22" s="16" t="str">
        <f>$E$8</f>
        <v>$millions</v>
      </c>
      <c r="F22" s="115">
        <f>$F$8</f>
        <v>45809</v>
      </c>
      <c r="J22" s="72">
        <f>J21*IF($F21="nominal",LOOKUP($F22,Nominal_to_Real,'Input|Rate of change'!K$26:K$31),INDEX('Input|Rate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72">
        <f>K21*IF($F21="nominal",LOOKUP($F22,Nominal_to_Real,'Input|Rate of change'!L$26:L$31),INDEX('Input|Rate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72">
        <f>L21*IF($F21="nominal",LOOKUP($F22,Nominal_to_Real,'Input|Rate of change'!M$26:M$31),INDEX('Input|Rate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78">
        <f>M21*IF($F21="nominal",LOOKUP($F22,Nominal_to_Real,'Input|Rate of change'!N$26:N$31),INDEX('Input|Rate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78">
        <f>N21*IF($F21="nominal",LOOKUP($F22,Nominal_to_Real,'Input|Rate of change'!O$26:O$31),INDEX('Input|Rate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72">
        <f>O21*IF($F21="nominal",LOOKUP($F22,Nominal_to_Real,'Input|Rate of change'!P$26:P$31),INDEX('Input|Rate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72">
        <f>P21*IF($F21="nominal",LOOKUP($F22,Nominal_to_Real,'Input|Rate of change'!Q$26:Q$31),INDEX('Input|Rate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72">
        <f>Q21*IF($F21="nominal",LOOKUP($F22,Nominal_to_Real,'Input|Rate of change'!R$26:R$31),INDEX('Input|Rate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72">
        <f>R21*IF($F21="nominal",LOOKUP($F22,Nominal_to_Real,'Input|Rate of change'!S$26:S$31),INDEX('Input|Rate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72">
        <f>S21*IF($F21="nominal",LOOKUP($F22,Nominal_to_Real,'Input|Rate of change'!T$26:T$31),INDEX('Input|Rate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5" t="s">
        <v>135</v>
      </c>
      <c r="D23" s="71" t="s">
        <v>130</v>
      </c>
      <c r="E23" s="16" t="str">
        <f>'Input|Reported opex'!E22</f>
        <v>$millions</v>
      </c>
      <c r="F23" s="115">
        <f>'Input|Reported opex'!F29</f>
        <v>43983</v>
      </c>
      <c r="J23" s="72">
        <f>IF(YEAR(J$4)=PPLastYear,'Input|Reported opex'!J29,0)</f>
        <v>0</v>
      </c>
      <c r="K23" s="72">
        <f>IF(YEAR(K$4)=PPLastYear,'Input|Reported opex'!K29,0)</f>
        <v>0</v>
      </c>
      <c r="L23" s="72">
        <f>IF(YEAR(L$4)=PPLastYear,'Input|Reported opex'!L29,0)</f>
        <v>0</v>
      </c>
      <c r="M23" s="178">
        <f>IF(YEAR(M$4)=PPLastYear,'Input|Reported opex'!M29,0)</f>
        <v>0</v>
      </c>
      <c r="N23" s="178">
        <f>IF(YEAR(N$4)=PPLastYear,'Input|Reported opex'!N29,0)</f>
        <v>0</v>
      </c>
      <c r="O23" s="72">
        <f>IF(YEAR(O$4)=PPLastYear,'Input|Reported opex'!O29,0)</f>
        <v>0</v>
      </c>
      <c r="P23" s="72">
        <f>IF(YEAR(P$4)=PPLastYear,'Input|Reported opex'!P29,0)</f>
        <v>0</v>
      </c>
      <c r="Q23" s="72">
        <f>IF(YEAR(Q$4)=PPLastYear,'Input|Reported opex'!Q29,0)</f>
        <v>0</v>
      </c>
      <c r="R23" s="72">
        <f>IF(YEAR(R$4)=PPLastYear,'Input|Reported opex'!R29,0)</f>
        <v>0</v>
      </c>
      <c r="S23" s="72">
        <f>IF(YEAR(S$4)=PPLastYear,'Input|Reported opex'!S29,0)</f>
        <v>0</v>
      </c>
    </row>
    <row r="24" spans="3:19" outlineLevel="1">
      <c r="C24" s="15" t="s">
        <v>135</v>
      </c>
      <c r="D24" s="16" t="s">
        <v>59</v>
      </c>
      <c r="E24" s="16" t="str">
        <f>$E$8</f>
        <v>$millions</v>
      </c>
      <c r="F24" s="115">
        <f>$F$8</f>
        <v>45809</v>
      </c>
      <c r="J24" s="72">
        <f>J23*IF($F23="nominal",LOOKUP($F24,Nominal_to_Real,'Input|Rate of change'!K$26:K$31),INDEX('Input|Rate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72">
        <f>K23*IF($F23="nominal",LOOKUP($F24,Nominal_to_Real,'Input|Rate of change'!L$26:L$31),INDEX('Input|Rate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72">
        <f>L23*IF($F23="nominal",LOOKUP($F24,Nominal_to_Real,'Input|Rate of change'!M$26:M$31),INDEX('Input|Rate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78">
        <f>M23*IF($F23="nominal",LOOKUP($F24,Nominal_to_Real,'Input|Rate of change'!N$26:N$31),INDEX('Input|Rate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78">
        <f>N23*IF($F23="nominal",LOOKUP($F24,Nominal_to_Real,'Input|Rate of change'!O$26:O$31),INDEX('Input|Rate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O24" s="72">
        <f>O23*IF($F23="nominal",LOOKUP($F24,Nominal_to_Real,'Input|Rate of change'!P$26:P$31),INDEX('Input|Rate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72">
        <f>P23*IF($F23="nominal",LOOKUP($F24,Nominal_to_Real,'Input|Rate of change'!Q$26:Q$31),INDEX('Input|Rate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72">
        <f>Q23*IF($F23="nominal",LOOKUP($F24,Nominal_to_Real,'Input|Rate of change'!R$26:R$31),INDEX('Input|Rate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72">
        <f>R23*IF($F23="nominal",LOOKUP($F24,Nominal_to_Real,'Input|Rate of change'!S$26:S$31),INDEX('Input|Rate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72">
        <f>S23*IF($F23="nominal",LOOKUP($F24,Nominal_to_Real,'Input|Rate of change'!T$26:T$31),INDEX('Input|Rate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5"/>
      <c r="F25" s="73"/>
      <c r="J25" s="70"/>
      <c r="K25" s="70"/>
      <c r="L25" s="70"/>
      <c r="M25" s="178"/>
      <c r="N25" s="178"/>
      <c r="O25" s="70"/>
      <c r="P25" s="70"/>
      <c r="Q25" s="70"/>
      <c r="R25" s="70"/>
      <c r="S25" s="70"/>
    </row>
    <row r="26" spans="3:19" outlineLevel="1">
      <c r="C26" s="74" t="s">
        <v>136</v>
      </c>
      <c r="D26" s="75" t="s">
        <v>59</v>
      </c>
      <c r="E26" s="75" t="str">
        <f>$E$8</f>
        <v>$millions</v>
      </c>
      <c r="F26" s="115">
        <f>$F$8</f>
        <v>45809</v>
      </c>
      <c r="J26" s="76">
        <f>J13</f>
        <v>0</v>
      </c>
      <c r="K26" s="76">
        <f t="shared" ref="K26:S26" si="1">K13</f>
        <v>0</v>
      </c>
      <c r="L26" s="76">
        <f t="shared" si="1"/>
        <v>0</v>
      </c>
      <c r="M26" s="209">
        <f t="shared" si="1"/>
        <v>338.24796927798326</v>
      </c>
      <c r="N26" s="209">
        <f t="shared" si="1"/>
        <v>0</v>
      </c>
      <c r="O26" s="76">
        <f t="shared" si="1"/>
        <v>0</v>
      </c>
      <c r="P26" s="76">
        <f t="shared" si="1"/>
        <v>0</v>
      </c>
      <c r="Q26" s="76">
        <f t="shared" si="1"/>
        <v>0</v>
      </c>
      <c r="R26" s="76">
        <f t="shared" si="1"/>
        <v>0</v>
      </c>
      <c r="S26" s="76">
        <f t="shared" si="1"/>
        <v>0</v>
      </c>
    </row>
    <row r="27" spans="3:19" outlineLevel="1">
      <c r="C27" s="83"/>
      <c r="F27" s="115"/>
      <c r="J27" s="76"/>
      <c r="K27" s="76"/>
      <c r="L27" s="76"/>
      <c r="M27" s="209"/>
      <c r="N27" s="209"/>
      <c r="O27" s="76"/>
      <c r="P27" s="76"/>
      <c r="Q27" s="76"/>
      <c r="R27" s="76"/>
      <c r="S27" s="76"/>
    </row>
    <row r="28" spans="3:19" outlineLevel="1">
      <c r="C28" s="83" t="s">
        <v>137</v>
      </c>
      <c r="D28" s="71" t="s">
        <v>130</v>
      </c>
      <c r="E28" s="16" t="str">
        <f>'Input|Reported opex'!E68</f>
        <v>$millions</v>
      </c>
      <c r="F28" s="115">
        <f>'Input|Reported opex'!F68</f>
        <v>45809</v>
      </c>
      <c r="J28" s="76">
        <f>IF('Input|Reported opex'!J$60='Input|Reported opex'!J$10,'Input|Reported opex'!J68,0)</f>
        <v>0</v>
      </c>
      <c r="K28" s="76">
        <f>IF('Input|Reported opex'!K$60='Input|Reported opex'!K$10,'Input|Reported opex'!K68,0)</f>
        <v>0</v>
      </c>
      <c r="L28" s="76">
        <f>IF('Input|Reported opex'!L$60='Input|Reported opex'!L$10,'Input|Reported opex'!L68,0)</f>
        <v>0</v>
      </c>
      <c r="M28" s="209">
        <f>IF('Input|Reported opex'!M$60='Input|Reported opex'!M$10,'Input|Reported opex'!M68,0)</f>
        <v>0</v>
      </c>
      <c r="N28" s="209">
        <f>IF('Input|Reported opex'!N$60='Input|Reported opex'!N$10,'Input|Reported opex'!N68,0)</f>
        <v>0</v>
      </c>
      <c r="O28" s="76">
        <f>IF('Input|Reported opex'!O$60='Input|Reported opex'!O$10,'Input|Reported opex'!O68,0)</f>
        <v>0</v>
      </c>
      <c r="P28" s="76">
        <f>IF('Input|Reported opex'!P$60='Input|Reported opex'!P$10,'Input|Reported opex'!P68,0)</f>
        <v>0</v>
      </c>
      <c r="Q28" s="76">
        <f>IF('Input|Reported opex'!Q$60='Input|Reported opex'!Q$10,'Input|Reported opex'!Q68,0)</f>
        <v>0</v>
      </c>
      <c r="R28" s="76">
        <f>IF('Input|Reported opex'!R$60='Input|Reported opex'!R$10,'Input|Reported opex'!R68,0)</f>
        <v>0</v>
      </c>
      <c r="S28" s="76">
        <f>IF('Input|Reported opex'!S$60='Input|Reported opex'!S$10,'Input|Reported opex'!S68,0)</f>
        <v>0</v>
      </c>
    </row>
    <row r="29" spans="3:19" outlineLevel="1">
      <c r="C29" s="83" t="str">
        <f>C28</f>
        <v>Add back non-recurrent efficiency gains in the base year</v>
      </c>
      <c r="D29" s="16" t="s">
        <v>59</v>
      </c>
      <c r="E29" s="16" t="str">
        <f>$E$8</f>
        <v>$millions</v>
      </c>
      <c r="F29" s="115">
        <f>$F$8</f>
        <v>45809</v>
      </c>
      <c r="J29" s="76">
        <f>J28*IF($F28="nominal",LOOKUP($F29,Nominal_to_Real,'Input|Rate of change'!K$26:K$31),INDEX('Input|Rate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76">
        <f>K28*IF($F28="nominal",LOOKUP($F29,Nominal_to_Real,'Input|Rate of change'!L$26:L$31),INDEX('Input|Rate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76">
        <f>L28*IF($F28="nominal",LOOKUP($F29,Nominal_to_Real,'Input|Rate of change'!M$26:M$31),INDEX('Input|Rate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209">
        <f>M28*IF($F28="nominal",LOOKUP($F29,Nominal_to_Real,'Input|Rate of change'!N$26:N$31),INDEX('Input|Rate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209">
        <f>N28*IF($F28="nominal",LOOKUP($F29,Nominal_to_Real,'Input|Rate of change'!O$26:O$31),INDEX('Input|Rate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76">
        <f>O28*IF($F28="nominal",LOOKUP($F29,Nominal_to_Real,'Input|Rate of change'!P$26:P$31),INDEX('Input|Rate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76">
        <f>P28*IF($F28="nominal",LOOKUP($F29,Nominal_to_Real,'Input|Rate of change'!Q$26:Q$31),INDEX('Input|Rate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76">
        <f>Q28*IF($F28="nominal",LOOKUP($F29,Nominal_to_Real,'Input|Rate of change'!R$26:R$31),INDEX('Input|Rate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76">
        <f>R28*IF($F28="nominal",LOOKUP($F29,Nominal_to_Real,'Input|Rate of change'!S$26:S$31),INDEX('Input|Rate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76">
        <f>S28*IF($F28="nominal",LOOKUP($F29,Nominal_to_Real,'Input|Rate of change'!T$26:T$31),INDEX('Input|Rate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83"/>
      <c r="F30" s="115"/>
      <c r="J30" s="76"/>
      <c r="K30" s="76"/>
      <c r="L30" s="76"/>
      <c r="M30" s="209"/>
      <c r="N30" s="209"/>
      <c r="O30" s="76"/>
      <c r="P30" s="76"/>
      <c r="Q30" s="76"/>
      <c r="R30" s="76"/>
      <c r="S30" s="76"/>
    </row>
    <row r="31" spans="3:19" outlineLevel="1">
      <c r="C31" s="83" t="s">
        <v>138</v>
      </c>
      <c r="D31" s="16" t="s">
        <v>59</v>
      </c>
      <c r="E31" s="16" t="str">
        <f>$E$8</f>
        <v>$millions</v>
      </c>
      <c r="F31" s="115">
        <f>$F$8</f>
        <v>45809</v>
      </c>
      <c r="J31" s="76">
        <f t="shared" ref="J31:S31" si="2">IF(YEAR(J$4)=PPLastYear,-SUM($J15:$S15)+SUM($J17:$S17),0)</f>
        <v>0</v>
      </c>
      <c r="K31" s="76">
        <f t="shared" si="2"/>
        <v>0</v>
      </c>
      <c r="L31" s="76">
        <f t="shared" si="2"/>
        <v>0</v>
      </c>
      <c r="M31" s="209">
        <f t="shared" si="2"/>
        <v>0</v>
      </c>
      <c r="N31" s="209">
        <f t="shared" si="2"/>
        <v>2.9879529604817208</v>
      </c>
      <c r="O31" s="76">
        <f t="shared" si="2"/>
        <v>0</v>
      </c>
      <c r="P31" s="76">
        <f t="shared" si="2"/>
        <v>0</v>
      </c>
      <c r="Q31" s="76">
        <f t="shared" si="2"/>
        <v>0</v>
      </c>
      <c r="R31" s="76">
        <f t="shared" si="2"/>
        <v>0</v>
      </c>
      <c r="S31" s="76">
        <f t="shared" si="2"/>
        <v>0</v>
      </c>
    </row>
    <row r="32" spans="3:19" outlineLevel="1">
      <c r="C32" s="83"/>
      <c r="F32" s="115"/>
      <c r="J32" s="76"/>
      <c r="K32" s="76"/>
      <c r="L32" s="76"/>
      <c r="M32" s="209"/>
      <c r="N32" s="209"/>
      <c r="O32" s="76"/>
      <c r="P32" s="76"/>
      <c r="Q32" s="76"/>
      <c r="R32" s="76"/>
      <c r="S32" s="76"/>
    </row>
    <row r="33" spans="3:19" outlineLevel="1">
      <c r="C33" s="83" t="s">
        <v>139</v>
      </c>
      <c r="D33" s="16" t="s">
        <v>59</v>
      </c>
      <c r="E33" s="16" t="str">
        <f>$E$8</f>
        <v>$millions</v>
      </c>
      <c r="F33" s="115">
        <f>$F$8</f>
        <v>45809</v>
      </c>
      <c r="J33" s="76">
        <f t="shared" ref="J33:S33" si="3">IF(YEAR(J$4)=PPLastYear,SUM($J26:$S26,$J29:$S29,$J31:$S31),0)</f>
        <v>0</v>
      </c>
      <c r="K33" s="76">
        <f t="shared" si="3"/>
        <v>0</v>
      </c>
      <c r="L33" s="76">
        <f t="shared" si="3"/>
        <v>0</v>
      </c>
      <c r="M33" s="209">
        <f t="shared" si="3"/>
        <v>0</v>
      </c>
      <c r="N33" s="209">
        <f t="shared" si="3"/>
        <v>341.23592223846498</v>
      </c>
      <c r="O33" s="76">
        <f t="shared" si="3"/>
        <v>0</v>
      </c>
      <c r="P33" s="76">
        <f t="shared" si="3"/>
        <v>0</v>
      </c>
      <c r="Q33" s="76">
        <f t="shared" si="3"/>
        <v>0</v>
      </c>
      <c r="R33" s="76">
        <f t="shared" si="3"/>
        <v>0</v>
      </c>
      <c r="S33" s="76">
        <f t="shared" si="3"/>
        <v>0</v>
      </c>
    </row>
    <row r="34" spans="3:19" outlineLevel="1">
      <c r="C34" s="83"/>
      <c r="F34" s="115"/>
      <c r="J34" s="76"/>
      <c r="K34" s="76"/>
      <c r="L34" s="76"/>
      <c r="M34" s="209"/>
      <c r="N34" s="209"/>
      <c r="O34" s="76"/>
      <c r="P34" s="76"/>
      <c r="Q34" s="76"/>
      <c r="R34" s="76"/>
      <c r="S34" s="76"/>
    </row>
    <row r="35" spans="3:19" outlineLevel="1">
      <c r="C35" s="83" t="s">
        <v>140</v>
      </c>
      <c r="D35" s="16" t="s">
        <v>59</v>
      </c>
      <c r="E35" s="16" t="str">
        <f>$E$8</f>
        <v>$millions</v>
      </c>
      <c r="F35" s="115">
        <f>$F$8</f>
        <v>45809</v>
      </c>
      <c r="J35" s="76">
        <f t="shared" ref="J35:S35" si="4">IF(YEAR(J$4)=PPLastYear,-(SUM($J20:$S20)-SUM($J22:$S22)+SUM($J24:$S24)),0)</f>
        <v>0</v>
      </c>
      <c r="K35" s="76">
        <f t="shared" si="4"/>
        <v>0</v>
      </c>
      <c r="L35" s="76">
        <f t="shared" si="4"/>
        <v>0</v>
      </c>
      <c r="M35" s="209">
        <f t="shared" si="4"/>
        <v>0</v>
      </c>
      <c r="N35" s="209">
        <f t="shared" si="4"/>
        <v>0</v>
      </c>
      <c r="O35" s="76">
        <f t="shared" si="4"/>
        <v>0</v>
      </c>
      <c r="P35" s="76">
        <f t="shared" si="4"/>
        <v>0</v>
      </c>
      <c r="Q35" s="76">
        <f t="shared" si="4"/>
        <v>0</v>
      </c>
      <c r="R35" s="76">
        <f t="shared" si="4"/>
        <v>0</v>
      </c>
      <c r="S35" s="76">
        <f t="shared" si="4"/>
        <v>0</v>
      </c>
    </row>
    <row r="36" spans="3:19" outlineLevel="1">
      <c r="C36" s="83"/>
      <c r="F36" s="115"/>
      <c r="J36" s="76"/>
      <c r="K36" s="76"/>
      <c r="L36" s="76"/>
      <c r="M36" s="209"/>
      <c r="N36" s="209"/>
      <c r="O36" s="76"/>
      <c r="P36" s="76"/>
      <c r="Q36" s="76"/>
      <c r="R36" s="76"/>
      <c r="S36" s="76"/>
    </row>
    <row r="37" spans="3:19" outlineLevel="1">
      <c r="C37" s="83" t="str">
        <f>'Input|Reported opex'!$C$62</f>
        <v>Software as a service</v>
      </c>
      <c r="D37" s="71" t="s">
        <v>130</v>
      </c>
      <c r="E37" s="16" t="str">
        <f>'Input|Reported opex'!E62</f>
        <v>$millions</v>
      </c>
      <c r="F37" s="115">
        <f>'Input|Reported opex'!F62</f>
        <v>44713</v>
      </c>
      <c r="J37" s="72">
        <f>IF(YEAR(J$4)=PPLastYear,'Input|Reported opex'!J62,0)</f>
        <v>0</v>
      </c>
      <c r="K37" s="72">
        <f>IF(YEAR(K$4)=PPLastYear,'Input|Reported opex'!K62,0)</f>
        <v>0</v>
      </c>
      <c r="L37" s="72">
        <f>IF(YEAR(L$4)=PPLastYear,'Input|Reported opex'!L62,0)</f>
        <v>0</v>
      </c>
      <c r="M37" s="206">
        <f>IF(YEAR(M$4)=PPLastYear,'Input|Reported opex'!M62,0)</f>
        <v>0</v>
      </c>
      <c r="N37" s="206">
        <f>IF(YEAR(N$4)=PPLastYear,'Input|Reported opex'!N62,0)</f>
        <v>14.95858710380702</v>
      </c>
      <c r="O37" s="72">
        <f>IF(YEAR(O$4)=PPLastYear,'Input|Reported opex'!O62,0)</f>
        <v>0</v>
      </c>
      <c r="P37" s="72">
        <f>IF(YEAR(P$4)=PPLastYear,'Input|Reported opex'!P62,0)</f>
        <v>0</v>
      </c>
      <c r="Q37" s="72">
        <f>IF(YEAR(Q$4)=PPLastYear,'Input|Reported opex'!Q62,0)</f>
        <v>0</v>
      </c>
      <c r="R37" s="72">
        <f>IF(YEAR(R$4)=PPLastYear,'Input|Reported opex'!R62,0)</f>
        <v>0</v>
      </c>
      <c r="S37" s="72">
        <f>IF(YEAR(S$4)=PPLastYear,'Input|Reported opex'!S62,0)</f>
        <v>0</v>
      </c>
    </row>
    <row r="38" spans="3:19" outlineLevel="1">
      <c r="C38" s="83" t="str">
        <f>C37</f>
        <v>Software as a service</v>
      </c>
      <c r="D38" s="16" t="s">
        <v>59</v>
      </c>
      <c r="E38" s="16" t="str">
        <f>$E$8</f>
        <v>$millions</v>
      </c>
      <c r="F38" s="115">
        <f>$F$8</f>
        <v>45809</v>
      </c>
      <c r="J38" s="76">
        <f>J37*IF($F37="nominal",LOOKUP($F38,Nominal_to_Real,'Input|Rate of change'!K$26:K$31),INDEX('Input|Rate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76">
        <f>K37*IF($F37="nominal",LOOKUP($F38,Nominal_to_Real,'Input|Rate of change'!L$26:L$31),INDEX('Input|Rate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76">
        <f>L37*IF($F37="nominal",LOOKUP($F38,Nominal_to_Real,'Input|Rate of change'!M$26:M$31),INDEX('Input|Rate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209">
        <f>M37*IF($F37="nominal",LOOKUP($F38,Nominal_to_Real,'Input|Rate of change'!N$26:N$31),INDEX('Input|Rate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209">
        <f>N37*IF($F37="nominal",LOOKUP($F38,Nominal_to_Real,'Input|Rate of change'!O$26:O$31),INDEX('Input|Rate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16.940464567891201</v>
      </c>
      <c r="O38" s="76">
        <f>O37*IF($F37="nominal",LOOKUP($F38,Nominal_to_Real,'Input|Rate of change'!P$26:P$31),INDEX('Input|Rate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76">
        <f>P37*IF($F37="nominal",LOOKUP($F38,Nominal_to_Real,'Input|Rate of change'!Q$26:Q$31),INDEX('Input|Rate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76">
        <f>Q37*IF($F37="nominal",LOOKUP($F38,Nominal_to_Real,'Input|Rate of change'!R$26:R$31),INDEX('Input|Rate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76">
        <f>R37*IF($F37="nominal",LOOKUP($F38,Nominal_to_Real,'Input|Rate of change'!S$26:S$31),INDEX('Input|Rate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76">
        <f>S37*IF($F37="nominal",LOOKUP($F38,Nominal_to_Real,'Input|Rate of change'!T$26:T$31),INDEX('Input|Rate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83"/>
      <c r="F39" s="115"/>
      <c r="J39" s="76"/>
      <c r="K39" s="76"/>
      <c r="L39" s="76"/>
      <c r="M39" s="107"/>
      <c r="N39" s="107"/>
      <c r="O39" s="76"/>
      <c r="P39" s="76"/>
      <c r="Q39" s="76"/>
      <c r="R39" s="72"/>
      <c r="S39" s="72"/>
    </row>
    <row r="40" spans="3:19" outlineLevel="1">
      <c r="C40" s="83">
        <f>'Input|Reported opex'!$C$63</f>
        <v>0</v>
      </c>
      <c r="D40" s="71" t="s">
        <v>130</v>
      </c>
      <c r="E40" s="16" t="str">
        <f>'Input|Reported opex'!$E$63</f>
        <v>$millions</v>
      </c>
      <c r="F40" s="115">
        <f>'Input|Reported opex'!$F$63</f>
        <v>45809</v>
      </c>
      <c r="J40" s="72">
        <f>IF(YEAR(J$4)=PPLastYear,'Input|Reported opex'!J63,0)</f>
        <v>0</v>
      </c>
      <c r="K40" s="72">
        <f>IF(YEAR(K$4)=PPLastYear,'Input|Reported opex'!K63,0)</f>
        <v>0</v>
      </c>
      <c r="L40" s="72">
        <f>IF(YEAR(L$4)=PPLastYear,'Input|Reported opex'!L63,0)</f>
        <v>0</v>
      </c>
      <c r="M40" s="72">
        <f>IF(YEAR(M$4)=PPLastYear,'Input|Reported opex'!M63,0)</f>
        <v>0</v>
      </c>
      <c r="N40" s="72">
        <f>IF(YEAR(N$4)=PPLastYear,'Input|Reported opex'!N63,0)</f>
        <v>0</v>
      </c>
      <c r="O40" s="72">
        <f>IF(YEAR(O$4)=PPLastYear,'Input|Reported opex'!O63,0)</f>
        <v>0</v>
      </c>
      <c r="P40" s="72">
        <f>IF(YEAR(P$4)=PPLastYear,'Input|Reported opex'!P63,0)</f>
        <v>0</v>
      </c>
      <c r="Q40" s="72">
        <f>IF(YEAR(Q$4)=PPLastYear,'Input|Reported opex'!Q63,0)</f>
        <v>0</v>
      </c>
      <c r="R40" s="72">
        <f>IF(YEAR(R$4)=PPLastYear,'Input|Reported opex'!R63,0)</f>
        <v>0</v>
      </c>
      <c r="S40" s="72">
        <f>IF(YEAR(S$4)=PPLastYear,'Input|Reported opex'!S63,0)</f>
        <v>0</v>
      </c>
    </row>
    <row r="41" spans="3:19" outlineLevel="1">
      <c r="C41" s="83">
        <f>C40</f>
        <v>0</v>
      </c>
      <c r="D41" s="16" t="s">
        <v>59</v>
      </c>
      <c r="E41" s="16" t="str">
        <f>$E$8</f>
        <v>$millions</v>
      </c>
      <c r="F41" s="115">
        <f>$F$8</f>
        <v>45809</v>
      </c>
      <c r="J41" s="76">
        <f>J40*IF($F40="nominal",LOOKUP($F41,Nominal_to_Real,'Input|Rate of change'!K$26:K$31),INDEX('Input|Rate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76">
        <f>K40*IF($F40="nominal",LOOKUP($F41,Nominal_to_Real,'Input|Rate of change'!L$26:L$31),INDEX('Input|Rate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76">
        <f>L40*IF($F40="nominal",LOOKUP($F41,Nominal_to_Real,'Input|Rate of change'!M$26:M$31),INDEX('Input|Rate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76">
        <f>M40*IF($F40="nominal",LOOKUP($F41,Nominal_to_Real,'Input|Rate of change'!N$26:N$31),INDEX('Input|Rate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07">
        <f>N40*IF($F40="nominal",LOOKUP($F41,Nominal_to_Real,'Input|Rate of change'!O$26:O$31),INDEX('Input|Rate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76">
        <f>O40*IF($F40="nominal",LOOKUP($F41,Nominal_to_Real,'Input|Rate of change'!P$26:P$31),INDEX('Input|Rate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76">
        <f>P40*IF($F40="nominal",LOOKUP($F41,Nominal_to_Real,'Input|Rate of change'!Q$26:Q$31),INDEX('Input|Rate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76">
        <f>Q40*IF($F40="nominal",LOOKUP($F41,Nominal_to_Real,'Input|Rate of change'!R$26:R$31),INDEX('Input|Rate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76">
        <f>R40*IF($F40="nominal",LOOKUP($F41,Nominal_to_Real,'Input|Rate of change'!S$26:S$31),INDEX('Input|Rate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76">
        <f>S40*IF($F40="nominal",LOOKUP($F41,Nominal_to_Real,'Input|Rate of change'!T$26:T$31),INDEX('Input|Rate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83"/>
      <c r="F42" s="115"/>
      <c r="J42" s="76"/>
      <c r="K42" s="76"/>
      <c r="L42" s="76"/>
      <c r="M42" s="76"/>
      <c r="N42" s="76"/>
      <c r="O42" s="76"/>
      <c r="P42" s="76"/>
      <c r="Q42" s="76"/>
      <c r="R42" s="72"/>
      <c r="S42" s="72"/>
    </row>
    <row r="43" spans="3:19" outlineLevel="1">
      <c r="C43" s="83">
        <f>'Input|Reported opex'!$C$64</f>
        <v>0</v>
      </c>
      <c r="D43" s="71" t="s">
        <v>130</v>
      </c>
      <c r="E43" s="16" t="str">
        <f>'Input|Reported opex'!$E$64</f>
        <v>$millions</v>
      </c>
      <c r="F43" s="115">
        <f>'Input|Reported opex'!$F$64</f>
        <v>45809</v>
      </c>
      <c r="J43" s="72">
        <f>IF(YEAR(J$4)=PPLastYear,'Input|Reported opex'!J64,0)</f>
        <v>0</v>
      </c>
      <c r="K43" s="72">
        <f>IF(YEAR(K$4)=PPLastYear,'Input|Reported opex'!K64,0)</f>
        <v>0</v>
      </c>
      <c r="L43" s="72">
        <f>IF(YEAR(L$4)=PPLastYear,'Input|Reported opex'!L64,0)</f>
        <v>0</v>
      </c>
      <c r="M43" s="72">
        <f>IF(YEAR(M$4)=PPLastYear,'Input|Reported opex'!M64,0)</f>
        <v>0</v>
      </c>
      <c r="N43" s="72">
        <f>IF(YEAR(N$4)=PPLastYear,'Input|Reported opex'!N64,0)</f>
        <v>0</v>
      </c>
      <c r="O43" s="72">
        <f>IF(YEAR(O$4)=PPLastYear,'Input|Reported opex'!O64,0)</f>
        <v>0</v>
      </c>
      <c r="P43" s="72">
        <f>IF(YEAR(P$4)=PPLastYear,'Input|Reported opex'!P64,0)</f>
        <v>0</v>
      </c>
      <c r="Q43" s="72">
        <f>IF(YEAR(Q$4)=PPLastYear,'Input|Reported opex'!Q64,0)</f>
        <v>0</v>
      </c>
      <c r="R43" s="72">
        <f>IF(YEAR(R$4)=PPLastYear,'Input|Reported opex'!R64,0)</f>
        <v>0</v>
      </c>
      <c r="S43" s="72">
        <f>IF(YEAR(S$4)=PPLastYear,'Input|Reported opex'!S64,0)</f>
        <v>0</v>
      </c>
    </row>
    <row r="44" spans="3:19" outlineLevel="1">
      <c r="C44" s="83">
        <f>C43</f>
        <v>0</v>
      </c>
      <c r="D44" s="16" t="s">
        <v>59</v>
      </c>
      <c r="E44" s="16" t="str">
        <f>$E$8</f>
        <v>$millions</v>
      </c>
      <c r="F44" s="115">
        <f>$F$8</f>
        <v>45809</v>
      </c>
      <c r="J44" s="76">
        <f>J43*IF($F43="nominal",LOOKUP($F44,Nominal_to_Real,'Input|Rate of change'!K$26:K$31),INDEX('Input|Rate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76">
        <f>K43*IF($F43="nominal",LOOKUP($F44,Nominal_to_Real,'Input|Rate of change'!L$26:L$31),INDEX('Input|Rate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76">
        <f>L43*IF($F43="nominal",LOOKUP($F44,Nominal_to_Real,'Input|Rate of change'!M$26:M$31),INDEX('Input|Rate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76">
        <f>M43*IF($F43="nominal",LOOKUP($F44,Nominal_to_Real,'Input|Rate of change'!N$26:N$31),INDEX('Input|Rate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07">
        <f>N43*IF($F43="nominal",LOOKUP($F44,Nominal_to_Real,'Input|Rate of change'!O$26:O$31),INDEX('Input|Rate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76">
        <f>O43*IF($F43="nominal",LOOKUP($F44,Nominal_to_Real,'Input|Rate of change'!P$26:P$31),INDEX('Input|Rate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76">
        <f>P43*IF($F43="nominal",LOOKUP($F44,Nominal_to_Real,'Input|Rate of change'!Q$26:Q$31),INDEX('Input|Rate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76">
        <f>Q43*IF($F43="nominal",LOOKUP($F44,Nominal_to_Real,'Input|Rate of change'!R$26:R$31),INDEX('Input|Rate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76">
        <f>R43*IF($F43="nominal",LOOKUP($F44,Nominal_to_Real,'Input|Rate of change'!S$26:S$31),INDEX('Input|Rate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76">
        <f>S43*IF($F43="nominal",LOOKUP($F44,Nominal_to_Real,'Input|Rate of change'!T$26:T$31),INDEX('Input|Rate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83"/>
      <c r="F45" s="115"/>
      <c r="J45" s="76"/>
      <c r="K45" s="76"/>
      <c r="L45" s="76"/>
      <c r="M45" s="76"/>
      <c r="N45" s="76"/>
      <c r="O45" s="76"/>
      <c r="P45" s="76"/>
      <c r="Q45" s="76"/>
      <c r="R45" s="72"/>
      <c r="S45" s="72"/>
    </row>
    <row r="46" spans="3:19" outlineLevel="1">
      <c r="C46" s="83">
        <f>'Input|Reported opex'!$C$65</f>
        <v>0</v>
      </c>
      <c r="D46" s="71" t="s">
        <v>130</v>
      </c>
      <c r="E46" s="16" t="str">
        <f>'Input|Reported opex'!$E$65</f>
        <v>$millions</v>
      </c>
      <c r="F46" s="115">
        <f>'Input|Reported opex'!$F$65</f>
        <v>45809</v>
      </c>
      <c r="J46" s="72">
        <f>IF(YEAR(J$4)=PPLastYear,'Input|Reported opex'!J65,0)</f>
        <v>0</v>
      </c>
      <c r="K46" s="72">
        <f>IF(YEAR(K$4)=PPLastYear,'Input|Reported opex'!K65,0)</f>
        <v>0</v>
      </c>
      <c r="L46" s="72">
        <f>IF(YEAR(L$4)=PPLastYear,'Input|Reported opex'!L65,0)</f>
        <v>0</v>
      </c>
      <c r="M46" s="72">
        <f>IF(YEAR(M$4)=PPLastYear,'Input|Reported opex'!M65,0)</f>
        <v>0</v>
      </c>
      <c r="N46" s="72">
        <f>IF(YEAR(N$4)=PPLastYear,'Input|Reported opex'!N65,0)</f>
        <v>0</v>
      </c>
      <c r="O46" s="72">
        <f>IF(YEAR(O$4)=PPLastYear,'Input|Reported opex'!O65,0)</f>
        <v>0</v>
      </c>
      <c r="P46" s="72">
        <f>IF(YEAR(P$4)=PPLastYear,'Input|Reported opex'!P65,0)</f>
        <v>0</v>
      </c>
      <c r="Q46" s="72">
        <f>IF(YEAR(Q$4)=PPLastYear,'Input|Reported opex'!Q65,0)</f>
        <v>0</v>
      </c>
      <c r="R46" s="72">
        <f>IF(YEAR(R$4)=PPLastYear,'Input|Reported opex'!R65,0)</f>
        <v>0</v>
      </c>
      <c r="S46" s="72">
        <f>IF(YEAR(S$4)=PPLastYear,'Input|Reported opex'!S65,0)</f>
        <v>0</v>
      </c>
    </row>
    <row r="47" spans="3:19" outlineLevel="1">
      <c r="C47" s="83">
        <f>C46</f>
        <v>0</v>
      </c>
      <c r="D47" s="16" t="s">
        <v>59</v>
      </c>
      <c r="E47" s="16" t="str">
        <f>$E$8</f>
        <v>$millions</v>
      </c>
      <c r="F47" s="115">
        <f>$F$8</f>
        <v>45809</v>
      </c>
      <c r="J47" s="76">
        <f>J46*IF($F46="nominal",LOOKUP($F47,Nominal_to_Real,'Input|Rate of change'!K$26:K$31),INDEX('Input|Rate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76">
        <f>K46*IF($F46="nominal",LOOKUP($F47,Nominal_to_Real,'Input|Rate of change'!L$26:L$31),INDEX('Input|Rate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76">
        <f>L46*IF($F46="nominal",LOOKUP($F47,Nominal_to_Real,'Input|Rate of change'!M$26:M$31),INDEX('Input|Rate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76">
        <f>M46*IF($F46="nominal",LOOKUP($F47,Nominal_to_Real,'Input|Rate of change'!N$26:N$31),INDEX('Input|Rate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07">
        <f>N46*IF($F46="nominal",LOOKUP($F47,Nominal_to_Real,'Input|Rate of change'!O$26:O$31),INDEX('Input|Rate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76">
        <f>O46*IF($F46="nominal",LOOKUP($F47,Nominal_to_Real,'Input|Rate of change'!P$26:P$31),INDEX('Input|Rate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76">
        <f>P46*IF($F46="nominal",LOOKUP($F47,Nominal_to_Real,'Input|Rate of change'!Q$26:Q$31),INDEX('Input|Rate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76">
        <f>Q46*IF($F46="nominal",LOOKUP($F47,Nominal_to_Real,'Input|Rate of change'!R$26:R$31),INDEX('Input|Rate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76">
        <f>R46*IF($F46="nominal",LOOKUP($F47,Nominal_to_Real,'Input|Rate of change'!S$26:S$31),INDEX('Input|Rate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76">
        <f>S46*IF($F46="nominal",LOOKUP($F47,Nominal_to_Real,'Input|Rate of change'!T$26:T$31),INDEX('Input|Rate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83"/>
      <c r="F48" s="115"/>
      <c r="J48" s="76"/>
      <c r="K48" s="76"/>
      <c r="L48" s="76"/>
      <c r="M48" s="76"/>
      <c r="N48" s="76"/>
      <c r="O48" s="76"/>
      <c r="P48" s="76"/>
      <c r="Q48" s="76"/>
      <c r="R48" s="72"/>
      <c r="S48" s="72"/>
    </row>
    <row r="49" spans="1:30" outlineLevel="1">
      <c r="C49" s="83">
        <f>'Input|Reported opex'!$C$66</f>
        <v>0</v>
      </c>
      <c r="D49" s="71" t="s">
        <v>130</v>
      </c>
      <c r="E49" s="16" t="str">
        <f>'Input|Reported opex'!$E$66</f>
        <v>$millions</v>
      </c>
      <c r="F49" s="115">
        <f>'Input|Reported opex'!$F$66</f>
        <v>45809</v>
      </c>
      <c r="J49" s="72">
        <f>IF(YEAR(J$4)=PPLastYear,'Input|Reported opex'!J66,0)</f>
        <v>0</v>
      </c>
      <c r="K49" s="72">
        <f>IF(YEAR(K$4)=PPLastYear,'Input|Reported opex'!K66,0)</f>
        <v>0</v>
      </c>
      <c r="L49" s="72">
        <f>IF(YEAR(L$4)=PPLastYear,'Input|Reported opex'!L66,0)</f>
        <v>0</v>
      </c>
      <c r="M49" s="72">
        <f>IF(YEAR(M$4)=PPLastYear,'Input|Reported opex'!M66,0)</f>
        <v>0</v>
      </c>
      <c r="N49" s="72">
        <f>IF(YEAR(N$4)=PPLastYear,'Input|Reported opex'!N66,0)</f>
        <v>0</v>
      </c>
      <c r="O49" s="72">
        <f>IF(YEAR(O$4)=PPLastYear,'Input|Reported opex'!O66,0)</f>
        <v>0</v>
      </c>
      <c r="P49" s="72">
        <f>IF(YEAR(P$4)=PPLastYear,'Input|Reported opex'!P66,0)</f>
        <v>0</v>
      </c>
      <c r="Q49" s="72">
        <f>IF(YEAR(Q$4)=PPLastYear,'Input|Reported opex'!Q66,0)</f>
        <v>0</v>
      </c>
      <c r="R49" s="72">
        <f>IF(YEAR(R$4)=PPLastYear,'Input|Reported opex'!R66,0)</f>
        <v>0</v>
      </c>
      <c r="S49" s="72">
        <f>IF(YEAR(S$4)=PPLastYear,'Input|Reported opex'!S66,0)</f>
        <v>0</v>
      </c>
    </row>
    <row r="50" spans="1:30" outlineLevel="1">
      <c r="C50" s="83">
        <f>C49</f>
        <v>0</v>
      </c>
      <c r="D50" s="16" t="s">
        <v>59</v>
      </c>
      <c r="E50" s="16" t="str">
        <f>$E$8</f>
        <v>$millions</v>
      </c>
      <c r="F50" s="115">
        <f>$F$8</f>
        <v>45809</v>
      </c>
      <c r="J50" s="76">
        <f>J49*IF($F49="nominal",LOOKUP($F50,Nominal_to_Real,'Input|Rate of change'!K$26:K$31),INDEX('Input|Rate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76">
        <f>K49*IF($F49="nominal",LOOKUP($F50,Nominal_to_Real,'Input|Rate of change'!L$26:L$31),INDEX('Input|Rate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76">
        <f>L49*IF($F49="nominal",LOOKUP($F50,Nominal_to_Real,'Input|Rate of change'!M$26:M$31),INDEX('Input|Rate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76">
        <f>M49*IF($F49="nominal",LOOKUP($F50,Nominal_to_Real,'Input|Rate of change'!N$26:N$31),INDEX('Input|Rate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07">
        <f>N49*IF($F49="nominal",LOOKUP($F50,Nominal_to_Real,'Input|Rate of change'!O$26:O$31),INDEX('Input|Rate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76">
        <f>O49*IF($F49="nominal",LOOKUP($F50,Nominal_to_Real,'Input|Rate of change'!P$26:P$31),INDEX('Input|Rate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76">
        <f>P49*IF($F49="nominal",LOOKUP($F50,Nominal_to_Real,'Input|Rate of change'!Q$26:Q$31),INDEX('Input|Rate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76">
        <f>Q49*IF($F49="nominal",LOOKUP($F50,Nominal_to_Real,'Input|Rate of change'!R$26:R$31),INDEX('Input|Rate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76">
        <f>R49*IF($F49="nominal",LOOKUP($F50,Nominal_to_Real,'Input|Rate of change'!S$26:S$31),INDEX('Input|Rate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76">
        <f>S49*IF($F49="nominal",LOOKUP($F50,Nominal_to_Real,'Input|Rate of change'!T$26:T$31),INDEX('Input|Rate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30" outlineLevel="1">
      <c r="C51" s="83"/>
      <c r="F51" s="115"/>
      <c r="J51" s="76"/>
      <c r="K51" s="76"/>
      <c r="L51" s="76"/>
      <c r="M51" s="76"/>
      <c r="N51" s="76"/>
      <c r="O51" s="76"/>
      <c r="P51" s="76"/>
      <c r="Q51" s="76"/>
      <c r="R51" s="76"/>
      <c r="S51" s="76"/>
    </row>
    <row r="52" spans="1:30" outlineLevel="1">
      <c r="C52" s="83" t="s">
        <v>85</v>
      </c>
      <c r="D52" s="16" t="s">
        <v>88</v>
      </c>
      <c r="E52" s="16" t="str">
        <f>$E$8</f>
        <v>$millions</v>
      </c>
      <c r="F52" s="115">
        <f>$F$8</f>
        <v>45809</v>
      </c>
      <c r="J52" s="76">
        <f>SUM(J33,J38,J41,J44,J47,J50)*'Input|Reported opex'!J70</f>
        <v>0</v>
      </c>
      <c r="K52" s="76">
        <f>SUM(K33,K38,K41,K44,K47,K50)*'Input|Reported opex'!K70</f>
        <v>0</v>
      </c>
      <c r="L52" s="76">
        <f>SUM(L33,L38,L41,L44,L47,L50)*'Input|Reported opex'!L70</f>
        <v>0</v>
      </c>
      <c r="M52" s="76">
        <f>SUM(M33,M38,M41,M44,M47,M50)*'Input|Reported opex'!M70</f>
        <v>0</v>
      </c>
      <c r="N52" s="76">
        <f>SUM(N33,N38,N41,N44,N47,N50)*'Input|Reported opex'!N70</f>
        <v>0</v>
      </c>
      <c r="O52" s="76">
        <f>SUM(O33,O38,O41,O44,O47,O50)*'Input|Reported opex'!O70</f>
        <v>0</v>
      </c>
      <c r="P52" s="76">
        <f>SUM(P33,P38,P41,P44,P47,P50)*'Input|Reported opex'!P70</f>
        <v>0</v>
      </c>
      <c r="Q52" s="76">
        <f>SUM(Q33,Q38,Q41,Q44,Q47,Q50)*'Input|Reported opex'!Q70</f>
        <v>0</v>
      </c>
      <c r="R52" s="76">
        <f>SUM(R33,R38,R41,R44,R47,R50)*'Input|Reported opex'!R70</f>
        <v>0</v>
      </c>
      <c r="S52" s="76">
        <f>SUM(S33,S38,S41,S44,S47,S50)*'Input|Reported opex'!S70</f>
        <v>0</v>
      </c>
    </row>
    <row r="53" spans="1:30" outlineLevel="1">
      <c r="C53" s="83"/>
      <c r="F53" s="115"/>
      <c r="J53" s="76"/>
      <c r="K53" s="76"/>
      <c r="L53" s="76"/>
      <c r="M53" s="76"/>
      <c r="N53" s="76"/>
      <c r="O53" s="76"/>
      <c r="P53" s="76"/>
      <c r="Q53" s="76"/>
      <c r="R53" s="76"/>
      <c r="S53" s="76"/>
    </row>
    <row r="54" spans="1:30" outlineLevel="1">
      <c r="C54" s="123" t="s">
        <v>141</v>
      </c>
      <c r="D54" s="73" t="s">
        <v>88</v>
      </c>
      <c r="E54" s="73" t="str">
        <f>$E$8</f>
        <v>$millions</v>
      </c>
      <c r="F54" s="124">
        <f>$F$8</f>
        <v>45809</v>
      </c>
      <c r="J54" s="76">
        <f>SUM(J33,J35,J38,J41,J44,J47,J50,J52)</f>
        <v>0</v>
      </c>
      <c r="K54" s="76">
        <f t="shared" ref="K54:S54" si="5">SUM(K33,K35,K38,K41,K44,K47,K50,K52)</f>
        <v>0</v>
      </c>
      <c r="L54" s="76">
        <f t="shared" si="5"/>
        <v>0</v>
      </c>
      <c r="M54" s="76">
        <f t="shared" si="5"/>
        <v>0</v>
      </c>
      <c r="N54" s="209">
        <f t="shared" si="5"/>
        <v>358.17638680635616</v>
      </c>
      <c r="O54" s="76">
        <f t="shared" si="5"/>
        <v>0</v>
      </c>
      <c r="P54" s="76">
        <f t="shared" si="5"/>
        <v>0</v>
      </c>
      <c r="Q54" s="76">
        <f t="shared" si="5"/>
        <v>0</v>
      </c>
      <c r="R54" s="76">
        <f t="shared" si="5"/>
        <v>0</v>
      </c>
      <c r="S54" s="76">
        <f t="shared" si="5"/>
        <v>0</v>
      </c>
    </row>
    <row r="55" spans="1:30">
      <c r="J55" s="70"/>
      <c r="K55" s="70"/>
      <c r="L55" s="70"/>
    </row>
    <row r="56" spans="1:30" customFormat="1" ht="12.75">
      <c r="A56" s="37"/>
      <c r="B56" s="43" t="s">
        <v>142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40"/>
      <c r="W56" s="40"/>
      <c r="X56" s="41"/>
      <c r="Y56" s="41"/>
      <c r="Z56" s="41"/>
      <c r="AA56" s="41"/>
      <c r="AB56" s="41"/>
      <c r="AC56" s="42"/>
      <c r="AD56" s="42"/>
    </row>
    <row r="57" spans="1:30" outlineLevel="1"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1:30" outlineLevel="1">
      <c r="C58" s="9" t="s">
        <v>143</v>
      </c>
      <c r="D58" s="21" t="s">
        <v>35</v>
      </c>
      <c r="E58" s="21" t="s">
        <v>61</v>
      </c>
      <c r="F58" s="21" t="s">
        <v>64</v>
      </c>
      <c r="J58" s="116" t="str">
        <f>IF(YEAR(J$4)&gt;='Input|General'!$G$13,IF(YEAR(J$4)&lt;='Input|General'!$G$14,J$4,""),"")</f>
        <v/>
      </c>
      <c r="K58" s="116" t="str">
        <f>IF(YEAR(K$4)&gt;='Input|General'!$G$13,IF(YEAR(K$4)&lt;='Input|General'!$G$14,K$4,""),"")</f>
        <v/>
      </c>
      <c r="L58" s="116" t="str">
        <f>IF(YEAR(L$4)&gt;='Input|General'!$G$13,IF(YEAR(L$4)&lt;='Input|General'!$G$14,L$4,""),"")</f>
        <v/>
      </c>
      <c r="M58" s="116" t="str">
        <f>IF(YEAR(M$4)&gt;='Input|General'!$G$13,IF(YEAR(M$4)&lt;='Input|General'!$G$14,M$4,""),"")</f>
        <v/>
      </c>
      <c r="N58" s="116" t="str">
        <f>IF(YEAR(N$4)&gt;='Input|General'!$G$13,IF(YEAR(N$4)&lt;='Input|General'!$G$14,N$4,""),"")</f>
        <v/>
      </c>
      <c r="O58" s="116">
        <f>IF(YEAR(O$4)&gt;='Input|General'!$G$13,IF(YEAR(O$4)&lt;='Input|General'!$G$14,O$4,""),"")</f>
        <v>46174</v>
      </c>
      <c r="P58" s="116">
        <f>IF(YEAR(P$4)&gt;='Input|General'!$G$13,IF(YEAR(P$4)&lt;='Input|General'!$G$14,P$4,""),"")</f>
        <v>46539</v>
      </c>
      <c r="Q58" s="116">
        <f>IF(YEAR(Q$4)&gt;='Input|General'!$G$13,IF(YEAR(Q$4)&lt;='Input|General'!$G$14,Q$4,""),"")</f>
        <v>46905</v>
      </c>
      <c r="R58" s="116">
        <f>IF(YEAR(R$4)&gt;='Input|General'!$G$13,IF(YEAR(R$4)&lt;='Input|General'!$G$14,R$4,""),"")</f>
        <v>47270</v>
      </c>
      <c r="S58" s="116">
        <f>IF(YEAR(S$4)&gt;='Input|General'!$G$13,IF(YEAR(S$4)&lt;='Input|General'!$G$14,S$4,""),"")</f>
        <v>47635</v>
      </c>
    </row>
    <row r="59" spans="1:30" outlineLevel="1">
      <c r="C59" s="9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1:30" outlineLevel="1">
      <c r="B60" s="9"/>
      <c r="C60" s="77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1:30" outlineLevel="1">
      <c r="C61" s="15" t="s">
        <v>144</v>
      </c>
      <c r="D61" s="16" t="s">
        <v>59</v>
      </c>
      <c r="E61" s="16" t="s">
        <v>86</v>
      </c>
      <c r="F61" s="16" t="s">
        <v>102</v>
      </c>
      <c r="J61" s="78">
        <f>IF(J58=J4,AVERAGE('Input|Rate of change'!K106:K109),0)</f>
        <v>0</v>
      </c>
      <c r="K61" s="78">
        <f>IF(K58=K4,AVERAGE('Input|Rate of change'!L106:L109),0)</f>
        <v>0</v>
      </c>
      <c r="L61" s="78">
        <f>IF(L58=L4,AVERAGE('Input|Rate of change'!M106:M109),0)</f>
        <v>0</v>
      </c>
      <c r="M61" s="78">
        <f>IF(M58=M4,AVERAGE('Input|Rate of change'!N106:N109),0)</f>
        <v>0</v>
      </c>
      <c r="N61" s="78">
        <f>IF(N58=N4,AVERAGE('Input|Rate of change'!O106:O109),0)</f>
        <v>0</v>
      </c>
      <c r="O61" s="78">
        <f>IF(O58=O4,AVERAGE('Input|Rate of change'!P106:P109),0)</f>
        <v>4.5760888674019548E-3</v>
      </c>
      <c r="P61" s="78">
        <f>IF(P58=P4,AVERAGE('Input|Rate of change'!Q106:Q109),0)</f>
        <v>4.5830568580338344E-3</v>
      </c>
      <c r="Q61" s="78">
        <f>IF(Q58=Q4,AVERAGE('Input|Rate of change'!R106:R109),0)</f>
        <v>4.590076496664864E-3</v>
      </c>
      <c r="R61" s="78">
        <f>IF(R58=R4,AVERAGE('Input|Rate of change'!S106:S109),0)</f>
        <v>1.0142396377057789E-2</v>
      </c>
      <c r="S61" s="78">
        <f>IF(S58=S4,AVERAGE('Input|Rate of change'!T106:T109),0)</f>
        <v>1.342735960700657E-2</v>
      </c>
    </row>
    <row r="62" spans="1:30" outlineLevel="1">
      <c r="J62" s="78"/>
      <c r="K62" s="78"/>
      <c r="L62" s="78"/>
      <c r="M62" s="78"/>
      <c r="N62" s="78"/>
      <c r="O62" s="78"/>
      <c r="P62" s="78"/>
      <c r="Q62" s="78"/>
      <c r="R62" s="78"/>
      <c r="S62" s="78"/>
    </row>
    <row r="63" spans="1:30" outlineLevel="1">
      <c r="C63" s="15" t="s">
        <v>92</v>
      </c>
      <c r="D63" s="16" t="s">
        <v>59</v>
      </c>
      <c r="E63" s="16" t="s">
        <v>86</v>
      </c>
      <c r="F63" s="16" t="s">
        <v>102</v>
      </c>
      <c r="J63" s="78">
        <f>SUMPRODUCT('Input|Rate of change'!K38:K45,'Input|Rate of change'!K51:K58)</f>
        <v>0</v>
      </c>
      <c r="K63" s="78">
        <f>SUMPRODUCT('Input|Rate of change'!L38:L45,'Input|Rate of change'!L51:L58)</f>
        <v>0</v>
      </c>
      <c r="L63" s="78">
        <f>SUMPRODUCT('Input|Rate of change'!M38:M45,'Input|Rate of change'!M51:M58)</f>
        <v>0</v>
      </c>
      <c r="M63" s="78">
        <f>SUMPRODUCT('Input|Rate of change'!N38:N45,'Input|Rate of change'!N51:N58)</f>
        <v>0</v>
      </c>
      <c r="N63" s="78">
        <f>SUMPRODUCT('Input|Rate of change'!O38:O45,'Input|Rate of change'!O51:O58)</f>
        <v>0</v>
      </c>
      <c r="O63" s="78">
        <f>SUMPRODUCT('Input|Rate of change'!P38:P45,'Input|Rate of change'!P51:P58)</f>
        <v>6.8750704849794998E-3</v>
      </c>
      <c r="P63" s="78">
        <f>SUMPRODUCT('Input|Rate of change'!Q38:Q45,'Input|Rate of change'!Q51:Q58)</f>
        <v>3.6358604498402825E-3</v>
      </c>
      <c r="Q63" s="78">
        <f>SUMPRODUCT('Input|Rate of change'!R38:R45,'Input|Rate of change'!R51:R58)</f>
        <v>3.0981804843403077E-3</v>
      </c>
      <c r="R63" s="78">
        <f>SUMPRODUCT('Input|Rate of change'!S38:S45,'Input|Rate of change'!S51:S58)</f>
        <v>3.9216112996532842E-3</v>
      </c>
      <c r="S63" s="78">
        <f>SUMPRODUCT('Input|Rate of change'!T38:T45,'Input|Rate of change'!T51:T58)</f>
        <v>4.3518518896235626E-3</v>
      </c>
    </row>
    <row r="64" spans="1:30" outlineLevel="1">
      <c r="C64" s="15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1:30" outlineLevel="1">
      <c r="C65" s="15" t="s">
        <v>145</v>
      </c>
      <c r="D65" s="16" t="s">
        <v>59</v>
      </c>
      <c r="E65" s="16" t="s">
        <v>86</v>
      </c>
      <c r="F65" s="16" t="s">
        <v>102</v>
      </c>
      <c r="J65" s="78">
        <f>'Input|Rate of change'!K115</f>
        <v>0</v>
      </c>
      <c r="K65" s="78">
        <f>'Input|Rate of change'!L115</f>
        <v>0</v>
      </c>
      <c r="L65" s="78">
        <f>'Input|Rate of change'!M115</f>
        <v>0</v>
      </c>
      <c r="M65" s="78">
        <f>'Input|Rate of change'!N115</f>
        <v>0</v>
      </c>
      <c r="N65" s="78">
        <f>'Input|Rate of change'!O115</f>
        <v>0</v>
      </c>
      <c r="O65" s="78">
        <f>'Input|Rate of change'!P115</f>
        <v>5.0000000000000001E-3</v>
      </c>
      <c r="P65" s="78">
        <f>'Input|Rate of change'!Q115</f>
        <v>5.0000000000000001E-3</v>
      </c>
      <c r="Q65" s="78">
        <f>'Input|Rate of change'!R115</f>
        <v>5.0000000000000001E-3</v>
      </c>
      <c r="R65" s="78">
        <f>'Input|Rate of change'!S115</f>
        <v>5.0000000000000001E-3</v>
      </c>
      <c r="S65" s="78">
        <f>'Input|Rate of change'!T115</f>
        <v>5.0000000000000001E-3</v>
      </c>
    </row>
    <row r="66" spans="1:30" outlineLevel="1">
      <c r="C66" s="15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30" outlineLevel="1">
      <c r="C67" s="79" t="s">
        <v>146</v>
      </c>
      <c r="D67" s="75" t="s">
        <v>59</v>
      </c>
      <c r="E67" s="75" t="s">
        <v>86</v>
      </c>
      <c r="F67" s="75" t="s">
        <v>102</v>
      </c>
      <c r="J67" s="98">
        <f>(1+J61)*(1+J63)*(1-J65)-1</f>
        <v>0</v>
      </c>
      <c r="K67" s="98">
        <f t="shared" ref="K67:S67" si="6">(1+K61)*(1+K63)*(1-K65)-1</f>
        <v>0</v>
      </c>
      <c r="L67" s="98">
        <f t="shared" si="6"/>
        <v>0</v>
      </c>
      <c r="M67" s="98">
        <f t="shared" si="6"/>
        <v>0</v>
      </c>
      <c r="N67" s="98">
        <f t="shared" si="6"/>
        <v>0</v>
      </c>
      <c r="O67" s="98">
        <f t="shared" si="6"/>
        <v>6.4252071844610459E-3</v>
      </c>
      <c r="P67" s="98">
        <f t="shared" si="6"/>
        <v>3.1944027597283764E-3</v>
      </c>
      <c r="Q67" s="98">
        <f t="shared" si="6"/>
        <v>2.6639654770967969E-3</v>
      </c>
      <c r="R67" s="98">
        <f t="shared" si="6"/>
        <v>9.0332633018841424E-3</v>
      </c>
      <c r="S67" s="98">
        <f t="shared" si="6"/>
        <v>1.2748457150023818E-2</v>
      </c>
    </row>
    <row r="68" spans="1:30" outlineLevel="1">
      <c r="C68" s="9" t="s">
        <v>147</v>
      </c>
      <c r="D68" s="16" t="s">
        <v>59</v>
      </c>
      <c r="E68" s="16" t="s">
        <v>86</v>
      </c>
      <c r="F68" s="16" t="s">
        <v>102</v>
      </c>
      <c r="J68" s="78" t="str">
        <f t="array" ref="J68">IF(J$58=J$4,PRODUCT(1+$J67:J67)-1,"")</f>
        <v/>
      </c>
      <c r="K68" s="78" t="str">
        <f t="array" ref="K68">IF(K$58=K$4,PRODUCT(1+$J67:K67)-1,"")</f>
        <v/>
      </c>
      <c r="L68" s="78" t="str">
        <f t="array" ref="L68">IF(L$58=L$4,PRODUCT(1+$J67:L67)-1,"")</f>
        <v/>
      </c>
      <c r="M68" s="78" t="str">
        <f t="array" ref="M68">IF(M$58=M$4,PRODUCT(1+$J67:M67)-1,"")</f>
        <v/>
      </c>
      <c r="N68" s="78" t="str">
        <f t="array" ref="N68">IF(N$58=N$4,PRODUCT(1+$J67:N67)-1,"")</f>
        <v/>
      </c>
      <c r="O68" s="78">
        <f t="array" ref="O68">IF(O$58=O$4,PRODUCT(1+$J67:O67)-1,"")</f>
        <v>6.4252071844610459E-3</v>
      </c>
      <c r="P68" s="78">
        <f t="array" ref="P68">IF(P$58=P$4,PRODUCT(1+$J67:P67)-1,"")</f>
        <v>9.6401346437513524E-3</v>
      </c>
      <c r="Q68" s="78">
        <f t="array" ref="Q68">IF(Q$58=Q$4,PRODUCT(1+$J67:Q67)-1,"")</f>
        <v>1.2329781106733773E-2</v>
      </c>
      <c r="R68" s="78">
        <f t="array" ref="R68">IF(R$58=R$4,PRODUCT(1+$J67:R67)-1,"")</f>
        <v>2.1474422567809626E-2</v>
      </c>
      <c r="S68" s="78">
        <f t="array" ref="S68">IF(S$58=S$4,PRODUCT(1+$J67:S67)-1,"")</f>
        <v>3.4496645473760745E-2</v>
      </c>
    </row>
    <row r="69" spans="1:30">
      <c r="J69" s="70"/>
      <c r="K69" s="70"/>
      <c r="L69" s="70"/>
      <c r="M69" s="70"/>
      <c r="N69" s="70"/>
      <c r="O69" s="80"/>
      <c r="P69" s="80"/>
      <c r="Q69" s="80"/>
      <c r="R69" s="80"/>
      <c r="S69" s="80"/>
    </row>
    <row r="70" spans="1:30" customFormat="1" ht="12.75">
      <c r="A70" s="37"/>
      <c r="B70" s="43" t="s">
        <v>148</v>
      </c>
      <c r="C70" s="37"/>
      <c r="D70" s="37"/>
      <c r="E70" s="37"/>
      <c r="F70" s="38"/>
      <c r="G70" s="38"/>
      <c r="H70" s="38"/>
      <c r="I70" s="38"/>
      <c r="J70" s="39"/>
      <c r="K70" s="40"/>
      <c r="L70" s="39"/>
      <c r="M70" s="40"/>
      <c r="N70" s="39"/>
      <c r="O70" s="39"/>
      <c r="P70" s="39"/>
      <c r="Q70" s="39"/>
      <c r="R70" s="39"/>
      <c r="S70" s="39"/>
      <c r="T70" s="39"/>
      <c r="U70" s="39"/>
      <c r="V70" s="40"/>
      <c r="W70" s="40"/>
      <c r="X70" s="41"/>
      <c r="Y70" s="41"/>
      <c r="Z70" s="41"/>
      <c r="AA70" s="41"/>
      <c r="AB70" s="41"/>
      <c r="AC70" s="42"/>
      <c r="AD70" s="42"/>
    </row>
    <row r="71" spans="1:30" outlineLevel="1">
      <c r="C71" s="15"/>
      <c r="J71" s="70"/>
      <c r="K71" s="70"/>
      <c r="L71" s="70"/>
    </row>
    <row r="72" spans="1:30" outlineLevel="1">
      <c r="C72" s="9" t="s">
        <v>149</v>
      </c>
      <c r="D72" s="21" t="s">
        <v>35</v>
      </c>
      <c r="E72" s="21" t="s">
        <v>61</v>
      </c>
      <c r="F72" s="21" t="s">
        <v>64</v>
      </c>
      <c r="J72" s="116" t="str">
        <f>IF(YEAR(J$4)&gt;='Input|General'!$G$13,IF(YEAR(J$4)&lt;='Input|General'!$G$14,J$4,""),"")</f>
        <v/>
      </c>
      <c r="K72" s="116" t="str">
        <f>IF(YEAR(K$4)&gt;='Input|General'!$G$13,IF(YEAR(K$4)&lt;='Input|General'!$G$14,K$4,""),"")</f>
        <v/>
      </c>
      <c r="L72" s="116" t="str">
        <f>IF(YEAR(L$4)&gt;='Input|General'!$G$13,IF(YEAR(L$4)&lt;='Input|General'!$G$14,L$4,""),"")</f>
        <v/>
      </c>
      <c r="M72" s="116" t="str">
        <f>IF(YEAR(M$4)&gt;='Input|General'!$G$13,IF(YEAR(M$4)&lt;='Input|General'!$G$14,M$4,""),"")</f>
        <v/>
      </c>
      <c r="N72" s="116" t="str">
        <f>IF(YEAR(N$4)&gt;='Input|General'!$G$13,IF(YEAR(N$4)&lt;='Input|General'!$G$14,N$4,""),"")</f>
        <v/>
      </c>
      <c r="O72" s="116">
        <f>IF(YEAR(O$4)&gt;='Input|General'!$G$13,IF(YEAR(O$4)&lt;='Input|General'!$G$14,O$4,""),"")</f>
        <v>46174</v>
      </c>
      <c r="P72" s="116">
        <f>IF(YEAR(P$4)&gt;='Input|General'!$G$13,IF(YEAR(P$4)&lt;='Input|General'!$G$14,P$4,""),"")</f>
        <v>46539</v>
      </c>
      <c r="Q72" s="116">
        <f>IF(YEAR(Q$4)&gt;='Input|General'!$G$13,IF(YEAR(Q$4)&lt;='Input|General'!$G$14,Q$4,""),"")</f>
        <v>46905</v>
      </c>
      <c r="R72" s="116">
        <f>IF(YEAR(R$4)&gt;='Input|General'!$G$13,IF(YEAR(R$4)&lt;='Input|General'!$G$14,R$4,""),"")</f>
        <v>47270</v>
      </c>
      <c r="S72" s="116">
        <f>IF(YEAR(S$4)&gt;='Input|General'!$G$13,IF(YEAR(S$4)&lt;='Input|General'!$G$14,S$4,""),"")</f>
        <v>47635</v>
      </c>
    </row>
    <row r="73" spans="1:30" outlineLevel="1">
      <c r="C73" s="9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30" outlineLevel="1">
      <c r="C74" s="81" t="str">
        <f>'Input|Step changes'!C12</f>
        <v>Cyber Security Uplift</v>
      </c>
      <c r="D74" s="16" t="s">
        <v>59</v>
      </c>
      <c r="E74" s="16" t="str">
        <f t="shared" ref="E74:E88" si="7">Units</f>
        <v>$millions</v>
      </c>
      <c r="F74" s="115">
        <f t="shared" ref="F74:F90" si="8">$F$8</f>
        <v>45809</v>
      </c>
      <c r="J74" s="85">
        <f>'Input|Step changes'!J12*IF('Input|Step changes'!$F12="nominal",LOOKUP($F74,Nominal_to_Real,'Input|Rate of change'!N$26:N$31),INDEX('Input|Rate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85">
        <f>'Input|Step changes'!K12*IF('Input|Step changes'!$F12="nominal",LOOKUP($F74,Nominal_to_Real,'Input|Rate of change'!O$26:O$31),INDEX('Input|Rate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85">
        <f>'Input|Step changes'!L12*IF('Input|Step changes'!$F12="nominal",LOOKUP($F74,Nominal_to_Real,'Input|Rate of change'!P$26:P$31),INDEX('Input|Rate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85">
        <f>'Input|Step changes'!M12*IF('Input|Step changes'!$F12="nominal",LOOKUP($F74,Nominal_to_Real,'Input|Rate of change'!Q$26:Q$31),INDEX('Input|Rate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85">
        <f>'Input|Step changes'!N12*IF('Input|Step changes'!$F12="nominal",LOOKUP($F74,Nominal_to_Real,'Input|Rate of change'!R$26:R$31),INDEX('Input|Rate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206">
        <f>'Input|Step changes'!O12*IF('Input|Step changes'!$F12="nominal",LOOKUP($F74,Nominal_to_Real,'Input|Rate of change'!S$26:S$31),INDEX('Input|Rate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4.6118286666478872</v>
      </c>
      <c r="P74" s="206">
        <f>'Input|Step changes'!P12*IF('Input|Step changes'!$F12="nominal",LOOKUP($F74,Nominal_to_Real,'Input|Rate of change'!T$26:T$31),INDEX('Input|Rate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10.873557999561687</v>
      </c>
      <c r="Q74" s="206">
        <f>'Input|Step changes'!Q12*IF('Input|Step changes'!$F12="nominal",LOOKUP($F74,Nominal_to_Real,'Input|Rate of change'!U$26:U$31),INDEX('Input|Rate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11.346313905276995</v>
      </c>
      <c r="R74" s="206">
        <f>'Input|Step changes'!R12*IF('Input|Step changes'!$F12="nominal",LOOKUP($F74,Nominal_to_Real,'Input|Rate of change'!V$26:V$31),INDEX('Input|Rate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10.447467247194094</v>
      </c>
      <c r="S74" s="206">
        <f>'Input|Step changes'!S12*IF('Input|Step changes'!$F12="nominal",LOOKUP($F74,Nominal_to_Real,'Input|Rate of change'!W$26:W$31),INDEX('Input|Rate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10.369287734141587</v>
      </c>
      <c r="T74" s="55"/>
      <c r="U74" s="176"/>
    </row>
    <row r="75" spans="1:30" outlineLevel="1">
      <c r="C75" s="81" t="str">
        <f>'Input|Step changes'!C13</f>
        <v>Smart Meter Rollout - IT upgrades</v>
      </c>
      <c r="D75" s="16" t="s">
        <v>59</v>
      </c>
      <c r="E75" s="16" t="str">
        <f t="shared" si="7"/>
        <v>$millions</v>
      </c>
      <c r="F75" s="115">
        <f t="shared" si="8"/>
        <v>45809</v>
      </c>
      <c r="J75" s="85">
        <f>'Input|Step changes'!J13*IF('Input|Step changes'!$F13="nominal",LOOKUP($F75,Nominal_to_Real,'Input|Rate of change'!N$26:N$31),INDEX('Input|Rate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85">
        <f>'Input|Step changes'!K13*IF('Input|Step changes'!$F13="nominal",LOOKUP($F75,Nominal_to_Real,'Input|Rate of change'!O$26:O$31),INDEX('Input|Rate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85">
        <f>'Input|Step changes'!L13*IF('Input|Step changes'!$F13="nominal",LOOKUP($F75,Nominal_to_Real,'Input|Rate of change'!P$26:P$31),INDEX('Input|Rate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85">
        <f>'Input|Step changes'!M13*IF('Input|Step changes'!$F13="nominal",LOOKUP($F75,Nominal_to_Real,'Input|Rate of change'!Q$26:Q$31),INDEX('Input|Rate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85">
        <f>'Input|Step changes'!N13*IF('Input|Step changes'!$F13="nominal",LOOKUP($F75,Nominal_to_Real,'Input|Rate of change'!R$26:R$31),INDEX('Input|Rate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206">
        <f>'Input|Step changes'!O13*IF('Input|Step changes'!$F13="nominal",LOOKUP($F75,Nominal_to_Real,'Input|Rate of change'!S$26:S$31),INDEX('Input|Rate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0.36062401313131315</v>
      </c>
      <c r="P75" s="206">
        <f>'Input|Step changes'!P13*IF('Input|Step changes'!$F13="nominal",LOOKUP($F75,Nominal_to_Real,'Input|Rate of change'!T$26:T$31),INDEX('Input|Rate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0.60104002188552197</v>
      </c>
      <c r="Q75" s="206">
        <f>'Input|Step changes'!Q13*IF('Input|Step changes'!$F13="nominal",LOOKUP($F75,Nominal_to_Real,'Input|Rate of change'!U$26:U$31),INDEX('Input|Rate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0.84145603063973051</v>
      </c>
      <c r="R75" s="206">
        <f>'Input|Step changes'!R13*IF('Input|Step changes'!$F13="nominal",LOOKUP($F75,Nominal_to_Real,'Input|Rate of change'!V$26:V$31),INDEX('Input|Rate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1.2020800437710439</v>
      </c>
      <c r="S75" s="206">
        <f>'Input|Step changes'!S13*IF('Input|Step changes'!$F13="nominal",LOOKUP($F75,Nominal_to_Real,'Input|Rate of change'!W$26:W$31),INDEX('Input|Rate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1.8031200656565658</v>
      </c>
      <c r="T75" s="55"/>
      <c r="U75" s="176"/>
    </row>
    <row r="76" spans="1:30" outlineLevel="1">
      <c r="C76" s="81" t="str">
        <f>'Input|Step changes'!C14</f>
        <v>IT Infrastructure Refresh</v>
      </c>
      <c r="D76" s="16" t="s">
        <v>59</v>
      </c>
      <c r="E76" s="16" t="str">
        <f t="shared" si="7"/>
        <v>$millions</v>
      </c>
      <c r="F76" s="115">
        <f t="shared" si="8"/>
        <v>45809</v>
      </c>
      <c r="J76" s="85">
        <f>'Input|Step changes'!J14*IF('Input|Step changes'!$F14="nominal",LOOKUP($F76,Nominal_to_Real,'Input|Rate of change'!N$26:N$31),INDEX('Input|Rate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85">
        <f>'Input|Step changes'!K14*IF('Input|Step changes'!$F14="nominal",LOOKUP($F76,Nominal_to_Real,'Input|Rate of change'!O$26:O$31),INDEX('Input|Rate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85">
        <f>'Input|Step changes'!L14*IF('Input|Step changes'!$F14="nominal",LOOKUP($F76,Nominal_to_Real,'Input|Rate of change'!P$26:P$31),INDEX('Input|Rate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85">
        <f>'Input|Step changes'!M14*IF('Input|Step changes'!$F14="nominal",LOOKUP($F76,Nominal_to_Real,'Input|Rate of change'!Q$26:Q$31),INDEX('Input|Rate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85">
        <f>'Input|Step changes'!N14*IF('Input|Step changes'!$F14="nominal",LOOKUP($F76,Nominal_to_Real,'Input|Rate of change'!R$26:R$31),INDEX('Input|Rate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206">
        <f>'Input|Step changes'!O14*IF('Input|Step changes'!$F14="nominal",LOOKUP($F76,Nominal_to_Real,'Input|Rate of change'!S$26:S$31),INDEX('Input|Rate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0.79918917336045381</v>
      </c>
      <c r="P76" s="206">
        <f>'Input|Step changes'!P14*IF('Input|Step changes'!$F14="nominal",LOOKUP($F76,Nominal_to_Real,'Input|Rate of change'!T$26:T$31),INDEX('Input|Rate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1.2800783343307127</v>
      </c>
      <c r="Q76" s="206">
        <f>'Input|Step changes'!Q14*IF('Input|Step changes'!$F14="nominal",LOOKUP($F76,Nominal_to_Real,'Input|Rate of change'!U$26:U$31),INDEX('Input|Rate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1.996643694319828</v>
      </c>
      <c r="R76" s="206">
        <f>'Input|Step changes'!R14*IF('Input|Step changes'!$F14="nominal",LOOKUP($F76,Nominal_to_Real,'Input|Rate of change'!V$26:V$31),INDEX('Input|Rate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2.6651876551176357</v>
      </c>
      <c r="S76" s="206">
        <f>'Input|Step changes'!S14*IF('Input|Step changes'!$F14="nominal",LOOKUP($F76,Nominal_to_Real,'Input|Rate of change'!W$26:W$31),INDEX('Input|Rate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3.191566331314811</v>
      </c>
      <c r="T76" s="55"/>
      <c r="U76" s="176"/>
    </row>
    <row r="77" spans="1:30" outlineLevel="1">
      <c r="C77" s="81" t="str">
        <f>'Input|Step changes'!C15</f>
        <v xml:space="preserve">Operationalising Cyber Security </v>
      </c>
      <c r="D77" s="16" t="s">
        <v>59</v>
      </c>
      <c r="E77" s="16" t="str">
        <f t="shared" si="7"/>
        <v>$millions</v>
      </c>
      <c r="F77" s="115">
        <f t="shared" si="8"/>
        <v>45809</v>
      </c>
      <c r="J77" s="85">
        <f>'Input|Step changes'!J15*IF('Input|Step changes'!$F15="nominal",LOOKUP($F77,Nominal_to_Real,'Input|Rate of change'!N$26:N$31),INDEX('Input|Rate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85">
        <f>'Input|Step changes'!K15*IF('Input|Step changes'!$F15="nominal",LOOKUP($F77,Nominal_to_Real,'Input|Rate of change'!O$26:O$31),INDEX('Input|Rate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85">
        <f>'Input|Step changes'!L15*IF('Input|Step changes'!$F15="nominal",LOOKUP($F77,Nominal_to_Real,'Input|Rate of change'!P$26:P$31),INDEX('Input|Rate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85">
        <f>'Input|Step changes'!M15*IF('Input|Step changes'!$F15="nominal",LOOKUP($F77,Nominal_to_Real,'Input|Rate of change'!Q$26:Q$31),INDEX('Input|Rate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85">
        <f>'Input|Step changes'!N15*IF('Input|Step changes'!$F15="nominal",LOOKUP($F77,Nominal_to_Real,'Input|Rate of change'!R$26:R$31),INDEX('Input|Rate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206">
        <f>'Input|Step changes'!O15*IF('Input|Step changes'!$F15="nominal",LOOKUP($F77,Nominal_to_Real,'Input|Rate of change'!S$26:S$31),INDEX('Input|Rate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3.4732477564878934</v>
      </c>
      <c r="P77" s="206">
        <f>'Input|Step changes'!P15*IF('Input|Step changes'!$F15="nominal",LOOKUP($F77,Nominal_to_Real,'Input|Rate of change'!T$26:T$31),INDEX('Input|Rate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3.4732477564878934</v>
      </c>
      <c r="Q77" s="206">
        <f>'Input|Step changes'!Q15*IF('Input|Step changes'!$F15="nominal",LOOKUP($F77,Nominal_to_Real,'Input|Rate of change'!U$26:U$31),INDEX('Input|Rate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3.4732477564878934</v>
      </c>
      <c r="R77" s="206">
        <f>'Input|Step changes'!R15*IF('Input|Step changes'!$F15="nominal",LOOKUP($F77,Nominal_to_Real,'Input|Rate of change'!V$26:V$31),INDEX('Input|Rate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3.4732477564878934</v>
      </c>
      <c r="S77" s="206">
        <f>'Input|Step changes'!S15*IF('Input|Step changes'!$F15="nominal",LOOKUP($F77,Nominal_to_Real,'Input|Rate of change'!W$26:W$31),INDEX('Input|Rate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3.4732477564878934</v>
      </c>
      <c r="T77" s="55"/>
      <c r="U77" s="176"/>
    </row>
    <row r="78" spans="1:30" outlineLevel="1">
      <c r="C78" s="81" t="str">
        <f>'Input|Step changes'!C16</f>
        <v>CER Compliance</v>
      </c>
      <c r="D78" s="16" t="s">
        <v>59</v>
      </c>
      <c r="E78" s="16" t="str">
        <f t="shared" si="7"/>
        <v>$millions</v>
      </c>
      <c r="F78" s="115">
        <f t="shared" si="8"/>
        <v>45809</v>
      </c>
      <c r="J78" s="85">
        <f>'Input|Step changes'!J16*IF('Input|Step changes'!$F16="nominal",LOOKUP($F78,Nominal_to_Real,'Input|Rate of change'!N$26:N$31),INDEX('Input|Rate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85">
        <f>'Input|Step changes'!K16*IF('Input|Step changes'!$F16="nominal",LOOKUP($F78,Nominal_to_Real,'Input|Rate of change'!O$26:O$31),INDEX('Input|Rate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85">
        <f>'Input|Step changes'!L16*IF('Input|Step changes'!$F16="nominal",LOOKUP($F78,Nominal_to_Real,'Input|Rate of change'!P$26:P$31),INDEX('Input|Rate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85">
        <f>'Input|Step changes'!M16*IF('Input|Step changes'!$F16="nominal",LOOKUP($F78,Nominal_to_Real,'Input|Rate of change'!Q$26:Q$31),INDEX('Input|Rate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85">
        <f>'Input|Step changes'!N16*IF('Input|Step changes'!$F16="nominal",LOOKUP($F78,Nominal_to_Real,'Input|Rate of change'!R$26:R$31),INDEX('Input|Rate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206">
        <f>'Input|Step changes'!O16*IF('Input|Step changes'!$F16="nominal",LOOKUP($F78,Nominal_to_Real,'Input|Rate of change'!S$26:S$31),INDEX('Input|Rate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0.31483248499286287</v>
      </c>
      <c r="P78" s="206">
        <f>'Input|Step changes'!P16*IF('Input|Step changes'!$F16="nominal",LOOKUP($F78,Nominal_to_Real,'Input|Rate of change'!T$26:T$31),INDEX('Input|Rate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0.52094583847739895</v>
      </c>
      <c r="Q78" s="206">
        <f>'Input|Step changes'!Q16*IF('Input|Step changes'!$F16="nominal",LOOKUP($F78,Nominal_to_Real,'Input|Rate of change'!U$26:U$31),INDEX('Input|Rate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0.52094583847739895</v>
      </c>
      <c r="R78" s="206">
        <f>'Input|Step changes'!R16*IF('Input|Step changes'!$F16="nominal",LOOKUP($F78,Nominal_to_Real,'Input|Rate of change'!V$26:V$31),INDEX('Input|Rate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0.58889529567010324</v>
      </c>
      <c r="S78" s="206">
        <f>'Input|Step changes'!S16*IF('Input|Step changes'!$F16="nominal",LOOKUP($F78,Nominal_to_Real,'Input|Rate of change'!W$26:W$31),INDEX('Input|Rate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0.58889529567010324</v>
      </c>
      <c r="T78" s="55"/>
      <c r="U78" s="176"/>
    </row>
    <row r="79" spans="1:30" outlineLevel="1">
      <c r="C79" s="81" t="str">
        <f>'Input|Step changes'!C17</f>
        <v>CER Integration</v>
      </c>
      <c r="D79" s="16" t="s">
        <v>59</v>
      </c>
      <c r="E79" s="16" t="str">
        <f t="shared" si="7"/>
        <v>$millions</v>
      </c>
      <c r="F79" s="115">
        <f t="shared" si="8"/>
        <v>45809</v>
      </c>
      <c r="J79" s="85">
        <f>'Input|Step changes'!J17*IF('Input|Step changes'!$F17="nominal",LOOKUP($F79,Nominal_to_Real,'Input|Rate of change'!N$26:N$31),INDEX('Input|Rate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85">
        <f>'Input|Step changes'!K17*IF('Input|Step changes'!$F17="nominal",LOOKUP($F79,Nominal_to_Real,'Input|Rate of change'!O$26:O$31),INDEX('Input|Rate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85">
        <f>'Input|Step changes'!L17*IF('Input|Step changes'!$F17="nominal",LOOKUP($F79,Nominal_to_Real,'Input|Rate of change'!P$26:P$31),INDEX('Input|Rate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85">
        <f>'Input|Step changes'!M17*IF('Input|Step changes'!$F17="nominal",LOOKUP($F79,Nominal_to_Real,'Input|Rate of change'!Q$26:Q$31),INDEX('Input|Rate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85">
        <f>'Input|Step changes'!N17*IF('Input|Step changes'!$F17="nominal",LOOKUP($F79,Nominal_to_Real,'Input|Rate of change'!R$26:R$31),INDEX('Input|Rate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206">
        <f>'Input|Step changes'!O17*IF('Input|Step changes'!$F17="nominal",LOOKUP($F79,Nominal_to_Real,'Input|Rate of change'!S$26:S$31),INDEX('Input|Rate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0.60674041295641934</v>
      </c>
      <c r="P79" s="206">
        <f>'Input|Step changes'!P17*IF('Input|Step changes'!$F17="nominal",LOOKUP($F79,Nominal_to_Real,'Input|Rate of change'!T$26:T$31),INDEX('Input|Rate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0.74218241930308215</v>
      </c>
      <c r="Q79" s="206">
        <f>'Input|Step changes'!Q17*IF('Input|Step changes'!$F17="nominal",LOOKUP($F79,Nominal_to_Real,'Input|Rate of change'!U$26:U$31),INDEX('Input|Rate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0.87482145733753314</v>
      </c>
      <c r="R79" s="206">
        <f>'Input|Step changes'!R17*IF('Input|Step changes'!$F17="nominal",LOOKUP($F79,Nominal_to_Real,'Input|Rate of change'!V$26:V$31),INDEX('Input|Rate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1.0043158935302894</v>
      </c>
      <c r="S79" s="206">
        <f>'Input|Step changes'!S17*IF('Input|Step changes'!$F17="nominal",LOOKUP($F79,Nominal_to_Real,'Input|Rate of change'!W$26:W$31),INDEX('Input|Rate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1.1307829648249494</v>
      </c>
      <c r="T79" s="55"/>
      <c r="U79" s="176"/>
    </row>
    <row r="80" spans="1:30" outlineLevel="1">
      <c r="C80" s="81" t="str">
        <f>'Input|Step changes'!C18</f>
        <v>Network Visability</v>
      </c>
      <c r="D80" s="16" t="s">
        <v>59</v>
      </c>
      <c r="E80" s="16" t="str">
        <f t="shared" si="7"/>
        <v>$millions</v>
      </c>
      <c r="F80" s="115">
        <f t="shared" si="8"/>
        <v>45809</v>
      </c>
      <c r="J80" s="85">
        <f>'Input|Step changes'!J18*IF('Input|Step changes'!$F18="nominal",LOOKUP($F80,Nominal_to_Real,'Input|Rate of change'!N$26:N$31),INDEX('Input|Rate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85">
        <f>'Input|Step changes'!K18*IF('Input|Step changes'!$F18="nominal",LOOKUP($F80,Nominal_to_Real,'Input|Rate of change'!O$26:O$31),INDEX('Input|Rate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85">
        <f>'Input|Step changes'!L18*IF('Input|Step changes'!$F18="nominal",LOOKUP($F80,Nominal_to_Real,'Input|Rate of change'!P$26:P$31),INDEX('Input|Rate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85">
        <f>'Input|Step changes'!M18*IF('Input|Step changes'!$F18="nominal",LOOKUP($F80,Nominal_to_Real,'Input|Rate of change'!Q$26:Q$31),INDEX('Input|Rate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85">
        <f>'Input|Step changes'!N18*IF('Input|Step changes'!$F18="nominal",LOOKUP($F80,Nominal_to_Real,'Input|Rate of change'!R$26:R$31),INDEX('Input|Rate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206">
        <f>'Input|Step changes'!O18*IF('Input|Step changes'!$F18="nominal",LOOKUP($F80,Nominal_to_Real,'Input|Rate of change'!S$26:S$31),INDEX('Input|Rate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1.0462953044742365</v>
      </c>
      <c r="P80" s="206">
        <f>'Input|Step changes'!P18*IF('Input|Step changes'!$F18="nominal",LOOKUP($F80,Nominal_to_Real,'Input|Rate of change'!T$26:T$31),INDEX('Input|Rate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1.2039176348299043</v>
      </c>
      <c r="Q80" s="206">
        <f>'Input|Step changes'!Q18*IF('Input|Step changes'!$F18="nominal",LOOKUP($F80,Nominal_to_Real,'Input|Rate of change'!U$26:U$31),INDEX('Input|Rate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1.3607160827715516</v>
      </c>
      <c r="R80" s="206">
        <f>'Input|Step changes'!R18*IF('Input|Step changes'!$F18="nominal",LOOKUP($F80,Nominal_to_Real,'Input|Rate of change'!V$26:V$31),INDEX('Input|Rate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1.5162872892257453</v>
      </c>
      <c r="S80" s="206">
        <f>'Input|Step changes'!S18*IF('Input|Step changes'!$F18="nominal",LOOKUP($F80,Nominal_to_Real,'Input|Rate of change'!W$26:W$31),INDEX('Input|Rate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1.6236987826665115</v>
      </c>
      <c r="T80" s="55"/>
      <c r="U80" s="176"/>
    </row>
    <row r="81" spans="1:30" outlineLevel="1">
      <c r="C81" s="81" t="str">
        <f>'Input|Step changes'!C19</f>
        <v>Increases to Insurance Premiums</v>
      </c>
      <c r="D81" s="16" t="s">
        <v>59</v>
      </c>
      <c r="E81" s="16" t="str">
        <f t="shared" si="7"/>
        <v>$millions</v>
      </c>
      <c r="F81" s="115">
        <f t="shared" si="8"/>
        <v>45809</v>
      </c>
      <c r="J81" s="85">
        <f>'Input|Step changes'!J19*IF('Input|Step changes'!$F19="nominal",LOOKUP($F81,Nominal_to_Real,'Input|Rate of change'!N$26:N$31),INDEX('Input|Rate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85">
        <f>'Input|Step changes'!K19*IF('Input|Step changes'!$F19="nominal",LOOKUP($F81,Nominal_to_Real,'Input|Rate of change'!O$26:O$31),INDEX('Input|Rate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85">
        <f>'Input|Step changes'!L19*IF('Input|Step changes'!$F19="nominal",LOOKUP($F81,Nominal_to_Real,'Input|Rate of change'!P$26:P$31),INDEX('Input|Rate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85">
        <f>'Input|Step changes'!M19*IF('Input|Step changes'!$F19="nominal",LOOKUP($F81,Nominal_to_Real,'Input|Rate of change'!Q$26:Q$31),INDEX('Input|Rate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85">
        <f>'Input|Step changes'!N19*IF('Input|Step changes'!$F19="nominal",LOOKUP($F81,Nominal_to_Real,'Input|Rate of change'!R$26:R$31),INDEX('Input|Rate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206">
        <f>'Input|Step changes'!O19*IF('Input|Step changes'!$F19="nominal",LOOKUP($F81,Nominal_to_Real,'Input|Rate of change'!S$26:S$31),INDEX('Input|Rate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2.2338615272937088</v>
      </c>
      <c r="P81" s="206">
        <f>'Input|Step changes'!P19*IF('Input|Step changes'!$F19="nominal",LOOKUP($F81,Nominal_to_Real,'Input|Rate of change'!T$26:T$31),INDEX('Input|Rate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3.3156332136974109</v>
      </c>
      <c r="Q81" s="206">
        <f>'Input|Step changes'!Q19*IF('Input|Step changes'!$F19="nominal",LOOKUP($F81,Nominal_to_Real,'Input|Rate of change'!U$26:U$31),INDEX('Input|Rate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4.1412748675422701</v>
      </c>
      <c r="R81" s="206">
        <f>'Input|Step changes'!R19*IF('Input|Step changes'!$F19="nominal",LOOKUP($F81,Nominal_to_Real,'Input|Rate of change'!V$26:V$31),INDEX('Input|Rate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4.6397237877915032</v>
      </c>
      <c r="S81" s="206">
        <f>'Input|Step changes'!S19*IF('Input|Step changes'!$F19="nominal",LOOKUP($F81,Nominal_to_Real,'Input|Rate of change'!W$26:W$31),INDEX('Input|Rate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5.0685551339645389</v>
      </c>
      <c r="T81" s="55"/>
      <c r="U81" s="176"/>
    </row>
    <row r="82" spans="1:30" outlineLevel="1">
      <c r="C82" s="81" t="str">
        <f>'Input|Step changes'!C20</f>
        <v>Network Program Uplift</v>
      </c>
      <c r="D82" s="16" t="s">
        <v>59</v>
      </c>
      <c r="E82" s="16" t="str">
        <f t="shared" si="7"/>
        <v>$millions</v>
      </c>
      <c r="F82" s="115">
        <f t="shared" si="8"/>
        <v>45809</v>
      </c>
      <c r="J82" s="85"/>
      <c r="K82" s="85"/>
      <c r="L82" s="85"/>
      <c r="M82" s="85"/>
      <c r="N82" s="85"/>
      <c r="O82" s="206">
        <f>'Input|Step changes'!O20*IF('Input|Step changes'!$F20="nominal",LOOKUP($F82,Nominal_to_Real,'Input|Rate of change'!S$26:S$31),INDEX('Input|Rate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3.538194513172439</v>
      </c>
      <c r="P82" s="206">
        <f>'Input|Step changes'!P20*IF('Input|Step changes'!$F20="nominal",LOOKUP($F82,Nominal_to_Real,'Input|Rate of change'!T$26:T$31),INDEX('Input|Rate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3.0201185437933011</v>
      </c>
      <c r="Q82" s="206">
        <f>'Input|Step changes'!Q20*IF('Input|Step changes'!$F20="nominal",LOOKUP($F82,Nominal_to_Real,'Input|Rate of change'!U$26:U$31),INDEX('Input|Rate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3.871516721844122</v>
      </c>
      <c r="R82" s="206">
        <f>'Input|Step changes'!R20*IF('Input|Step changes'!$F20="nominal",LOOKUP($F82,Nominal_to_Real,'Input|Rate of change'!V$26:V$31),INDEX('Input|Rate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3.607138979733103</v>
      </c>
      <c r="S82" s="206">
        <f>'Input|Step changes'!S20*IF('Input|Step changes'!$F20="nominal",LOOKUP($F82,Nominal_to_Real,'Input|Rate of change'!W$26:W$31),INDEX('Input|Rate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3.9699530212938541</v>
      </c>
      <c r="T82" s="55"/>
      <c r="U82" s="176"/>
    </row>
    <row r="83" spans="1:30" outlineLevel="1">
      <c r="C83" s="81" t="str">
        <f>'Input|Step changes'!C21</f>
        <v>Reliability Improvements</v>
      </c>
      <c r="D83" s="16" t="s">
        <v>59</v>
      </c>
      <c r="E83" s="16" t="str">
        <f t="shared" si="7"/>
        <v>$millions</v>
      </c>
      <c r="F83" s="115">
        <f t="shared" si="8"/>
        <v>45809</v>
      </c>
      <c r="J83" s="85"/>
      <c r="K83" s="85"/>
      <c r="L83" s="85"/>
      <c r="M83" s="85"/>
      <c r="N83" s="85"/>
      <c r="O83" s="206">
        <f>'Input|Step changes'!O21*IF('Input|Step changes'!$F21="nominal",LOOKUP($F83,Nominal_to_Real,'Input|Rate of change'!S$26:S$31),INDEX('Input|Rate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-3.6062401313131313E-2</v>
      </c>
      <c r="P83" s="206">
        <f>'Input|Step changes'!P21*IF('Input|Step changes'!$F21="nominal",LOOKUP($F83,Nominal_to_Real,'Input|Rate of change'!T$26:T$31),INDEX('Input|Rate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-8.414560306397309E-2</v>
      </c>
      <c r="Q83" s="206">
        <f>'Input|Step changes'!Q21*IF('Input|Step changes'!$F21="nominal",LOOKUP($F83,Nominal_to_Real,'Input|Rate of change'!U$26:U$31),INDEX('Input|Rate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-0.13222880481481483</v>
      </c>
      <c r="R83" s="206">
        <f>'Input|Step changes'!R21*IF('Input|Step changes'!$F21="nominal",LOOKUP($F83,Nominal_to_Real,'Input|Rate of change'!V$26:V$31),INDEX('Input|Rate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-0.18031200656565657</v>
      </c>
      <c r="S83" s="206">
        <f>'Input|Step changes'!S21*IF('Input|Step changes'!$F21="nominal",LOOKUP($F83,Nominal_to_Real,'Input|Rate of change'!W$26:W$31),INDEX('Input|Rate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-0.22839520831649834</v>
      </c>
      <c r="T83" s="55"/>
      <c r="U83" s="176"/>
    </row>
    <row r="84" spans="1:30" outlineLevel="1">
      <c r="C84" s="81" t="str">
        <f>'Input|Step changes'!C22</f>
        <v>Transitioning to Electric Vehicles</v>
      </c>
      <c r="D84" s="16" t="s">
        <v>59</v>
      </c>
      <c r="E84" s="16" t="str">
        <f t="shared" si="7"/>
        <v>$millions</v>
      </c>
      <c r="F84" s="115">
        <f t="shared" si="8"/>
        <v>45809</v>
      </c>
      <c r="J84" s="85"/>
      <c r="K84" s="85"/>
      <c r="L84" s="85"/>
      <c r="M84" s="85"/>
      <c r="N84" s="85"/>
      <c r="O84" s="206">
        <f>'Input|Step changes'!O22*IF('Input|Step changes'!$F22="nominal",LOOKUP($F84,Nominal_to_Real,'Input|Rate of change'!S$26:S$31),INDEX('Input|Rate of change'!$C$14:$O$21,MATCH('Input|Step changes'!$F22,'Input|Rate of change'!$C$14:$C$21,0),MATCH('Calc|Opex forecast'!$F84,'Input|Rate of change'!$C$14:$O$14,0)))*IF('Input|Step changes'!$E22="$millions",1000000,IF('Input|Step changes'!$E22="$000",1000,1))/IF($E84="$millions",1000000,IF($E84="$000",1000,1))</f>
        <v>-3.2004194337763685E-2</v>
      </c>
      <c r="P84" s="206">
        <f>'Input|Step changes'!P22*IF('Input|Step changes'!$F22="nominal",LOOKUP($F84,Nominal_to_Real,'Input|Rate of change'!T$26:T$31),INDEX('Input|Rate of change'!$C$14:$O$21,MATCH('Input|Step changes'!$F22,'Input|Rate of change'!$C$14:$C$21,0),MATCH('Calc|Opex forecast'!$F84,'Input|Rate of change'!$C$14:$O$14,0)))*IF('Input|Step changes'!$E22="$millions",1000000,IF('Input|Step changes'!$E22="$000",1000,1))/IF($E84="$millions",1000000,IF($E84="$000",1000,1))</f>
        <v>-0.13249804405291357</v>
      </c>
      <c r="Q84" s="206">
        <f>'Input|Step changes'!Q22*IF('Input|Step changes'!$F22="nominal",LOOKUP($F84,Nominal_to_Real,'Input|Rate of change'!U$26:U$31),INDEX('Input|Rate of change'!$C$14:$O$21,MATCH('Input|Step changes'!$F22,'Input|Rate of change'!$C$14:$C$21,0),MATCH('Calc|Opex forecast'!$F84,'Input|Rate of change'!$C$14:$O$14,0)))*IF('Input|Step changes'!$E22="$millions",1000000,IF('Input|Step changes'!$E22="$000",1000,1))/IF($E84="$millions",1000000,IF($E84="$000",1000,1))</f>
        <v>-0.27573889728799372</v>
      </c>
      <c r="R84" s="206">
        <f>'Input|Step changes'!R22*IF('Input|Step changes'!$F22="nominal",LOOKUP($F84,Nominal_to_Real,'Input|Rate of change'!V$26:V$31),INDEX('Input|Rate of change'!$C$14:$O$21,MATCH('Input|Step changes'!$F22,'Input|Rate of change'!$C$14:$C$21,0),MATCH('Calc|Opex forecast'!$F84,'Input|Rate of change'!$C$14:$O$14,0)))*IF('Input|Step changes'!$E22="$millions",1000000,IF('Input|Step changes'!$E22="$000",1000,1))/IF($E84="$millions",1000000,IF($E84="$000",1000,1))</f>
        <v>-0.37347966149588591</v>
      </c>
      <c r="S84" s="206">
        <f>'Input|Step changes'!S22*IF('Input|Step changes'!$F22="nominal",LOOKUP($F84,Nominal_to_Real,'Input|Rate of change'!W$26:W$31),INDEX('Input|Rate of change'!$C$14:$O$21,MATCH('Input|Step changes'!$F22,'Input|Rate of change'!$C$14:$C$21,0),MATCH('Calc|Opex forecast'!$F84,'Input|Rate of change'!$C$14:$O$14,0)))*IF('Input|Step changes'!$E22="$millions",1000000,IF('Input|Step changes'!$E22="$000",1000,1))/IF($E84="$millions",1000000,IF($E84="$000",1000,1))</f>
        <v>-0.52557206402126888</v>
      </c>
      <c r="T84" s="55"/>
      <c r="U84" s="176"/>
    </row>
    <row r="85" spans="1:30" outlineLevel="1">
      <c r="C85" s="81">
        <f>'Input|Step changes'!C23</f>
        <v>0</v>
      </c>
      <c r="D85" s="16" t="s">
        <v>59</v>
      </c>
      <c r="E85" s="16" t="str">
        <f t="shared" si="7"/>
        <v>$millions</v>
      </c>
      <c r="F85" s="115">
        <f t="shared" si="8"/>
        <v>45809</v>
      </c>
      <c r="J85" s="85"/>
      <c r="K85" s="85"/>
      <c r="L85" s="85"/>
      <c r="M85" s="85"/>
      <c r="N85" s="85"/>
      <c r="O85" s="85">
        <f>'Input|Step changes'!O23*IF('Input|Step changes'!$F23="nominal",LOOKUP($F85,Nominal_to_Real,'Input|Rate of change'!S$26:S$31),INDEX('Input|Rate of change'!$C$14:$O$21,MATCH('Input|Step changes'!$F23,'Input|Rate of change'!$C$14:$C$21,0),MATCH('Calc|Opex forecast'!$F85,'Input|Rate of change'!$C$14:$O$14,0)))*IF('Input|Step changes'!$E23="$millions",1000000,IF('Input|Step changes'!$E23="$000",1000,1))/IF($E85="$millions",1000000,IF($E85="$000",1000,1))</f>
        <v>0</v>
      </c>
      <c r="P85" s="85">
        <f>'Input|Step changes'!P23*IF('Input|Step changes'!$F23="nominal",LOOKUP($F85,Nominal_to_Real,'Input|Rate of change'!T$26:T$31),INDEX('Input|Rate of change'!$C$14:$O$21,MATCH('Input|Step changes'!$F23,'Input|Rate of change'!$C$14:$C$21,0),MATCH('Calc|Opex forecast'!$F85,'Input|Rate of change'!$C$14:$O$14,0)))*IF('Input|Step changes'!$E23="$millions",1000000,IF('Input|Step changes'!$E23="$000",1000,1))/IF($E85="$millions",1000000,IF($E85="$000",1000,1))</f>
        <v>0</v>
      </c>
      <c r="Q85" s="85">
        <f>'Input|Step changes'!Q23*IF('Input|Step changes'!$F23="nominal",LOOKUP($F85,Nominal_to_Real,'Input|Rate of change'!U$26:U$31),INDEX('Input|Rate of change'!$C$14:$O$21,MATCH('Input|Step changes'!$F23,'Input|Rate of change'!$C$14:$C$21,0),MATCH('Calc|Opex forecast'!$F85,'Input|Rate of change'!$C$14:$O$14,0)))*IF('Input|Step changes'!$E23="$millions",1000000,IF('Input|Step changes'!$E23="$000",1000,1))/IF($E85="$millions",1000000,IF($E85="$000",1000,1))</f>
        <v>0</v>
      </c>
      <c r="R85" s="85">
        <f>'Input|Step changes'!R23*IF('Input|Step changes'!$F23="nominal",LOOKUP($F85,Nominal_to_Real,'Input|Rate of change'!V$26:V$31),INDEX('Input|Rate of change'!$C$14:$O$21,MATCH('Input|Step changes'!$F23,'Input|Rate of change'!$C$14:$C$21,0),MATCH('Calc|Opex forecast'!$F85,'Input|Rate of change'!$C$14:$O$14,0)))*IF('Input|Step changes'!$E23="$millions",1000000,IF('Input|Step changes'!$E23="$000",1000,1))/IF($E85="$millions",1000000,IF($E85="$000",1000,1))</f>
        <v>0</v>
      </c>
      <c r="S85" s="85">
        <f>'Input|Step changes'!S23*IF('Input|Step changes'!$F23="nominal",LOOKUP($F85,Nominal_to_Real,'Input|Rate of change'!W$26:W$31),INDEX('Input|Rate of change'!$C$14:$O$21,MATCH('Input|Step changes'!$F23,'Input|Rate of change'!$C$14:$C$21,0),MATCH('Calc|Opex forecast'!$F85,'Input|Rate of change'!$C$14:$O$14,0)))*IF('Input|Step changes'!$E23="$millions",1000000,IF('Input|Step changes'!$E23="$000",1000,1))/IF($E85="$millions",1000000,IF($E85="$000",1000,1))</f>
        <v>0</v>
      </c>
      <c r="U85" s="176"/>
    </row>
    <row r="86" spans="1:30" outlineLevel="1">
      <c r="C86" s="81">
        <f>'Input|Step changes'!C24</f>
        <v>0</v>
      </c>
      <c r="D86" s="16" t="s">
        <v>59</v>
      </c>
      <c r="E86" s="16" t="str">
        <f t="shared" si="7"/>
        <v>$millions</v>
      </c>
      <c r="F86" s="115">
        <f t="shared" si="8"/>
        <v>45809</v>
      </c>
      <c r="J86" s="85"/>
      <c r="K86" s="85"/>
      <c r="L86" s="85"/>
      <c r="M86" s="85"/>
      <c r="N86" s="85"/>
      <c r="O86" s="85">
        <f>'Input|Step changes'!O24*IF('Input|Step changes'!$F24="nominal",LOOKUP($F86,Nominal_to_Real,'Input|Rate of change'!S$26:S$31),INDEX('Input|Rate of change'!$C$14:$O$21,MATCH('Input|Step changes'!$F24,'Input|Rate of change'!$C$14:$C$21,0),MATCH('Calc|Opex forecast'!$F86,'Input|Rate of change'!$C$14:$O$14,0)))*IF('Input|Step changes'!$E24="$millions",1000000,IF('Input|Step changes'!$E24="$000",1000,1))/IF($E86="$millions",1000000,IF($E86="$000",1000,1))</f>
        <v>0</v>
      </c>
      <c r="P86" s="85">
        <f>'Input|Step changes'!P24*IF('Input|Step changes'!$F24="nominal",LOOKUP($F86,Nominal_to_Real,'Input|Rate of change'!T$26:T$31),INDEX('Input|Rate of change'!$C$14:$O$21,MATCH('Input|Step changes'!$F24,'Input|Rate of change'!$C$14:$C$21,0),MATCH('Calc|Opex forecast'!$F86,'Input|Rate of change'!$C$14:$O$14,0)))*IF('Input|Step changes'!$E24="$millions",1000000,IF('Input|Step changes'!$E24="$000",1000,1))/IF($E86="$millions",1000000,IF($E86="$000",1000,1))</f>
        <v>0</v>
      </c>
      <c r="Q86" s="85">
        <f>'Input|Step changes'!Q24*IF('Input|Step changes'!$F24="nominal",LOOKUP($F86,Nominal_to_Real,'Input|Rate of change'!U$26:U$31),INDEX('Input|Rate of change'!$C$14:$O$21,MATCH('Input|Step changes'!$F24,'Input|Rate of change'!$C$14:$C$21,0),MATCH('Calc|Opex forecast'!$F86,'Input|Rate of change'!$C$14:$O$14,0)))*IF('Input|Step changes'!$E24="$millions",1000000,IF('Input|Step changes'!$E24="$000",1000,1))/IF($E86="$millions",1000000,IF($E86="$000",1000,1))</f>
        <v>0</v>
      </c>
      <c r="R86" s="85">
        <f>'Input|Step changes'!R24*IF('Input|Step changes'!$F24="nominal",LOOKUP($F86,Nominal_to_Real,'Input|Rate of change'!V$26:V$31),INDEX('Input|Rate of change'!$C$14:$O$21,MATCH('Input|Step changes'!$F24,'Input|Rate of change'!$C$14:$C$21,0),MATCH('Calc|Opex forecast'!$F86,'Input|Rate of change'!$C$14:$O$14,0)))*IF('Input|Step changes'!$E24="$millions",1000000,IF('Input|Step changes'!$E24="$000",1000,1))/IF($E86="$millions",1000000,IF($E86="$000",1000,1))</f>
        <v>0</v>
      </c>
      <c r="S86" s="85">
        <f>'Input|Step changes'!S24*IF('Input|Step changes'!$F24="nominal",LOOKUP($F86,Nominal_to_Real,'Input|Rate of change'!W$26:W$31),INDEX('Input|Rate of change'!$C$14:$O$21,MATCH('Input|Step changes'!$F24,'Input|Rate of change'!$C$14:$C$21,0),MATCH('Calc|Opex forecast'!$F86,'Input|Rate of change'!$C$14:$O$14,0)))*IF('Input|Step changes'!$E24="$millions",1000000,IF('Input|Step changes'!$E24="$000",1000,1))/IF($E86="$millions",1000000,IF($E86="$000",1000,1))</f>
        <v>0</v>
      </c>
      <c r="U86" s="176"/>
    </row>
    <row r="87" spans="1:30" outlineLevel="1">
      <c r="C87" s="81">
        <f>'Input|Step changes'!C25</f>
        <v>0</v>
      </c>
      <c r="D87" s="16" t="s">
        <v>59</v>
      </c>
      <c r="E87" s="16" t="str">
        <f t="shared" si="7"/>
        <v>$millions</v>
      </c>
      <c r="F87" s="115">
        <f t="shared" si="8"/>
        <v>45809</v>
      </c>
      <c r="J87" s="85"/>
      <c r="K87" s="85"/>
      <c r="L87" s="85"/>
      <c r="M87" s="85"/>
      <c r="N87" s="85"/>
      <c r="O87" s="85">
        <f>'Input|Step changes'!O25*IF('Input|Step changes'!$F25="nominal",LOOKUP($F87,Nominal_to_Real,'Input|Rate of change'!S$26:S$31),INDEX('Input|Rate of change'!$C$14:$O$21,MATCH('Input|Step changes'!$F25,'Input|Rate of change'!$C$14:$C$21,0),MATCH('Calc|Opex forecast'!$F87,'Input|Rate of change'!$C$14:$O$14,0)))*IF('Input|Step changes'!$E25="$millions",1000000,IF('Input|Step changes'!$E25="$000",1000,1))/IF($E87="$millions",1000000,IF($E87="$000",1000,1))</f>
        <v>0</v>
      </c>
      <c r="P87" s="85">
        <f>'Input|Step changes'!P25*IF('Input|Step changes'!$F25="nominal",LOOKUP($F87,Nominal_to_Real,'Input|Rate of change'!T$26:T$31),INDEX('Input|Rate of change'!$C$14:$O$21,MATCH('Input|Step changes'!$F25,'Input|Rate of change'!$C$14:$C$21,0),MATCH('Calc|Opex forecast'!$F87,'Input|Rate of change'!$C$14:$O$14,0)))*IF('Input|Step changes'!$E25="$millions",1000000,IF('Input|Step changes'!$E25="$000",1000,1))/IF($E87="$millions",1000000,IF($E87="$000",1000,1))</f>
        <v>0</v>
      </c>
      <c r="Q87" s="85">
        <f>'Input|Step changes'!Q25*IF('Input|Step changes'!$F25="nominal",LOOKUP($F87,Nominal_to_Real,'Input|Rate of change'!U$26:U$31),INDEX('Input|Rate of change'!$C$14:$O$21,MATCH('Input|Step changes'!$F25,'Input|Rate of change'!$C$14:$C$21,0),MATCH('Calc|Opex forecast'!$F87,'Input|Rate of change'!$C$14:$O$14,0)))*IF('Input|Step changes'!$E25="$millions",1000000,IF('Input|Step changes'!$E25="$000",1000,1))/IF($E87="$millions",1000000,IF($E87="$000",1000,1))</f>
        <v>0</v>
      </c>
      <c r="R87" s="85">
        <f>'Input|Step changes'!R25*IF('Input|Step changes'!$F25="nominal",LOOKUP($F87,Nominal_to_Real,'Input|Rate of change'!V$26:V$31),INDEX('Input|Rate of change'!$C$14:$O$21,MATCH('Input|Step changes'!$F25,'Input|Rate of change'!$C$14:$C$21,0),MATCH('Calc|Opex forecast'!$F87,'Input|Rate of change'!$C$14:$O$14,0)))*IF('Input|Step changes'!$E25="$millions",1000000,IF('Input|Step changes'!$E25="$000",1000,1))/IF($E87="$millions",1000000,IF($E87="$000",1000,1))</f>
        <v>0</v>
      </c>
      <c r="S87" s="85">
        <f>'Input|Step changes'!S25*IF('Input|Step changes'!$F25="nominal",LOOKUP($F87,Nominal_to_Real,'Input|Rate of change'!W$26:W$31),INDEX('Input|Rate of change'!$C$14:$O$21,MATCH('Input|Step changes'!$F25,'Input|Rate of change'!$C$14:$C$21,0),MATCH('Calc|Opex forecast'!$F87,'Input|Rate of change'!$C$14:$O$14,0)))*IF('Input|Step changes'!$E25="$millions",1000000,IF('Input|Step changes'!$E25="$000",1000,1))/IF($E87="$millions",1000000,IF($E87="$000",1000,1))</f>
        <v>0</v>
      </c>
      <c r="U87" s="176"/>
    </row>
    <row r="88" spans="1:30" outlineLevel="1">
      <c r="C88" s="81">
        <f>'Input|Step changes'!C26</f>
        <v>0</v>
      </c>
      <c r="D88" s="16" t="s">
        <v>59</v>
      </c>
      <c r="E88" s="16" t="str">
        <f t="shared" si="7"/>
        <v>$millions</v>
      </c>
      <c r="F88" s="115">
        <f t="shared" si="8"/>
        <v>45809</v>
      </c>
      <c r="J88" s="85">
        <f>'Input|Step changes'!J26*IF('Input|Step changes'!$F26="nominal",LOOKUP($F88,Nominal_to_Real,'Input|Rate of change'!N$26:N$31),INDEX('Input|Rate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K88" s="85">
        <f>'Input|Step changes'!K26*IF('Input|Step changes'!$F26="nominal",LOOKUP($F88,Nominal_to_Real,'Input|Rate of change'!O$26:O$31),INDEX('Input|Rate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L88" s="85">
        <f>'Input|Step changes'!L26*IF('Input|Step changes'!$F26="nominal",LOOKUP($F88,Nominal_to_Real,'Input|Rate of change'!P$26:P$31),INDEX('Input|Rate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M88" s="85">
        <f>'Input|Step changes'!M26*IF('Input|Step changes'!$F26="nominal",LOOKUP($F88,Nominal_to_Real,'Input|Rate of change'!Q$26:Q$31),INDEX('Input|Rate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N88" s="85">
        <f>'Input|Step changes'!N26*IF('Input|Step changes'!$F26="nominal",LOOKUP($F88,Nominal_to_Real,'Input|Rate of change'!R$26:R$31),INDEX('Input|Rate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O88" s="85">
        <f>'Input|Step changes'!O26*IF('Input|Step changes'!$F26="nominal",LOOKUP($F88,Nominal_to_Real,'Input|Rate of change'!S$26:S$31),INDEX('Input|Rate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P88" s="85">
        <f>'Input|Step changes'!P26*IF('Input|Step changes'!$F26="nominal",LOOKUP($F88,Nominal_to_Real,'Input|Rate of change'!T$26:T$31),INDEX('Input|Rate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Q88" s="85">
        <f>'Input|Step changes'!Q26*IF('Input|Step changes'!$F26="nominal",LOOKUP($F88,Nominal_to_Real,'Input|Rate of change'!U$26:U$31),INDEX('Input|Rate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R88" s="85">
        <f>'Input|Step changes'!R26*IF('Input|Step changes'!$F26="nominal",LOOKUP($F88,Nominal_to_Real,'Input|Rate of change'!V$26:V$31),INDEX('Input|Rate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S88" s="85">
        <f>'Input|Step changes'!S26*IF('Input|Step changes'!$F26="nominal",LOOKUP($F88,Nominal_to_Real,'Input|Rate of change'!W$26:W$31),INDEX('Input|Rate of change'!$C$14:$O$21,MATCH('Input|Step changes'!$F26,'Input|Rate of change'!$C$14:$C$21,0),MATCH('Calc|Opex forecast'!$F88,'Input|Rate of change'!$C$14:$O$14,0)))*IF('Input|Step changes'!$E26="$millions",1000000,IF('Input|Step changes'!$E26="$000",1000,1))/IF($E88="$millions",1000000,IF($E88="$000",1000,1))</f>
        <v>0</v>
      </c>
      <c r="U88" s="176"/>
    </row>
    <row r="89" spans="1:30" outlineLevel="1">
      <c r="C89" s="81"/>
      <c r="F89" s="73"/>
      <c r="J89" s="85"/>
      <c r="K89" s="85"/>
      <c r="L89" s="85"/>
      <c r="M89" s="85"/>
      <c r="N89" s="85"/>
      <c r="O89" s="85"/>
      <c r="P89" s="85"/>
      <c r="Q89" s="85"/>
      <c r="R89" s="85"/>
      <c r="S89" s="85"/>
      <c r="U89" s="14"/>
    </row>
    <row r="90" spans="1:30" outlineLevel="1">
      <c r="C90" s="74" t="s">
        <v>150</v>
      </c>
      <c r="D90" s="82" t="s">
        <v>59</v>
      </c>
      <c r="E90" s="82" t="str">
        <f>$E$8</f>
        <v>$millions</v>
      </c>
      <c r="F90" s="122">
        <f t="shared" si="8"/>
        <v>45809</v>
      </c>
      <c r="G90" s="21"/>
      <c r="H90" s="21"/>
      <c r="I90" s="21"/>
      <c r="J90" s="86">
        <f>SUM(J73:J89)</f>
        <v>0</v>
      </c>
      <c r="K90" s="86">
        <f t="shared" ref="K90:S90" si="9">SUM(K73:K89)</f>
        <v>0</v>
      </c>
      <c r="L90" s="86">
        <f t="shared" si="9"/>
        <v>0</v>
      </c>
      <c r="M90" s="86">
        <f t="shared" si="9"/>
        <v>0</v>
      </c>
      <c r="N90" s="86">
        <f t="shared" si="9"/>
        <v>0</v>
      </c>
      <c r="O90" s="86">
        <f t="shared" si="9"/>
        <v>16.916747256866323</v>
      </c>
      <c r="P90" s="86">
        <f t="shared" si="9"/>
        <v>24.814078115250023</v>
      </c>
      <c r="Q90" s="86">
        <f t="shared" si="9"/>
        <v>28.018968652594516</v>
      </c>
      <c r="R90" s="86">
        <f t="shared" si="9"/>
        <v>28.590552280459868</v>
      </c>
      <c r="S90" s="86">
        <f t="shared" si="9"/>
        <v>30.465139813683045</v>
      </c>
      <c r="U90" s="175"/>
    </row>
    <row r="91" spans="1:30">
      <c r="C91" s="83"/>
      <c r="J91" s="70"/>
      <c r="K91" s="70"/>
      <c r="L91" s="70"/>
      <c r="M91" s="70"/>
      <c r="N91" s="23"/>
      <c r="O91" s="23"/>
      <c r="P91" s="23"/>
      <c r="Q91" s="23"/>
      <c r="R91" s="23"/>
      <c r="S91" s="23"/>
    </row>
    <row r="92" spans="1:30" customFormat="1" ht="12.75">
      <c r="A92" s="37"/>
      <c r="B92" s="43" t="s">
        <v>151</v>
      </c>
      <c r="C92" s="37"/>
      <c r="D92" s="37"/>
      <c r="E92" s="37"/>
      <c r="F92" s="38"/>
      <c r="G92" s="38"/>
      <c r="H92" s="38"/>
      <c r="I92" s="38"/>
      <c r="J92" s="39"/>
      <c r="K92" s="40"/>
      <c r="L92" s="39"/>
      <c r="M92" s="40"/>
      <c r="N92" s="39"/>
      <c r="O92" s="39"/>
      <c r="P92" s="39"/>
      <c r="Q92" s="39"/>
      <c r="R92" s="39"/>
      <c r="S92" s="39"/>
      <c r="T92" s="39"/>
      <c r="U92" s="39"/>
      <c r="V92" s="40"/>
      <c r="W92" s="40"/>
      <c r="X92" s="41"/>
      <c r="Y92" s="41"/>
      <c r="Z92" s="41"/>
      <c r="AA92" s="41"/>
      <c r="AB92" s="41"/>
      <c r="AC92" s="42"/>
      <c r="AD92" s="42"/>
    </row>
    <row r="93" spans="1:30" outlineLevel="1">
      <c r="C93" s="15"/>
      <c r="J93" s="70"/>
      <c r="K93" s="70"/>
      <c r="L93" s="70"/>
    </row>
    <row r="94" spans="1:30" outlineLevel="1">
      <c r="C94" s="9" t="s">
        <v>123</v>
      </c>
      <c r="D94" s="21" t="s">
        <v>35</v>
      </c>
      <c r="E94" s="21" t="s">
        <v>61</v>
      </c>
      <c r="F94" s="21" t="s">
        <v>64</v>
      </c>
      <c r="J94" s="116" t="str">
        <f>IF(YEAR(J$4)&gt;='Input|General'!$G$13,IF(YEAR(J$4)&lt;='Input|General'!$G$14,J$4,""),"")</f>
        <v/>
      </c>
      <c r="K94" s="116" t="str">
        <f>IF(YEAR(K$4)&gt;='Input|General'!$G$13,IF(YEAR(K$4)&lt;='Input|General'!$G$14,K$4,""),"")</f>
        <v/>
      </c>
      <c r="L94" s="116" t="str">
        <f>IF(YEAR(L$4)&gt;='Input|General'!$G$13,IF(YEAR(L$4)&lt;='Input|General'!$G$14,L$4,""),"")</f>
        <v/>
      </c>
      <c r="M94" s="116" t="str">
        <f>IF(YEAR(M$4)&gt;='Input|General'!$G$13,IF(YEAR(M$4)&lt;='Input|General'!$G$14,M$4,""),"")</f>
        <v/>
      </c>
      <c r="N94" s="116" t="str">
        <f>IF(YEAR(N$4)&gt;='Input|General'!$G$13,IF(YEAR(N$4)&lt;='Input|General'!$G$14,N$4,""),"")</f>
        <v/>
      </c>
      <c r="O94" s="116">
        <f>IF(YEAR(O$4)&gt;='Input|General'!$G$13,IF(YEAR(O$4)&lt;='Input|General'!$G$14,O$4,""),"")</f>
        <v>46174</v>
      </c>
      <c r="P94" s="116">
        <f>IF(YEAR(P$4)&gt;='Input|General'!$G$13,IF(YEAR(P$4)&lt;='Input|General'!$G$14,P$4,""),"")</f>
        <v>46539</v>
      </c>
      <c r="Q94" s="116">
        <f>IF(YEAR(Q$4)&gt;='Input|General'!$G$13,IF(YEAR(Q$4)&lt;='Input|General'!$G$14,Q$4,""),"")</f>
        <v>46905</v>
      </c>
      <c r="R94" s="116">
        <f>IF(YEAR(R$4)&gt;='Input|General'!$G$13,IF(YEAR(R$4)&lt;='Input|General'!$G$14,R$4,""),"")</f>
        <v>47270</v>
      </c>
      <c r="S94" s="116">
        <f>IF(YEAR(S$4)&gt;='Input|General'!$G$13,IF(YEAR(S$4)&lt;='Input|General'!$G$14,S$4,""),"")</f>
        <v>47635</v>
      </c>
    </row>
    <row r="95" spans="1:30" outlineLevel="1">
      <c r="C95" s="9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30" outlineLevel="1">
      <c r="C96" s="81" t="str">
        <f>'Input|Step changes'!C34</f>
        <v>Enactment of the Small Compensation Claims Regime</v>
      </c>
      <c r="D96" s="16" t="s">
        <v>59</v>
      </c>
      <c r="E96" s="16" t="str">
        <f t="shared" ref="E96:E98" si="10">$E$8</f>
        <v>$millions</v>
      </c>
      <c r="F96" s="115">
        <f t="shared" ref="F96:F98" si="11">$F$8</f>
        <v>45809</v>
      </c>
      <c r="J96" s="85">
        <f>'Input|Step changes'!J34*IF('Input|Step changes'!$F34="nominal",LOOKUP($F96,Nominal_to_Real,'Input|Rate of change'!N$26:N$31),INDEX('Input|Rate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0</v>
      </c>
      <c r="K96" s="85">
        <f>'Input|Step changes'!K34*IF('Input|Step changes'!$F34="nominal",LOOKUP($F96,Nominal_to_Real,'Input|Rate of change'!O$26:O$31),INDEX('Input|Rate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0</v>
      </c>
      <c r="L96" s="85">
        <f>'Input|Step changes'!L34*IF('Input|Step changes'!$F34="nominal",LOOKUP($F96,Nominal_to_Real,'Input|Rate of change'!P$26:P$31),INDEX('Input|Rate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0</v>
      </c>
      <c r="M96" s="85">
        <f>'Input|Step changes'!M34*IF('Input|Step changes'!$F34="nominal",LOOKUP($F96,Nominal_to_Real,'Input|Rate of change'!Q$26:Q$31),INDEX('Input|Rate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0</v>
      </c>
      <c r="N96" s="85">
        <f>'Input|Step changes'!N34*IF('Input|Step changes'!$F34="nominal",LOOKUP($F96,Nominal_to_Real,'Input|Rate of change'!R$26:R$31),INDEX('Input|Rate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0</v>
      </c>
      <c r="O96" s="85">
        <f>'Input|Step changes'!O34*IF('Input|Step changes'!$F34="nominal",LOOKUP($F96,Nominal_to_Real,'Input|Rate of change'!S$26:S$31),INDEX('Input|Rate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9.4893299799722293</v>
      </c>
      <c r="P96" s="85">
        <f>'Input|Step changes'!P34*IF('Input|Step changes'!$F34="nominal",LOOKUP($F96,Nominal_to_Real,'Input|Rate of change'!T$26:T$31),INDEX('Input|Rate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2.6297133740427463</v>
      </c>
      <c r="Q96" s="85">
        <f>'Input|Step changes'!Q34*IF('Input|Step changes'!$F34="nominal",LOOKUP($F96,Nominal_to_Real,'Input|Rate of change'!U$26:U$31),INDEX('Input|Rate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2.6297133740427463</v>
      </c>
      <c r="R96" s="85">
        <f>'Input|Step changes'!R34*IF('Input|Step changes'!$F34="nominal",LOOKUP($F96,Nominal_to_Real,'Input|Rate of change'!V$26:V$31),INDEX('Input|Rate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2.6297133740427463</v>
      </c>
      <c r="S96" s="85">
        <f>'Input|Step changes'!S34*IF('Input|Step changes'!$F34="nominal",LOOKUP($F96,Nominal_to_Real,'Input|Rate of change'!W$26:W$31),INDEX('Input|Rate of change'!$C$14:$O$21,MATCH('Input|Step changes'!$F34,'Input|Rate of change'!$C$14:$C$21,0),MATCH('Calc|Opex forecast'!$F96,'Input|Rate of change'!$C$14:$O$14,0)))*IF('Input|Step changes'!$E34="$millions",1000000,IF('Input|Step changes'!$E34="$000",1000,1))/IF($E96="$millions",1000000,IF($E96="$000",1000,1))</f>
        <v>2.6297133740427463</v>
      </c>
      <c r="T96" s="55"/>
    </row>
    <row r="97" spans="1:38" outlineLevel="1">
      <c r="C97" s="81">
        <f>'Input|Step changes'!C35</f>
        <v>0</v>
      </c>
      <c r="D97" s="16" t="s">
        <v>59</v>
      </c>
      <c r="E97" s="16" t="str">
        <f t="shared" si="10"/>
        <v>$millions</v>
      </c>
      <c r="F97" s="115">
        <f t="shared" si="11"/>
        <v>45809</v>
      </c>
      <c r="J97" s="85">
        <f>'Input|Step changes'!J35*IF('Input|Step changes'!$F35="nominal",LOOKUP($F97,Nominal_to_Real,'Input|Rate of change'!N$26:N$31),INDEX('Input|Rate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  <c r="K97" s="85">
        <f>'Input|Step changes'!K35*IF('Input|Step changes'!$F35="nominal",LOOKUP($F97,Nominal_to_Real,'Input|Rate of change'!O$26:O$31),INDEX('Input|Rate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  <c r="L97" s="85">
        <f>'Input|Step changes'!L35*IF('Input|Step changes'!$F35="nominal",LOOKUP($F97,Nominal_to_Real,'Input|Rate of change'!P$26:P$31),INDEX('Input|Rate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  <c r="M97" s="85">
        <f>'Input|Step changes'!M35*IF('Input|Step changes'!$F35="nominal",LOOKUP($F97,Nominal_to_Real,'Input|Rate of change'!Q$26:Q$31),INDEX('Input|Rate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  <c r="N97" s="85">
        <f>'Input|Step changes'!N35*IF('Input|Step changes'!$F35="nominal",LOOKUP($F97,Nominal_to_Real,'Input|Rate of change'!R$26:R$31),INDEX('Input|Rate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  <c r="O97" s="85">
        <f>'Input|Step changes'!O35*IF('Input|Step changes'!$F35="nominal",LOOKUP($F97,Nominal_to_Real,'Input|Rate of change'!S$26:S$31),INDEX('Input|Rate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  <c r="P97" s="85">
        <f>'Input|Step changes'!P35*IF('Input|Step changes'!$F35="nominal",LOOKUP($F97,Nominal_to_Real,'Input|Rate of change'!T$26:T$31),INDEX('Input|Rate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  <c r="Q97" s="85">
        <f>'Input|Step changes'!Q35*IF('Input|Step changes'!$F35="nominal",LOOKUP($F97,Nominal_to_Real,'Input|Rate of change'!U$26:U$31),INDEX('Input|Rate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  <c r="R97" s="85">
        <f>'Input|Step changes'!R35*IF('Input|Step changes'!$F35="nominal",LOOKUP($F97,Nominal_to_Real,'Input|Rate of change'!V$26:V$31),INDEX('Input|Rate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  <c r="S97" s="85">
        <f>'Input|Step changes'!S35*IF('Input|Step changes'!$F35="nominal",LOOKUP($F97,Nominal_to_Real,'Input|Rate of change'!W$26:W$31),INDEX('Input|Rate of change'!$C$14:$O$21,MATCH('Input|Step changes'!$F35,'Input|Rate of change'!$C$14:$C$21,0),MATCH('Calc|Opex forecast'!$F97,'Input|Rate of change'!$C$14:$O$14,0)))*IF('Input|Step changes'!$E35="$millions",1000000,IF('Input|Step changes'!$E35="$000",1000,1))/IF($E97="$millions",1000000,IF($E97="$000",1000,1))</f>
        <v>0</v>
      </c>
    </row>
    <row r="98" spans="1:38" outlineLevel="1">
      <c r="C98" s="81">
        <f>'Input|Step changes'!C36</f>
        <v>0</v>
      </c>
      <c r="D98" s="16" t="s">
        <v>59</v>
      </c>
      <c r="E98" s="16" t="str">
        <f t="shared" si="10"/>
        <v>$millions</v>
      </c>
      <c r="F98" s="115">
        <f t="shared" si="11"/>
        <v>45809</v>
      </c>
      <c r="J98" s="85">
        <f>'Input|Step changes'!J36*IF('Input|Step changes'!$F36="nominal",LOOKUP($F98,Nominal_to_Real,'Input|Rate of change'!N$26:N$31),INDEX('Input|Rate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  <c r="K98" s="85">
        <f>'Input|Step changes'!K36*IF('Input|Step changes'!$F36="nominal",LOOKUP($F98,Nominal_to_Real,'Input|Rate of change'!O$26:O$31),INDEX('Input|Rate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  <c r="L98" s="85">
        <f>'Input|Step changes'!L36*IF('Input|Step changes'!$F36="nominal",LOOKUP($F98,Nominal_to_Real,'Input|Rate of change'!P$26:P$31),INDEX('Input|Rate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  <c r="M98" s="85">
        <f>'Input|Step changes'!M36*IF('Input|Step changes'!$F36="nominal",LOOKUP($F98,Nominal_to_Real,'Input|Rate of change'!Q$26:Q$31),INDEX('Input|Rate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  <c r="N98" s="85">
        <f>'Input|Step changes'!N36*IF('Input|Step changes'!$F36="nominal",LOOKUP($F98,Nominal_to_Real,'Input|Rate of change'!R$26:R$31),INDEX('Input|Rate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  <c r="O98" s="85">
        <f>'Input|Step changes'!O36*IF('Input|Step changes'!$F36="nominal",LOOKUP($F98,Nominal_to_Real,'Input|Rate of change'!S$26:S$31),INDEX('Input|Rate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  <c r="P98" s="85">
        <f>'Input|Step changes'!P36*IF('Input|Step changes'!$F36="nominal",LOOKUP($F98,Nominal_to_Real,'Input|Rate of change'!T$26:T$31),INDEX('Input|Rate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  <c r="Q98" s="85">
        <f>'Input|Step changes'!Q36*IF('Input|Step changes'!$F36="nominal",LOOKUP($F98,Nominal_to_Real,'Input|Rate of change'!U$26:U$31),INDEX('Input|Rate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  <c r="R98" s="85">
        <f>'Input|Step changes'!R36*IF('Input|Step changes'!$F36="nominal",LOOKUP($F98,Nominal_to_Real,'Input|Rate of change'!V$26:V$31),INDEX('Input|Rate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  <c r="S98" s="85">
        <f>'Input|Step changes'!S36*IF('Input|Step changes'!$F36="nominal",LOOKUP($F98,Nominal_to_Real,'Input|Rate of change'!W$26:W$31),INDEX('Input|Rate of change'!$C$14:$O$21,MATCH('Input|Step changes'!$F36,'Input|Rate of change'!$C$14:$C$21,0),MATCH('Calc|Opex forecast'!$F98,'Input|Rate of change'!$C$14:$O$14,0)))*IF('Input|Step changes'!$E36="$millions",1000000,IF('Input|Step changes'!$E36="$000",1000,1))/IF($E98="$millions",1000000,IF($E98="$000",1000,1))</f>
        <v>0</v>
      </c>
    </row>
    <row r="99" spans="1:38" outlineLevel="1">
      <c r="C99" s="81"/>
      <c r="D99" s="71"/>
      <c r="F99" s="73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</row>
    <row r="100" spans="1:38" outlineLevel="1">
      <c r="C100" s="74" t="s">
        <v>152</v>
      </c>
      <c r="D100" s="82" t="s">
        <v>59</v>
      </c>
      <c r="E100" s="82" t="str">
        <f>$E$8</f>
        <v>$millions</v>
      </c>
      <c r="F100" s="122">
        <f t="shared" ref="F100" si="12">$F$8</f>
        <v>45809</v>
      </c>
      <c r="G100" s="21"/>
      <c r="H100" s="21"/>
      <c r="I100" s="21"/>
      <c r="J100" s="86">
        <f>SUM(J95:J99)</f>
        <v>0</v>
      </c>
      <c r="K100" s="86">
        <f t="shared" ref="K100:S100" si="13">SUM(K95:K99)</f>
        <v>0</v>
      </c>
      <c r="L100" s="86">
        <f t="shared" si="13"/>
        <v>0</v>
      </c>
      <c r="M100" s="86">
        <f t="shared" si="13"/>
        <v>0</v>
      </c>
      <c r="N100" s="86">
        <f t="shared" si="13"/>
        <v>0</v>
      </c>
      <c r="O100" s="209">
        <f t="shared" si="13"/>
        <v>9.4893299799722293</v>
      </c>
      <c r="P100" s="209">
        <f t="shared" si="13"/>
        <v>2.6297133740427463</v>
      </c>
      <c r="Q100" s="209">
        <f t="shared" si="13"/>
        <v>2.6297133740427463</v>
      </c>
      <c r="R100" s="209">
        <f t="shared" si="13"/>
        <v>2.6297133740427463</v>
      </c>
      <c r="S100" s="209">
        <f t="shared" si="13"/>
        <v>2.6297133740427463</v>
      </c>
    </row>
    <row r="101" spans="1:38">
      <c r="C101" s="83"/>
      <c r="J101" s="70"/>
      <c r="K101" s="70"/>
      <c r="L101" s="70"/>
      <c r="M101" s="70"/>
      <c r="N101" s="23"/>
      <c r="O101" s="23"/>
      <c r="P101" s="23"/>
      <c r="Q101" s="23"/>
      <c r="R101" s="23"/>
      <c r="S101" s="23"/>
    </row>
    <row r="102" spans="1:38" customFormat="1" ht="12.75">
      <c r="A102" s="37"/>
      <c r="B102" s="43" t="s">
        <v>153</v>
      </c>
      <c r="C102" s="37"/>
      <c r="D102" s="37"/>
      <c r="E102" s="37"/>
      <c r="F102" s="38"/>
      <c r="G102" s="38"/>
      <c r="H102" s="38"/>
      <c r="I102" s="38"/>
      <c r="J102" s="39"/>
      <c r="K102" s="40"/>
      <c r="L102" s="39"/>
      <c r="M102" s="40"/>
      <c r="N102" s="39"/>
      <c r="O102" s="39"/>
      <c r="P102" s="39"/>
      <c r="Q102" s="39"/>
      <c r="R102" s="39"/>
      <c r="S102" s="39"/>
      <c r="T102" s="39"/>
      <c r="U102" s="39"/>
      <c r="V102" s="40"/>
      <c r="W102" s="40"/>
      <c r="X102" s="41"/>
      <c r="Y102" s="41"/>
      <c r="Z102" s="41"/>
      <c r="AA102" s="41"/>
      <c r="AB102" s="41"/>
      <c r="AC102" s="42"/>
      <c r="AD102" s="42"/>
    </row>
    <row r="103" spans="1:38" outlineLevel="1">
      <c r="C103" s="15"/>
      <c r="J103" s="70"/>
      <c r="K103" s="70"/>
      <c r="L103" s="70"/>
    </row>
    <row r="104" spans="1:38" outlineLevel="1">
      <c r="C104" s="9"/>
      <c r="J104" s="116" t="str">
        <f>IF(YEAR(J$4)&gt;='Input|General'!$G$13,IF(YEAR(J$4)&lt;='Input|General'!$G$14,J$4,""),"")</f>
        <v/>
      </c>
      <c r="K104" s="116" t="str">
        <f>IF(YEAR(K$4)&gt;='Input|General'!$G$13,IF(YEAR(K$4)&lt;='Input|General'!$G$14,K$4,""),"")</f>
        <v/>
      </c>
      <c r="L104" s="116" t="str">
        <f>IF(YEAR(L$4)&gt;='Input|General'!$G$13,IF(YEAR(L$4)&lt;='Input|General'!$G$14,L$4,""),"")</f>
        <v/>
      </c>
      <c r="M104" s="116" t="str">
        <f>IF(YEAR(M$4)&gt;='Input|General'!$G$13,IF(YEAR(M$4)&lt;='Input|General'!$G$14,M$4,""),"")</f>
        <v/>
      </c>
      <c r="N104" s="116" t="str">
        <f>IF(YEAR(N$4)&gt;='Input|General'!$G$13,IF(YEAR(N$4)&lt;='Input|General'!$G$14,N$4,""),"")</f>
        <v/>
      </c>
      <c r="O104" s="116">
        <f>IF(YEAR(O$4)&gt;='Input|General'!$G$13,IF(YEAR(O$4)&lt;='Input|General'!$G$14,O$4,""),"")</f>
        <v>46174</v>
      </c>
      <c r="P104" s="116">
        <f>IF(YEAR(P$4)&gt;='Input|General'!$G$13,IF(YEAR(P$4)&lt;='Input|General'!$G$14,P$4,""),"")</f>
        <v>46539</v>
      </c>
      <c r="Q104" s="116">
        <f>IF(YEAR(Q$4)&gt;='Input|General'!$G$13,IF(YEAR(Q$4)&lt;='Input|General'!$G$14,Q$4,""),"")</f>
        <v>46905</v>
      </c>
      <c r="R104" s="116">
        <f>IF(YEAR(R$4)&gt;='Input|General'!$G$13,IF(YEAR(R$4)&lt;='Input|General'!$G$14,R$4,""),"")</f>
        <v>47270</v>
      </c>
      <c r="S104" s="116">
        <f>IF(YEAR(S$4)&gt;='Input|General'!$G$13,IF(YEAR(S$4)&lt;='Input|General'!$G$14,S$4,""),"")</f>
        <v>47635</v>
      </c>
      <c r="T104" s="204"/>
    </row>
    <row r="105" spans="1:38" outlineLevel="1">
      <c r="C105" s="9"/>
      <c r="J105" s="84"/>
      <c r="K105" s="84"/>
      <c r="L105" s="84"/>
      <c r="M105" s="84"/>
      <c r="N105" s="84"/>
      <c r="O105" s="84"/>
      <c r="P105" s="84"/>
      <c r="Q105" s="84"/>
      <c r="R105" s="84"/>
      <c r="S105" s="84"/>
    </row>
    <row r="106" spans="1:38" outlineLevel="1">
      <c r="C106" s="83" t="s">
        <v>154</v>
      </c>
      <c r="D106" s="21" t="s">
        <v>59</v>
      </c>
      <c r="E106" s="21" t="str">
        <f>$E$8</f>
        <v>$millions</v>
      </c>
      <c r="F106" s="122">
        <f t="shared" ref="F106:F108" si="14">$F$8</f>
        <v>45809</v>
      </c>
      <c r="J106" s="105" t="str">
        <f t="shared" ref="J106:S106" si="15">IF(YEAR(J$4)&gt;=FPFirstYear,IF(YEAR(J$4)&lt;=FPLastYear,IF(ISBLANK(J104),"",(1+J68)*SUM($J54:$S54)+J90),""),"")</f>
        <v/>
      </c>
      <c r="K106" s="105" t="str">
        <f t="shared" si="15"/>
        <v/>
      </c>
      <c r="L106" s="105" t="str">
        <f t="shared" si="15"/>
        <v/>
      </c>
      <c r="M106" s="105" t="str">
        <f t="shared" si="15"/>
        <v/>
      </c>
      <c r="N106" s="105" t="str">
        <f t="shared" si="15"/>
        <v/>
      </c>
      <c r="O106" s="105">
        <f t="shared" si="15"/>
        <v>377.39449155703494</v>
      </c>
      <c r="P106" s="105">
        <f t="shared" si="15"/>
        <v>386.44333351663181</v>
      </c>
      <c r="Q106" s="105">
        <f t="shared" si="15"/>
        <v>390.61159190587387</v>
      </c>
      <c r="R106" s="105">
        <f t="shared" si="15"/>
        <v>394.45857017090697</v>
      </c>
      <c r="S106" s="105">
        <f t="shared" si="15"/>
        <v>400.99741045277068</v>
      </c>
      <c r="T106" s="205"/>
    </row>
    <row r="107" spans="1:38" outlineLevel="1">
      <c r="C107" s="83" t="s">
        <v>155</v>
      </c>
      <c r="D107" s="21" t="s">
        <v>59</v>
      </c>
      <c r="E107" s="21" t="str">
        <f>$E$8</f>
        <v>$millions</v>
      </c>
      <c r="F107" s="122">
        <f t="shared" si="14"/>
        <v>45809</v>
      </c>
      <c r="J107" s="105" t="str">
        <f t="shared" ref="J107:S107" si="16">IF(YEAR(J$4)&gt;=FPFirstYear,IF(YEAR(J$4)&lt;=FPLastYear,IF(ISBLANK(J104),"",(1+J68)*SUM($J54:$S54)+J90+J100),""),"")</f>
        <v/>
      </c>
      <c r="K107" s="105" t="str">
        <f t="shared" si="16"/>
        <v/>
      </c>
      <c r="L107" s="105" t="str">
        <f t="shared" si="16"/>
        <v/>
      </c>
      <c r="M107" s="105" t="str">
        <f t="shared" si="16"/>
        <v/>
      </c>
      <c r="N107" s="105" t="str">
        <f t="shared" si="16"/>
        <v/>
      </c>
      <c r="O107" s="209">
        <f t="shared" si="16"/>
        <v>386.88382153700718</v>
      </c>
      <c r="P107" s="209">
        <f t="shared" si="16"/>
        <v>389.07304689067456</v>
      </c>
      <c r="Q107" s="209">
        <f t="shared" si="16"/>
        <v>393.24130527991662</v>
      </c>
      <c r="R107" s="209">
        <f t="shared" si="16"/>
        <v>397.08828354494972</v>
      </c>
      <c r="S107" s="209">
        <f t="shared" si="16"/>
        <v>403.62712382681343</v>
      </c>
      <c r="T107" s="205"/>
    </row>
    <row r="108" spans="1:38" outlineLevel="1">
      <c r="C108" s="83" t="s">
        <v>156</v>
      </c>
      <c r="D108" s="21" t="s">
        <v>59</v>
      </c>
      <c r="E108" s="21" t="str">
        <f>$E$8</f>
        <v>$millions</v>
      </c>
      <c r="F108" s="122">
        <f t="shared" si="14"/>
        <v>45809</v>
      </c>
      <c r="J108" s="105" t="str">
        <f>IF(YEAR(J$4)&gt;=FPFirstYear,IF(YEAR(J$4)&lt;=FPLastYear,J107+'Input|Step changes'!J44,""),"")</f>
        <v/>
      </c>
      <c r="K108" s="105" t="str">
        <f>IF(YEAR(K$4)&gt;=FPFirstYear,IF(YEAR(K$4)&lt;=FPLastYear,K107+'Input|Step changes'!K44,""),"")</f>
        <v/>
      </c>
      <c r="L108" s="105" t="str">
        <f>IF(YEAR(L$4)&gt;=FPFirstYear,IF(YEAR(L$4)&lt;=FPLastYear,L107+'Input|Step changes'!L44,""),"")</f>
        <v/>
      </c>
      <c r="M108" s="105" t="str">
        <f>IF(YEAR(M$4)&gt;=FPFirstYear,IF(YEAR(M$4)&lt;=FPLastYear,M107+'Input|Step changes'!M44,""),"")</f>
        <v/>
      </c>
      <c r="N108" s="105" t="str">
        <f>IF(YEAR(N$4)&gt;=FPFirstYear,IF(YEAR(N$4)&lt;=FPLastYear,N107+'Input|Step changes'!N44,""),"")</f>
        <v/>
      </c>
      <c r="O108" s="105">
        <f>IF(YEAR(O$4)&gt;=FPFirstYear,IF(YEAR(O$4)&lt;=FPLastYear,O107+'Input|Step changes'!O44,""),"")</f>
        <v>389.54749933476546</v>
      </c>
      <c r="P108" s="105">
        <f>IF(YEAR(P$4)&gt;=FPFirstYear,IF(YEAR(P$4)&lt;=FPLastYear,P107+'Input|Step changes'!P44,""),"")</f>
        <v>391.77391354474292</v>
      </c>
      <c r="Q108" s="105">
        <f>IF(YEAR(Q$4)&gt;=FPFirstYear,IF(YEAR(Q$4)&lt;=FPLastYear,Q107+'Input|Step changes'!Q44,""),"")</f>
        <v>395.98694017072279</v>
      </c>
      <c r="R108" s="105">
        <f>IF(YEAR(R$4)&gt;=FPFirstYear,IF(YEAR(R$4)&lt;=FPLastYear,R107+'Input|Step changes'!R44,""),"")</f>
        <v>399.88689901154896</v>
      </c>
      <c r="S108" s="105">
        <f>IF(YEAR(S$4)&gt;=FPFirstYear,IF(YEAR(S$4)&lt;=FPLastYear,S107+'Input|Step changes'!S44,""),"")</f>
        <v>406.49760735897746</v>
      </c>
      <c r="T108" s="205"/>
    </row>
    <row r="109" spans="1:38">
      <c r="C109" s="83"/>
      <c r="J109" s="70"/>
      <c r="K109" s="70"/>
      <c r="L109" s="70"/>
      <c r="M109" s="70"/>
      <c r="N109" s="23"/>
      <c r="O109" s="23"/>
      <c r="P109" s="23"/>
      <c r="Q109" s="23"/>
      <c r="R109" s="23"/>
      <c r="S109" s="23"/>
      <c r="T109" s="202"/>
    </row>
    <row r="110" spans="1:38" customFormat="1" ht="12.75">
      <c r="A110" s="37"/>
      <c r="B110" s="43" t="s">
        <v>25</v>
      </c>
      <c r="C110" s="37"/>
      <c r="D110" s="37"/>
      <c r="E110" s="37"/>
      <c r="F110" s="38"/>
      <c r="G110" s="38"/>
      <c r="H110" s="38"/>
      <c r="I110" s="38"/>
      <c r="J110" s="39"/>
      <c r="K110" s="40"/>
      <c r="L110" s="39"/>
      <c r="M110" s="40"/>
      <c r="N110" s="39"/>
      <c r="O110" s="39"/>
      <c r="P110" s="39"/>
      <c r="Q110" s="39"/>
      <c r="R110" s="39"/>
      <c r="S110" s="39"/>
      <c r="T110" s="39"/>
      <c r="U110" s="39"/>
      <c r="V110" s="40"/>
      <c r="W110" s="40"/>
      <c r="X110" s="41"/>
      <c r="Y110" s="41"/>
      <c r="Z110" s="41"/>
      <c r="AA110" s="41"/>
      <c r="AB110" s="41"/>
      <c r="AC110" s="42"/>
      <c r="AD110" s="42"/>
    </row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  <row r="195" s="8" customFormat="1" hidden="1"/>
  </sheetData>
  <mergeCells count="1">
    <mergeCell ref="N3:S3"/>
  </mergeCells>
  <conditionalFormatting sqref="J10:S10">
    <cfRule type="expression" dxfId="43" priority="20">
      <formula>J$10=J$4</formula>
    </cfRule>
  </conditionalFormatting>
  <conditionalFormatting sqref="J12:S24">
    <cfRule type="cellIs" dxfId="42" priority="1" operator="equal">
      <formula>0</formula>
    </cfRule>
  </conditionalFormatting>
  <conditionalFormatting sqref="J25:S25">
    <cfRule type="expression" dxfId="41" priority="19">
      <formula>J$10=J$4</formula>
    </cfRule>
  </conditionalFormatting>
  <conditionalFormatting sqref="J26:S54">
    <cfRule type="cellIs" dxfId="40" priority="7" operator="equal">
      <formula>0</formula>
    </cfRule>
  </conditionalFormatting>
  <conditionalFormatting sqref="J54:S54">
    <cfRule type="expression" dxfId="39" priority="18">
      <formula>J$10=J$4</formula>
    </cfRule>
  </conditionalFormatting>
  <conditionalFormatting sqref="J58:S58 J72:S72 J94:S94">
    <cfRule type="expression" dxfId="38" priority="110">
      <formula>J$58=J$4</formula>
    </cfRule>
  </conditionalFormatting>
  <conditionalFormatting sqref="J61:S65">
    <cfRule type="cellIs" dxfId="37" priority="92" operator="equal">
      <formula>0</formula>
    </cfRule>
  </conditionalFormatting>
  <conditionalFormatting sqref="J67:S67">
    <cfRule type="expression" dxfId="36" priority="104">
      <formula>J$58=J$4</formula>
    </cfRule>
  </conditionalFormatting>
  <conditionalFormatting sqref="J67:S68">
    <cfRule type="cellIs" dxfId="35" priority="11" operator="equal">
      <formula>0</formula>
    </cfRule>
  </conditionalFormatting>
  <conditionalFormatting sqref="J74:S88 J96:S98">
    <cfRule type="cellIs" dxfId="34" priority="90" operator="equal">
      <formula>0</formula>
    </cfRule>
  </conditionalFormatting>
  <conditionalFormatting sqref="J90:S90">
    <cfRule type="expression" dxfId="33" priority="108">
      <formula>J$72=J$4</formula>
    </cfRule>
    <cfRule type="cellIs" dxfId="32" priority="109" operator="equal">
      <formula>0</formula>
    </cfRule>
  </conditionalFormatting>
  <conditionalFormatting sqref="J100:S100">
    <cfRule type="expression" dxfId="31" priority="106">
      <formula>J$94=J$4</formula>
    </cfRule>
    <cfRule type="cellIs" dxfId="30" priority="107" operator="equal">
      <formula>0</formula>
    </cfRule>
  </conditionalFormatting>
  <conditionalFormatting sqref="J104:S104">
    <cfRule type="expression" dxfId="29" priority="113">
      <formula>J$104=J$4</formula>
    </cfRule>
  </conditionalFormatting>
  <conditionalFormatting sqref="J106:S108">
    <cfRule type="cellIs" dxfId="28" priority="21" operator="equal">
      <formula>0</formula>
    </cfRule>
  </conditionalFormatting>
  <conditionalFormatting sqref="S1">
    <cfRule type="cellIs" dxfId="27" priority="99" operator="equal">
      <formula>"Check"</formula>
    </cfRule>
    <cfRule type="cellIs" dxfId="26" priority="100" operator="equal">
      <formula>"Ok"</formula>
    </cfRule>
  </conditionalFormatting>
  <conditionalFormatting sqref="V1">
    <cfRule type="cellIs" dxfId="25" priority="101" operator="equal">
      <formula>"Check"</formula>
    </cfRule>
    <cfRule type="cellIs" dxfId="24" priority="102" operator="equal">
      <formula>"Ok"</formula>
    </cfRule>
  </conditionalFormatting>
  <dataValidations disablePrompts="1" count="2">
    <dataValidation type="list" allowBlank="1" showInputMessage="1" showErrorMessage="1" sqref="F101 F99 F109 F91" xr:uid="{00000000-0002-0000-0600-000000000000}">
      <formula1>"Real 2010,Real 2011,Real 2012,Real 2013,Real 2014,Real 2015,Nominal"</formula1>
    </dataValidation>
    <dataValidation type="list" allowBlank="1" showInputMessage="1" showErrorMessage="1" sqref="F89" xr:uid="{00000000-0002-0000-0600-000001000000}">
      <formula1>$G$60:$G$66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24"/>
  <sheetViews>
    <sheetView workbookViewId="0"/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0" style="8" hidden="1" customWidth="1"/>
    <col min="48" max="16384" width="10.5" style="8" hidden="1"/>
  </cols>
  <sheetData>
    <row r="1" spans="1:26" s="32" customFormat="1" ht="15.7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26</v>
      </c>
      <c r="L1" s="33" t="s">
        <v>27</v>
      </c>
      <c r="M1" s="50" t="s">
        <v>28</v>
      </c>
      <c r="N1" s="11" t="s">
        <v>29</v>
      </c>
      <c r="O1" s="12" t="s">
        <v>30</v>
      </c>
      <c r="R1" s="33" t="s">
        <v>31</v>
      </c>
      <c r="S1" s="34" t="s">
        <v>102</v>
      </c>
      <c r="U1" s="132" t="s">
        <v>32</v>
      </c>
      <c r="V1" s="34" t="str">
        <f>'Check|List'!$S$1</f>
        <v>Ok</v>
      </c>
    </row>
    <row r="2" spans="1:26" s="36" customFormat="1" ht="13.5" thickBot="1">
      <c r="B2" s="35" t="str">
        <f>Index!$C$13</f>
        <v>Output | Models</v>
      </c>
      <c r="C2" s="35"/>
      <c r="D2" s="35"/>
      <c r="E2" s="35"/>
      <c r="F2" s="58"/>
      <c r="G2" s="58"/>
      <c r="H2" s="58"/>
      <c r="I2" s="58"/>
    </row>
    <row r="3" spans="1:26" s="59" customFormat="1">
      <c r="D3" s="127"/>
      <c r="E3" s="127"/>
      <c r="F3" s="127"/>
      <c r="G3" s="127"/>
      <c r="H3" s="127"/>
      <c r="I3" s="127"/>
      <c r="J3" s="121" t="s">
        <v>43</v>
      </c>
      <c r="K3" s="121"/>
      <c r="L3" s="121"/>
      <c r="M3" s="127"/>
      <c r="N3" s="210"/>
      <c r="O3" s="210"/>
      <c r="P3" s="210"/>
      <c r="Q3" s="210"/>
      <c r="R3" s="210"/>
      <c r="S3" s="210"/>
      <c r="T3" s="60"/>
      <c r="U3" s="60"/>
      <c r="V3" s="60"/>
      <c r="W3" s="60"/>
      <c r="X3" s="60"/>
      <c r="Y3" s="60"/>
      <c r="Z3" s="60"/>
    </row>
    <row r="4" spans="1:26" customFormat="1">
      <c r="A4" s="61"/>
      <c r="B4" s="61"/>
      <c r="C4" s="61"/>
      <c r="D4" s="62" t="s">
        <v>35</v>
      </c>
      <c r="E4" s="62" t="s">
        <v>61</v>
      </c>
      <c r="F4" s="63" t="s">
        <v>64</v>
      </c>
      <c r="G4" s="64"/>
      <c r="H4" s="64"/>
      <c r="I4" s="64"/>
      <c r="J4" s="110">
        <f>DATE(PPFirstYear,MONTH('Input|General'!$G$9),1)</f>
        <v>44348</v>
      </c>
      <c r="K4" s="110">
        <f>DATE(PPFirstYear+1,MONTH('Input|General'!$G$9),1)</f>
        <v>44713</v>
      </c>
      <c r="L4" s="110">
        <f>DATE(PPFirstYear+2,MONTH('Input|General'!$G$9),1)</f>
        <v>45078</v>
      </c>
      <c r="M4" s="110">
        <f>DATE(PPFirstYear+3,MONTH('Input|General'!$G$9),1)</f>
        <v>45444</v>
      </c>
      <c r="N4" s="110">
        <f>DATE(PPFirstYear+4,MONTH('Input|General'!$G$9),1)</f>
        <v>45809</v>
      </c>
      <c r="O4" s="110">
        <f>DATE(PPFirstYear+5,MONTH('Input|General'!$G$9),1)</f>
        <v>46174</v>
      </c>
      <c r="P4" s="110">
        <f>DATE(PPFirstYear+6,MONTH('Input|General'!$G$9),1)</f>
        <v>46539</v>
      </c>
      <c r="Q4" s="110">
        <f>DATE(PPFirstYear+7,MONTH('Input|General'!$G$9),1)</f>
        <v>46905</v>
      </c>
      <c r="R4" s="110">
        <f>DATE(PPFirstYear+8,MONTH('Input|General'!$G$9),1)</f>
        <v>47270</v>
      </c>
      <c r="S4" s="110">
        <f>DATE(PPFirstYear+9,MONTH('Input|General'!$G$9),1)</f>
        <v>47635</v>
      </c>
      <c r="T4" s="65"/>
      <c r="U4" s="65"/>
      <c r="V4" s="66"/>
      <c r="W4" s="66"/>
    </row>
    <row r="5" spans="1:26" s="6" customFormat="1" ht="3" customHeight="1">
      <c r="D5" s="27"/>
      <c r="E5" s="27"/>
      <c r="F5" s="27"/>
      <c r="G5" s="27"/>
      <c r="H5" s="27"/>
      <c r="I5" s="27"/>
    </row>
    <row r="6" spans="1:26" s="6" customFormat="1" ht="9" customHeight="1">
      <c r="D6" s="27"/>
      <c r="E6" s="27"/>
      <c r="F6" s="27"/>
      <c r="G6" s="27"/>
      <c r="H6" s="27"/>
      <c r="I6" s="27"/>
    </row>
    <row r="7" spans="1:26" s="6" customFormat="1" ht="3" customHeight="1">
      <c r="D7" s="27"/>
      <c r="E7" s="27"/>
      <c r="F7" s="27"/>
      <c r="G7" s="27"/>
      <c r="H7" s="27"/>
      <c r="I7" s="27"/>
    </row>
    <row r="8" spans="1:26" customFormat="1" ht="12.75">
      <c r="A8" s="37"/>
      <c r="B8" s="43" t="s">
        <v>157</v>
      </c>
      <c r="C8" s="37"/>
      <c r="D8" s="37"/>
      <c r="E8" s="57" t="s">
        <v>52</v>
      </c>
      <c r="F8" s="146">
        <f>DATE(PPLastYear,MONTH('Input|General'!$G$9),1)</f>
        <v>45809</v>
      </c>
      <c r="G8" s="38"/>
      <c r="H8" s="38"/>
      <c r="I8" s="38"/>
      <c r="J8" s="104" t="s">
        <v>158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</row>
    <row r="9" spans="1:26" ht="4.5" customHeight="1"/>
    <row r="10" spans="1:26">
      <c r="M10" s="70"/>
      <c r="N10" s="70"/>
      <c r="O10" s="70"/>
      <c r="P10" s="70"/>
      <c r="Q10" s="70"/>
      <c r="R10" s="70"/>
      <c r="S10" s="70"/>
    </row>
    <row r="11" spans="1:26">
      <c r="C11" s="9" t="s">
        <v>159</v>
      </c>
      <c r="D11" s="21" t="s">
        <v>35</v>
      </c>
      <c r="E11" s="21" t="s">
        <v>61</v>
      </c>
      <c r="F11" s="21" t="s">
        <v>64</v>
      </c>
      <c r="H11" s="21"/>
      <c r="I11" s="21"/>
      <c r="J11" s="116" t="str">
        <f>IF(YEAR(J$4)&gt;='Input|General'!$G$13,IF(YEAR(J$4)&lt;='Input|General'!$G$14,J$4,""),"")</f>
        <v/>
      </c>
      <c r="K11" s="116" t="str">
        <f>IF(YEAR(K$4)&gt;='Input|General'!$G$13,IF(YEAR(K$4)&lt;='Input|General'!$G$14,K$4,""),"")</f>
        <v/>
      </c>
      <c r="L11" s="116" t="str">
        <f>IF(YEAR(L$4)&gt;='Input|General'!$G$13,IF(YEAR(L$4)&lt;='Input|General'!$G$14,L$4,""),"")</f>
        <v/>
      </c>
      <c r="M11" s="116" t="str">
        <f>IF(YEAR(M$4)&gt;='Input|General'!$G$13,IF(YEAR(M$4)&lt;='Input|General'!$G$14,M$4,""),"")</f>
        <v/>
      </c>
      <c r="N11" s="116" t="str">
        <f>IF(YEAR(N$4)&gt;='Input|General'!$G$13,IF(YEAR(N$4)&lt;='Input|General'!$G$14,N$4,""),"")</f>
        <v/>
      </c>
      <c r="O11" s="116">
        <f>IF(YEAR(O$4)&gt;='Input|General'!$G$13,IF(YEAR(O$4)&lt;='Input|General'!$G$14,O$4,""),"")</f>
        <v>46174</v>
      </c>
      <c r="P11" s="116">
        <f>IF(YEAR(P$4)&gt;='Input|General'!$G$13,IF(YEAR(P$4)&lt;='Input|General'!$G$14,P$4,""),"")</f>
        <v>46539</v>
      </c>
      <c r="Q11" s="116">
        <f>IF(YEAR(Q$4)&gt;='Input|General'!$G$13,IF(YEAR(Q$4)&lt;='Input|General'!$G$14,Q$4,""),"")</f>
        <v>46905</v>
      </c>
      <c r="R11" s="116">
        <f>IF(YEAR(R$4)&gt;='Input|General'!$G$13,IF(YEAR(R$4)&lt;='Input|General'!$G$14,R$4,""),"")</f>
        <v>47270</v>
      </c>
      <c r="S11" s="116">
        <f>IF(YEAR(S$4)&gt;='Input|General'!$G$13,IF(YEAR(S$4)&lt;='Input|General'!$G$14,S$4,""),"")</f>
        <v>47635</v>
      </c>
      <c r="U11" s="93" t="s">
        <v>67</v>
      </c>
      <c r="V11" s="94"/>
    </row>
    <row r="12" spans="1:26">
      <c r="C12" s="9"/>
      <c r="D12" s="21"/>
      <c r="E12" s="21"/>
      <c r="F12" s="21"/>
      <c r="H12" s="21"/>
      <c r="I12" s="21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U12" s="9"/>
    </row>
    <row r="13" spans="1:26">
      <c r="C13" s="15" t="str">
        <f>'Calc|Opex forecast'!C106</f>
        <v>Total forecast opex, excluding category specific forecasts</v>
      </c>
      <c r="D13" s="28" t="s">
        <v>160</v>
      </c>
      <c r="E13" s="16" t="str">
        <f>$E$8</f>
        <v>$millions</v>
      </c>
      <c r="F13" s="115">
        <f>$F$8</f>
        <v>45809</v>
      </c>
      <c r="H13" s="21"/>
      <c r="I13" s="21"/>
      <c r="J13" s="125">
        <f>IF(J11="",0,'Calc|Opex forecast'!J106*IF('Calc|Opex forecast'!$F$106="nominal",LOOKUP($F13,Nominal_to_Real,'Input|Rate of change'!P$26:P$31),INDEX('Input|Rate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0</v>
      </c>
      <c r="K13" s="125">
        <f>IF(K11="",0,'Calc|Opex forecast'!K106*IF('Calc|Opex forecast'!$F$106="nominal",LOOKUP($F13,Nominal_to_Real,'Input|Rate of change'!Q$26:Q$31),INDEX('Input|Rate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0</v>
      </c>
      <c r="L13" s="125">
        <f>IF(L11="",0,'Calc|Opex forecast'!L106*IF('Calc|Opex forecast'!$F$106="nominal",LOOKUP($F13,Nominal_to_Real,'Input|Rate of change'!R$26:R$31),INDEX('Input|Rate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0</v>
      </c>
      <c r="M13" s="125">
        <f>IF(M11="",0,'Calc|Opex forecast'!M106*IF('Calc|Opex forecast'!$F$106="nominal",LOOKUP($F13,Nominal_to_Real,'Input|Rate of change'!S$26:S$31),INDEX('Input|Rate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0</v>
      </c>
      <c r="N13" s="125">
        <f>IF(N11="",0,'Calc|Opex forecast'!N106*IF('Calc|Opex forecast'!$F$106="nominal",LOOKUP($F13,Nominal_to_Real,'Input|Rate of change'!T$26:T$31),INDEX('Input|Rate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0</v>
      </c>
      <c r="O13" s="125">
        <f>IF(O11="",0,'Calc|Opex forecast'!O106*IF('Calc|Opex forecast'!$F$106="nominal",LOOKUP($F13,Nominal_to_Real,'Input|Rate of change'!U$26:U$31),INDEX('Input|Rate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377.39449155703488</v>
      </c>
      <c r="P13" s="125">
        <f>IF(P11="",0,'Calc|Opex forecast'!P106*IF('Calc|Opex forecast'!$F$106="nominal",LOOKUP($F13,Nominal_to_Real,'Input|Rate of change'!V$26:V$31),INDEX('Input|Rate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386.44333351663181</v>
      </c>
      <c r="Q13" s="125">
        <f>IF(Q11="",0,'Calc|Opex forecast'!Q106*IF('Calc|Opex forecast'!$F$106="nominal",LOOKUP($F13,Nominal_to_Real,'Input|Rate of change'!W$26:W$31),INDEX('Input|Rate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390.61159190587392</v>
      </c>
      <c r="R13" s="125">
        <f>IF(R11="",0,'Calc|Opex forecast'!R106*IF('Calc|Opex forecast'!$F$106="nominal",LOOKUP($F13,Nominal_to_Real,'Input|Rate of change'!X$26:X$31),INDEX('Input|Rate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394.45857017090697</v>
      </c>
      <c r="S13" s="125">
        <f>IF(S11="",0,'Calc|Opex forecast'!S106*IF('Calc|Opex forecast'!$F$106="nominal",LOOKUP($F13,Nominal_to_Real,'Input|Rate of change'!Y$26:Y$31),INDEX('Input|Rate of change'!$C$14:$O$21,MATCH('Calc|Opex forecast'!$F$106,'Input|Rate of change'!$C$14:$C$21,0),MATCH('Output|Models'!$F13,'Input|Rate of change'!$C$14:$O$14,0)))*IF('Calc|Opex forecast'!$E$106="$millions",1000000,IF('Calc|Opex forecast'!$E$106="$000",1000,1))/IF($E13="$millions",1000000,IF($E13="$000",1000,1)))</f>
        <v>400.99741045277062</v>
      </c>
      <c r="T13" s="15"/>
      <c r="U13" s="106"/>
    </row>
    <row r="14" spans="1:26">
      <c r="C14" s="15" t="str">
        <f>'Input|Step changes'!C34</f>
        <v>Enactment of the Small Compensation Claims Regime</v>
      </c>
      <c r="D14" s="28" t="s">
        <v>160</v>
      </c>
      <c r="E14" s="16" t="str">
        <f t="shared" ref="E14:E16" si="0">$E$8</f>
        <v>$millions</v>
      </c>
      <c r="F14" s="115">
        <f t="shared" ref="F14:F16" si="1">$F$8</f>
        <v>45809</v>
      </c>
      <c r="H14" s="21"/>
      <c r="I14" s="21"/>
      <c r="J14" s="125">
        <f>IF(J$11="",0,'Calc|Opex forecast'!J96*IF('Calc|Opex forecast'!$F96="nominal",LOOKUP($F14,Nominal_to_Real,'Input|Rate of change'!P$26:P$31),INDEX('Input|Rate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0</v>
      </c>
      <c r="K14" s="125">
        <f>IF(K$11="",0,'Calc|Opex forecast'!K96*IF('Calc|Opex forecast'!$F96="nominal",LOOKUP($F14,Nominal_to_Real,'Input|Rate of change'!Q$26:Q$31),INDEX('Input|Rate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0</v>
      </c>
      <c r="L14" s="125">
        <f>IF(L$11="",0,'Calc|Opex forecast'!L96*IF('Calc|Opex forecast'!$F96="nominal",LOOKUP($F14,Nominal_to_Real,'Input|Rate of change'!R$26:R$31),INDEX('Input|Rate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0</v>
      </c>
      <c r="M14" s="125">
        <f>IF(M$11="",0,'Calc|Opex forecast'!M96*IF('Calc|Opex forecast'!$F96="nominal",LOOKUP($F14,Nominal_to_Real,'Input|Rate of change'!S$26:S$31),INDEX('Input|Rate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0</v>
      </c>
      <c r="N14" s="125">
        <f>IF(N$11="",0,'Calc|Opex forecast'!N96*IF('Calc|Opex forecast'!$F96="nominal",LOOKUP($F14,Nominal_to_Real,'Input|Rate of change'!T$26:T$31),INDEX('Input|Rate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0</v>
      </c>
      <c r="O14" s="125">
        <f>IF(O$11="",0,'Calc|Opex forecast'!O96*IF('Calc|Opex forecast'!$F96="nominal",LOOKUP($F14,Nominal_to_Real,'Input|Rate of change'!U$26:U$31),INDEX('Input|Rate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9.4893299799722293</v>
      </c>
      <c r="P14" s="125">
        <f>IF(P$11="",0,'Calc|Opex forecast'!P96*IF('Calc|Opex forecast'!$F96="nominal",LOOKUP($F14,Nominal_to_Real,'Input|Rate of change'!V$26:V$31),INDEX('Input|Rate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2.6297133740427463</v>
      </c>
      <c r="Q14" s="125">
        <f>IF(Q$11="",0,'Calc|Opex forecast'!Q96*IF('Calc|Opex forecast'!$F96="nominal",LOOKUP($F14,Nominal_to_Real,'Input|Rate of change'!W$26:W$31),INDEX('Input|Rate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2.6297133740427463</v>
      </c>
      <c r="R14" s="125">
        <f>IF(R$11="",0,'Calc|Opex forecast'!R96*IF('Calc|Opex forecast'!$F96="nominal",LOOKUP($F14,Nominal_to_Real,'Input|Rate of change'!X$26:X$31),INDEX('Input|Rate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2.6297133740427463</v>
      </c>
      <c r="S14" s="125">
        <f>IF(S$11="",0,'Calc|Opex forecast'!S96*IF('Calc|Opex forecast'!$F96="nominal",LOOKUP($F14,Nominal_to_Real,'Input|Rate of change'!Y$26:Y$31),INDEX('Input|Rate of change'!$C$14:$O$21,MATCH('Calc|Opex forecast'!$F96,'Input|Rate of change'!$C$14:$C$21,0),MATCH('Output|Models'!$F14,'Input|Rate of change'!$C$14:$O$14,0)))*IF('Calc|Opex forecast'!$E96="$millions",1000000,IF('Calc|Opex forecast'!$E96="$000",1000,1))/IF($E14="$millions",1000000,IF($E14="$000",1000,1)))</f>
        <v>2.6297133740427463</v>
      </c>
      <c r="T14" s="15"/>
      <c r="U14" s="106"/>
    </row>
    <row r="15" spans="1:26">
      <c r="C15" s="15">
        <f>'Input|Step changes'!C35</f>
        <v>0</v>
      </c>
      <c r="D15" s="28" t="s">
        <v>160</v>
      </c>
      <c r="E15" s="16" t="str">
        <f t="shared" si="0"/>
        <v>$millions</v>
      </c>
      <c r="F15" s="115">
        <f t="shared" si="1"/>
        <v>45809</v>
      </c>
      <c r="H15" s="21"/>
      <c r="I15" s="21"/>
      <c r="J15" s="125">
        <f>IF(J$11="",0,'Calc|Opex forecast'!J97*IF('Calc|Opex forecast'!$F97="nominal",LOOKUP($F15,Nominal_to_Real,'Input|Rate of change'!P$26:P$31),INDEX('Input|Rate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K15" s="125">
        <f>IF(K$11="",0,'Calc|Opex forecast'!K97*IF('Calc|Opex forecast'!$F97="nominal",LOOKUP($F15,Nominal_to_Real,'Input|Rate of change'!Q$26:Q$31),INDEX('Input|Rate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L15" s="125">
        <f>IF(L$11="",0,'Calc|Opex forecast'!L97*IF('Calc|Opex forecast'!$F97="nominal",LOOKUP($F15,Nominal_to_Real,'Input|Rate of change'!R$26:R$31),INDEX('Input|Rate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M15" s="125">
        <f>IF(M$11="",0,'Calc|Opex forecast'!M97*IF('Calc|Opex forecast'!$F97="nominal",LOOKUP($F15,Nominal_to_Real,'Input|Rate of change'!S$26:S$31),INDEX('Input|Rate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N15" s="125">
        <f>IF(N$11="",0,'Calc|Opex forecast'!N97*IF('Calc|Opex forecast'!$F97="nominal",LOOKUP($F15,Nominal_to_Real,'Input|Rate of change'!T$26:T$31),INDEX('Input|Rate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O15" s="125">
        <f>IF(O$11="",0,'Calc|Opex forecast'!O97*IF('Calc|Opex forecast'!$F97="nominal",LOOKUP($F15,Nominal_to_Real,'Input|Rate of change'!U$26:U$31),INDEX('Input|Rate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P15" s="125">
        <f>IF(P$11="",0,'Calc|Opex forecast'!P97*IF('Calc|Opex forecast'!$F97="nominal",LOOKUP($F15,Nominal_to_Real,'Input|Rate of change'!V$26:V$31),INDEX('Input|Rate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Q15" s="125">
        <f>IF(Q$11="",0,'Calc|Opex forecast'!Q97*IF('Calc|Opex forecast'!$F97="nominal",LOOKUP($F15,Nominal_to_Real,'Input|Rate of change'!W$26:W$31),INDEX('Input|Rate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R15" s="125">
        <f>IF(R$11="",0,'Calc|Opex forecast'!R97*IF('Calc|Opex forecast'!$F97="nominal",LOOKUP($F15,Nominal_to_Real,'Input|Rate of change'!X$26:X$31),INDEX('Input|Rate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S15" s="125">
        <f>IF(S$11="",0,'Calc|Opex forecast'!S97*IF('Calc|Opex forecast'!$F97="nominal",LOOKUP($F15,Nominal_to_Real,'Input|Rate of change'!Y$26:Y$31),INDEX('Input|Rate of change'!$C$14:$O$21,MATCH('Calc|Opex forecast'!$F97,'Input|Rate of change'!$C$14:$C$21,0),MATCH('Output|Models'!$F15,'Input|Rate of change'!$C$14:$O$14,0)))*IF('Calc|Opex forecast'!$E97="$millions",1000000,IF('Calc|Opex forecast'!$E97="$000",1000,1))/IF($E15="$millions",1000000,IF($E15="$000",1000,1)))</f>
        <v>0</v>
      </c>
      <c r="T15" s="15"/>
      <c r="U15" s="106"/>
    </row>
    <row r="16" spans="1:26">
      <c r="C16" s="15">
        <f>'Input|Step changes'!C36</f>
        <v>0</v>
      </c>
      <c r="D16" s="28" t="s">
        <v>160</v>
      </c>
      <c r="E16" s="16" t="str">
        <f t="shared" si="0"/>
        <v>$millions</v>
      </c>
      <c r="F16" s="115">
        <f t="shared" si="1"/>
        <v>45809</v>
      </c>
      <c r="H16" s="21"/>
      <c r="I16" s="21"/>
      <c r="J16" s="125">
        <f>IF(J$11="",0,'Calc|Opex forecast'!J98*IF('Calc|Opex forecast'!$F98="nominal",LOOKUP($F16,Nominal_to_Real,'Input|Rate of change'!P$26:P$31),INDEX('Input|Rate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K16" s="125">
        <f>IF(K$11="",0,'Calc|Opex forecast'!K98*IF('Calc|Opex forecast'!$F98="nominal",LOOKUP($F16,Nominal_to_Real,'Input|Rate of change'!Q$26:Q$31),INDEX('Input|Rate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L16" s="125">
        <f>IF(L$11="",0,'Calc|Opex forecast'!L98*IF('Calc|Opex forecast'!$F98="nominal",LOOKUP($F16,Nominal_to_Real,'Input|Rate of change'!R$26:R$31),INDEX('Input|Rate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M16" s="125">
        <f>IF(M$11="",0,'Calc|Opex forecast'!M98*IF('Calc|Opex forecast'!$F98="nominal",LOOKUP($F16,Nominal_to_Real,'Input|Rate of change'!S$26:S$31),INDEX('Input|Rate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N16" s="125">
        <f>IF(N$11="",0,'Calc|Opex forecast'!N98*IF('Calc|Opex forecast'!$F98="nominal",LOOKUP($F16,Nominal_to_Real,'Input|Rate of change'!T$26:T$31),INDEX('Input|Rate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O16" s="125">
        <f>IF(O$11="",0,'Calc|Opex forecast'!O98*IF('Calc|Opex forecast'!$F98="nominal",LOOKUP($F16,Nominal_to_Real,'Input|Rate of change'!U$26:U$31),INDEX('Input|Rate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P16" s="125">
        <f>IF(P$11="",0,'Calc|Opex forecast'!P98*IF('Calc|Opex forecast'!$F98="nominal",LOOKUP($F16,Nominal_to_Real,'Input|Rate of change'!V$26:V$31),INDEX('Input|Rate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Q16" s="125">
        <f>IF(Q$11="",0,'Calc|Opex forecast'!Q98*IF('Calc|Opex forecast'!$F98="nominal",LOOKUP($F16,Nominal_to_Real,'Input|Rate of change'!W$26:W$31),INDEX('Input|Rate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R16" s="125">
        <f>IF(R$11="",0,'Calc|Opex forecast'!R98*IF('Calc|Opex forecast'!$F98="nominal",LOOKUP($F16,Nominal_to_Real,'Input|Rate of change'!X$26:X$31),INDEX('Input|Rate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S16" s="125">
        <f>IF(S$11="",0,'Calc|Opex forecast'!S98*IF('Calc|Opex forecast'!$F98="nominal",LOOKUP($F16,Nominal_to_Real,'Input|Rate of change'!Y$26:Y$31),INDEX('Input|Rate of change'!$C$14:$O$21,MATCH('Calc|Opex forecast'!$F98,'Input|Rate of change'!$C$14:$C$21,0),MATCH('Output|Models'!$F16,'Input|Rate of change'!$C$14:$O$14,0)))*IF('Calc|Opex forecast'!$E98="$millions",1000000,IF('Calc|Opex forecast'!$E98="$000",1000,1))/IF($E16="$millions",1000000,IF($E16="$000",1000,1)))</f>
        <v>0</v>
      </c>
      <c r="T16" s="15"/>
      <c r="U16" s="147"/>
    </row>
    <row r="17" spans="1:23">
      <c r="D17" s="28"/>
      <c r="H17" s="21"/>
      <c r="I17" s="21"/>
      <c r="S17" s="23"/>
    </row>
    <row r="18" spans="1:23" customFormat="1" ht="12.75">
      <c r="A18" s="37"/>
      <c r="B18" s="43" t="s">
        <v>25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</row>
    <row r="24" spans="1:23" hidden="1">
      <c r="M24" s="101"/>
      <c r="N24" s="101"/>
      <c r="O24" s="101"/>
      <c r="P24" s="101"/>
      <c r="Q24" s="101"/>
      <c r="R24" s="101"/>
      <c r="S24" s="101"/>
    </row>
  </sheetData>
  <mergeCells count="1">
    <mergeCell ref="N3:S3"/>
  </mergeCells>
  <conditionalFormatting sqref="J11:S11">
    <cfRule type="expression" dxfId="23" priority="7">
      <formula>J$11=J$4</formula>
    </cfRule>
  </conditionalFormatting>
  <conditionalFormatting sqref="J13:S16">
    <cfRule type="expression" dxfId="22" priority="3">
      <formula>AND($C13=0,J$11=J$4)</formula>
    </cfRule>
    <cfRule type="expression" dxfId="21" priority="4">
      <formula>NOT(J$11=J$4)</formula>
    </cfRule>
    <cfRule type="expression" dxfId="20" priority="5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conditionalFormatting sqref="V1">
    <cfRule type="cellIs" dxfId="17" priority="13" operator="equal">
      <formula>"Check"</formula>
    </cfRule>
    <cfRule type="cellIs" dxfId="16" priority="14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U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6D28-CEA1-4C06-A4CC-85E0EDC71D29}">
  <sheetPr>
    <tabColor theme="5" tint="0.59999389629810485"/>
  </sheetPr>
  <dimension ref="A1:X97"/>
  <sheetViews>
    <sheetView workbookViewId="0"/>
  </sheetViews>
  <sheetFormatPr defaultColWidth="0" defaultRowHeight="0" customHeight="1" zeroHeight="1"/>
  <cols>
    <col min="1" max="2" width="1.5" style="8" customWidth="1"/>
    <col min="3" max="3" width="57.6640625" style="8" customWidth="1"/>
    <col min="4" max="4" width="69" style="16" bestFit="1" customWidth="1"/>
    <col min="5" max="5" width="68.83203125" style="16" bestFit="1" customWidth="1"/>
    <col min="6" max="6" width="21.33203125" style="16" customWidth="1"/>
    <col min="7" max="7" width="21.33203125" style="8" customWidth="1"/>
    <col min="8" max="8" width="10.83203125" style="8" customWidth="1"/>
    <col min="9" max="15" width="10.5" style="8" hidden="1" customWidth="1"/>
    <col min="16" max="24" width="0" style="8" hidden="1" customWidth="1"/>
    <col min="25" max="16384" width="10.5" style="8" hidden="1"/>
  </cols>
  <sheetData>
    <row r="1" spans="1:15" s="32" customFormat="1" ht="16.5" thickBot="1">
      <c r="B1" s="29" t="str">
        <f>Index!$B$1</f>
        <v>AER opex model</v>
      </c>
      <c r="C1" s="29"/>
      <c r="D1" s="29"/>
      <c r="E1" s="31" t="s">
        <v>26</v>
      </c>
      <c r="F1" s="31"/>
      <c r="G1" s="36"/>
      <c r="H1" s="36"/>
    </row>
    <row r="2" spans="1:15" s="36" customFormat="1" ht="13.5" thickBot="1">
      <c r="B2" s="35" t="str">
        <f>Index!$C$16</f>
        <v>Source data</v>
      </c>
      <c r="C2" s="35"/>
      <c r="D2" s="35"/>
    </row>
    <row r="3" spans="1:15" s="6" customFormat="1" ht="3" customHeight="1">
      <c r="D3" s="27"/>
      <c r="E3" s="27"/>
      <c r="F3" s="27"/>
    </row>
    <row r="4" spans="1:15" customFormat="1" ht="12.75">
      <c r="A4" s="37"/>
      <c r="B4" s="43"/>
      <c r="C4" s="37"/>
      <c r="D4" s="37"/>
      <c r="E4" s="37"/>
      <c r="F4" s="37"/>
      <c r="G4" s="39"/>
      <c r="H4" s="40"/>
      <c r="I4" s="41"/>
      <c r="J4" s="41"/>
      <c r="K4" s="41"/>
      <c r="L4" s="41"/>
      <c r="M4" s="41"/>
      <c r="N4" s="42"/>
      <c r="O4" s="42"/>
    </row>
    <row r="5" spans="1:15" ht="11.25">
      <c r="D5" s="21"/>
      <c r="E5" s="21"/>
      <c r="F5" s="21"/>
    </row>
    <row r="6" spans="1:15" customFormat="1" ht="12.75">
      <c r="A6" s="37"/>
      <c r="B6" s="43" t="s">
        <v>87</v>
      </c>
      <c r="C6" s="37"/>
      <c r="D6" s="37"/>
      <c r="E6" s="37"/>
      <c r="F6" s="37"/>
      <c r="G6" s="39"/>
      <c r="H6" s="40"/>
      <c r="I6" s="41"/>
      <c r="J6" s="41"/>
      <c r="K6" s="41"/>
      <c r="L6" s="41"/>
      <c r="M6" s="41"/>
      <c r="N6" s="42"/>
      <c r="O6" s="42"/>
    </row>
    <row r="7" spans="1:15" ht="11.25">
      <c r="D7" s="14" t="s">
        <v>161</v>
      </c>
      <c r="E7" s="14" t="s">
        <v>162</v>
      </c>
    </row>
    <row r="8" spans="1:15" ht="11.25">
      <c r="C8" s="13"/>
      <c r="D8" s="162"/>
      <c r="E8" s="21"/>
      <c r="F8" s="21"/>
    </row>
    <row r="9" spans="1:15" ht="22.5">
      <c r="C9" s="8" t="s">
        <v>163</v>
      </c>
      <c r="D9" s="166" t="s">
        <v>164</v>
      </c>
      <c r="E9" s="194" t="s">
        <v>165</v>
      </c>
      <c r="F9" s="194"/>
    </row>
    <row r="10" spans="1:15" ht="22.5">
      <c r="C10" s="8" t="s">
        <v>166</v>
      </c>
      <c r="D10" s="164" t="s">
        <v>167</v>
      </c>
      <c r="E10" s="194" t="s">
        <v>168</v>
      </c>
      <c r="F10" s="194"/>
    </row>
    <row r="11" spans="1:15" ht="11.25">
      <c r="D11" s="102"/>
      <c r="E11" s="8"/>
      <c r="F11" s="8"/>
    </row>
    <row r="12" spans="1:15" customFormat="1" ht="12.75">
      <c r="A12" s="37"/>
      <c r="B12" s="43" t="s">
        <v>169</v>
      </c>
      <c r="C12" s="37"/>
      <c r="D12" s="37"/>
      <c r="E12" s="37"/>
      <c r="F12" s="37"/>
      <c r="G12" s="39"/>
      <c r="H12" s="40"/>
      <c r="I12" s="41"/>
      <c r="J12" s="41"/>
      <c r="K12" s="41"/>
      <c r="L12" s="41"/>
      <c r="M12" s="41"/>
      <c r="N12" s="42"/>
      <c r="O12" s="42"/>
    </row>
    <row r="13" spans="1:15" ht="11.25">
      <c r="C13" s="9"/>
      <c r="D13" s="102"/>
      <c r="E13" s="8"/>
      <c r="F13" s="8"/>
    </row>
    <row r="14" spans="1:15" ht="11.25">
      <c r="C14" s="9" t="s">
        <v>170</v>
      </c>
      <c r="D14" s="102"/>
      <c r="E14" s="8"/>
      <c r="F14" s="8"/>
    </row>
    <row r="15" spans="1:15" ht="11.25">
      <c r="C15" s="9"/>
      <c r="D15" s="102"/>
      <c r="E15" s="8"/>
      <c r="F15" s="8"/>
    </row>
    <row r="16" spans="1:15" ht="11.25">
      <c r="C16" s="8" t="s">
        <v>171</v>
      </c>
      <c r="D16" s="164" t="s">
        <v>172</v>
      </c>
      <c r="E16" s="8"/>
      <c r="F16" s="8"/>
    </row>
    <row r="17" spans="3:8" ht="11.25">
      <c r="D17" s="8"/>
      <c r="E17" s="8"/>
      <c r="F17" s="8"/>
    </row>
    <row r="18" spans="3:8" ht="11.25">
      <c r="C18" s="9" t="s">
        <v>169</v>
      </c>
      <c r="D18" s="8"/>
      <c r="E18" s="8"/>
      <c r="F18" s="8"/>
    </row>
    <row r="19" spans="3:8" ht="11.25">
      <c r="D19" s="8"/>
      <c r="E19" s="8"/>
      <c r="F19" s="8"/>
    </row>
    <row r="20" spans="3:8" ht="11.25">
      <c r="C20" s="8" t="s">
        <v>173</v>
      </c>
      <c r="D20" s="166" t="s">
        <v>174</v>
      </c>
      <c r="E20" s="8"/>
      <c r="F20" s="8"/>
    </row>
    <row r="21" spans="3:8" ht="11.25">
      <c r="C21" s="8" t="s">
        <v>175</v>
      </c>
      <c r="D21" s="166" t="s">
        <v>176</v>
      </c>
      <c r="E21" s="8"/>
      <c r="F21" s="8"/>
    </row>
    <row r="22" spans="3:8" ht="11.25">
      <c r="D22" s="166"/>
      <c r="E22" s="8"/>
      <c r="F22" s="8"/>
    </row>
    <row r="23" spans="3:8" ht="11.25">
      <c r="C23" s="9" t="s">
        <v>177</v>
      </c>
      <c r="D23" s="166"/>
      <c r="E23" s="8"/>
      <c r="F23" s="201" t="s">
        <v>178</v>
      </c>
      <c r="G23" s="201" t="s">
        <v>179</v>
      </c>
    </row>
    <row r="24" spans="3:8" ht="11.25">
      <c r="D24" s="166"/>
      <c r="E24" s="8"/>
      <c r="F24" s="8"/>
    </row>
    <row r="25" spans="3:8" ht="11.25">
      <c r="C25" s="8" t="s">
        <v>82</v>
      </c>
      <c r="D25" s="165"/>
      <c r="E25" s="8"/>
      <c r="F25" s="14"/>
    </row>
    <row r="26" spans="3:8" ht="11.25">
      <c r="C26" s="81" t="s">
        <v>180</v>
      </c>
      <c r="D26" s="166" t="s">
        <v>181</v>
      </c>
      <c r="E26" s="102" t="s">
        <v>182</v>
      </c>
      <c r="F26" s="171">
        <v>14.382479442022714</v>
      </c>
      <c r="G26" s="195">
        <v>16.288027852844511</v>
      </c>
      <c r="H26" s="176"/>
    </row>
    <row r="27" spans="3:8" ht="11.25">
      <c r="C27" s="81" t="s">
        <v>183</v>
      </c>
      <c r="D27" s="166" t="s">
        <v>181</v>
      </c>
      <c r="E27" s="102" t="s">
        <v>184</v>
      </c>
      <c r="F27" s="171">
        <v>2.8587574830741018</v>
      </c>
      <c r="G27" s="195">
        <v>3.2375169870077745</v>
      </c>
      <c r="H27" s="176"/>
    </row>
    <row r="28" spans="3:8" ht="11.25">
      <c r="C28" s="81" t="s">
        <v>185</v>
      </c>
      <c r="D28" s="166" t="s">
        <v>181</v>
      </c>
      <c r="E28" s="102" t="s">
        <v>186</v>
      </c>
      <c r="F28" s="171">
        <v>14.31061312039003</v>
      </c>
      <c r="G28" s="195">
        <v>16.20663989375489</v>
      </c>
      <c r="H28" s="176"/>
    </row>
    <row r="29" spans="3:8" ht="11.25">
      <c r="C29" s="81" t="s">
        <v>187</v>
      </c>
      <c r="D29" s="166" t="s">
        <v>181</v>
      </c>
      <c r="E29" s="8" t="s">
        <v>188</v>
      </c>
      <c r="F29" s="195">
        <v>1.8295595569505829</v>
      </c>
      <c r="G29" s="195">
        <v>2.0719596466086081</v>
      </c>
      <c r="H29" s="176"/>
    </row>
    <row r="30" spans="3:8" ht="11.25">
      <c r="C30" s="81" t="s">
        <v>189</v>
      </c>
      <c r="D30" s="166" t="s">
        <v>181</v>
      </c>
      <c r="E30" s="8" t="s">
        <v>190</v>
      </c>
      <c r="F30" s="195">
        <v>1.0256119002330975</v>
      </c>
      <c r="G30" s="195">
        <v>1.1614961985202812</v>
      </c>
      <c r="H30" s="176"/>
    </row>
    <row r="31" spans="3:8" ht="11.25">
      <c r="C31" s="81" t="s">
        <v>191</v>
      </c>
      <c r="D31" s="166" t="s">
        <v>181</v>
      </c>
      <c r="E31" s="8" t="s">
        <v>192</v>
      </c>
      <c r="F31" s="171">
        <v>10.062040000000001</v>
      </c>
      <c r="G31" s="195">
        <v>11.395169270854623</v>
      </c>
      <c r="H31" s="176"/>
    </row>
    <row r="32" spans="3:8" ht="11.25">
      <c r="C32" s="81" t="s">
        <v>193</v>
      </c>
      <c r="D32" s="8"/>
      <c r="E32" s="8"/>
      <c r="F32" s="8"/>
      <c r="H32" s="176"/>
    </row>
    <row r="33" spans="1:15" ht="11.25">
      <c r="C33" s="198" t="s">
        <v>194</v>
      </c>
      <c r="D33" s="166" t="s">
        <v>181</v>
      </c>
      <c r="E33" s="8" t="s">
        <v>195</v>
      </c>
      <c r="F33" s="195">
        <v>7.3638362014000123</v>
      </c>
      <c r="G33" s="195">
        <v>8.3394778790185935</v>
      </c>
      <c r="H33" s="176"/>
    </row>
    <row r="34" spans="1:15" ht="11.25">
      <c r="C34" s="198" t="s">
        <v>196</v>
      </c>
      <c r="D34" s="166" t="s">
        <v>181</v>
      </c>
      <c r="E34" s="8" t="s">
        <v>197</v>
      </c>
      <c r="F34" s="195">
        <v>9.7186872937478395</v>
      </c>
      <c r="G34" s="195">
        <v>11.006325437263285</v>
      </c>
      <c r="H34" s="176"/>
    </row>
    <row r="35" spans="1:15" ht="11.25">
      <c r="C35" s="198" t="s">
        <v>198</v>
      </c>
      <c r="D35" s="166" t="s">
        <v>181</v>
      </c>
      <c r="E35" s="8" t="s">
        <v>199</v>
      </c>
      <c r="F35" s="171">
        <v>2.1270262173212151</v>
      </c>
      <c r="G35" s="195">
        <v>2.4088379483604569</v>
      </c>
      <c r="H35" s="176"/>
    </row>
    <row r="36" spans="1:15" ht="11.25">
      <c r="C36" s="198" t="s">
        <v>200</v>
      </c>
      <c r="D36" s="166" t="s">
        <v>181</v>
      </c>
      <c r="E36" s="8" t="s">
        <v>201</v>
      </c>
      <c r="F36" s="171">
        <v>1.734786526572756</v>
      </c>
      <c r="G36" s="195">
        <v>1.9646300470972582</v>
      </c>
      <c r="H36" s="176"/>
    </row>
    <row r="37" spans="1:15" ht="11.25">
      <c r="C37" s="198" t="s">
        <v>202</v>
      </c>
      <c r="D37" s="166" t="s">
        <v>181</v>
      </c>
      <c r="E37" s="8" t="s">
        <v>203</v>
      </c>
      <c r="F37" s="171">
        <v>9.3795377773227369</v>
      </c>
      <c r="G37" s="195">
        <v>10.62224167812572</v>
      </c>
      <c r="H37" s="176"/>
    </row>
    <row r="40" spans="1:15" ht="11.25">
      <c r="D40" s="165"/>
      <c r="E40" s="196" t="s">
        <v>204</v>
      </c>
      <c r="F40" s="197">
        <f>SUM(F26:F39)/5</f>
        <v>14.95858710380702</v>
      </c>
      <c r="G40" s="197">
        <f>SUM(G26:G39)/5</f>
        <v>16.940464567891201</v>
      </c>
      <c r="H40" s="176"/>
    </row>
    <row r="41" spans="1:15" ht="11.25">
      <c r="D41" s="165"/>
      <c r="E41" s="8"/>
      <c r="F41" s="8"/>
    </row>
    <row r="42" spans="1:15" customFormat="1" ht="12.75">
      <c r="A42" s="37"/>
      <c r="B42" s="43" t="s">
        <v>143</v>
      </c>
      <c r="C42" s="37"/>
      <c r="D42" s="37"/>
      <c r="E42" s="37"/>
      <c r="F42" s="37"/>
      <c r="G42" s="39"/>
      <c r="H42" s="40"/>
      <c r="I42" s="41"/>
      <c r="J42" s="41"/>
      <c r="K42" s="41"/>
      <c r="L42" s="41"/>
      <c r="M42" s="41"/>
      <c r="N42" s="42"/>
      <c r="O42" s="42"/>
    </row>
    <row r="43" spans="1:15" ht="11.25">
      <c r="D43" s="165"/>
      <c r="E43" s="8"/>
      <c r="F43" s="8"/>
    </row>
    <row r="44" spans="1:15" ht="11.25">
      <c r="C44" s="9" t="s">
        <v>92</v>
      </c>
      <c r="D44" s="165"/>
      <c r="E44" s="8"/>
      <c r="F44" s="8"/>
    </row>
    <row r="45" spans="1:15" ht="11.25">
      <c r="C45" s="9"/>
      <c r="D45" s="165"/>
      <c r="E45" s="8"/>
      <c r="F45" s="8"/>
    </row>
    <row r="46" spans="1:15" ht="22.5">
      <c r="C46" s="8" t="s">
        <v>93</v>
      </c>
      <c r="D46" s="164" t="s">
        <v>205</v>
      </c>
      <c r="E46" s="199" t="s">
        <v>206</v>
      </c>
      <c r="F46" s="8"/>
    </row>
    <row r="47" spans="1:15" ht="11.25">
      <c r="C47" s="8" t="s">
        <v>95</v>
      </c>
      <c r="D47" s="166" t="s">
        <v>207</v>
      </c>
      <c r="E47" s="8" t="s">
        <v>208</v>
      </c>
      <c r="F47" s="8"/>
    </row>
    <row r="48" spans="1:15" ht="11.25">
      <c r="C48" s="8" t="s">
        <v>209</v>
      </c>
      <c r="D48" s="166" t="s">
        <v>210</v>
      </c>
      <c r="E48" s="8"/>
      <c r="F48" s="8"/>
    </row>
    <row r="49" spans="1:15" ht="11.25">
      <c r="D49" s="165"/>
      <c r="E49" s="8"/>
      <c r="F49" s="8"/>
    </row>
    <row r="50" spans="1:15" ht="11.25">
      <c r="C50" s="9" t="s">
        <v>117</v>
      </c>
      <c r="D50" s="165"/>
      <c r="E50" s="8"/>
      <c r="F50" s="8"/>
    </row>
    <row r="51" spans="1:15" ht="11.25">
      <c r="D51" s="165"/>
      <c r="E51" s="8"/>
      <c r="F51" s="8"/>
    </row>
    <row r="52" spans="1:15" ht="11.25">
      <c r="C52" s="8" t="s">
        <v>211</v>
      </c>
      <c r="D52" s="166" t="s">
        <v>212</v>
      </c>
      <c r="E52" s="8" t="s">
        <v>213</v>
      </c>
      <c r="F52" s="8"/>
    </row>
    <row r="53" spans="1:15" ht="11.25">
      <c r="C53" s="8" t="s">
        <v>214</v>
      </c>
      <c r="D53" s="166" t="s">
        <v>212</v>
      </c>
      <c r="E53" s="8" t="s">
        <v>213</v>
      </c>
      <c r="F53" s="8"/>
    </row>
    <row r="54" spans="1:15" ht="11.25">
      <c r="C54" s="8" t="s">
        <v>215</v>
      </c>
      <c r="D54" s="164" t="s">
        <v>216</v>
      </c>
      <c r="E54" s="8" t="s">
        <v>213</v>
      </c>
      <c r="F54" s="8"/>
    </row>
    <row r="55" spans="1:15" ht="45">
      <c r="C55" s="8" t="s">
        <v>111</v>
      </c>
      <c r="D55" s="166" t="s">
        <v>217</v>
      </c>
      <c r="E55" s="199" t="s">
        <v>218</v>
      </c>
      <c r="F55" s="8"/>
    </row>
    <row r="56" spans="1:15" ht="11.25">
      <c r="D56" s="165"/>
      <c r="E56" s="8"/>
      <c r="F56" s="8"/>
    </row>
    <row r="57" spans="1:15" customFormat="1" ht="12.75">
      <c r="A57" s="37"/>
      <c r="B57" s="43" t="s">
        <v>149</v>
      </c>
      <c r="C57" s="37"/>
      <c r="D57" s="37"/>
      <c r="E57" s="37"/>
      <c r="F57" s="37"/>
      <c r="G57" s="39"/>
      <c r="H57" s="40"/>
      <c r="I57" s="41"/>
      <c r="J57" s="41"/>
      <c r="K57" s="41"/>
      <c r="L57" s="41"/>
      <c r="M57" s="41"/>
      <c r="N57" s="42"/>
      <c r="O57" s="42"/>
    </row>
    <row r="58" spans="1:15" ht="11.25">
      <c r="D58" s="165"/>
      <c r="E58" s="8"/>
      <c r="F58" s="8"/>
    </row>
    <row r="59" spans="1:15" ht="11.25">
      <c r="C59" s="9" t="s">
        <v>149</v>
      </c>
      <c r="D59" s="167"/>
      <c r="E59" s="8"/>
      <c r="F59" s="201" t="s">
        <v>178</v>
      </c>
      <c r="G59" s="201" t="s">
        <v>179</v>
      </c>
    </row>
    <row r="60" spans="1:15" ht="11.25">
      <c r="C60" s="9"/>
      <c r="D60" s="167"/>
      <c r="E60" s="8"/>
      <c r="F60" s="8"/>
    </row>
    <row r="61" spans="1:15" ht="11.25">
      <c r="C61" s="8" t="s">
        <v>219</v>
      </c>
      <c r="D61" s="166" t="s">
        <v>181</v>
      </c>
      <c r="E61" s="102" t="s">
        <v>220</v>
      </c>
      <c r="F61" s="200">
        <v>42.074027538755644</v>
      </c>
      <c r="G61" s="200">
        <v>47.648455552822242</v>
      </c>
    </row>
    <row r="62" spans="1:15" ht="11.25">
      <c r="C62" s="8" t="s">
        <v>221</v>
      </c>
      <c r="D62" s="166" t="s">
        <v>181</v>
      </c>
      <c r="E62" s="102" t="s">
        <v>222</v>
      </c>
      <c r="F62" s="200">
        <v>4.2457912457912457</v>
      </c>
      <c r="G62" s="200">
        <v>4.8083201750841749</v>
      </c>
    </row>
    <row r="63" spans="1:15" ht="11.25">
      <c r="C63" s="8" t="s">
        <v>223</v>
      </c>
      <c r="D63" s="166" t="s">
        <v>181</v>
      </c>
      <c r="E63" s="102" t="s">
        <v>224</v>
      </c>
      <c r="F63" s="200">
        <v>8.7706353505734143</v>
      </c>
      <c r="G63" s="200">
        <v>9.9326651884434387</v>
      </c>
    </row>
    <row r="64" spans="1:15" ht="11.25">
      <c r="C64" s="8" t="s">
        <v>225</v>
      </c>
      <c r="D64" s="166" t="s">
        <v>181</v>
      </c>
      <c r="E64" s="102" t="s">
        <v>226</v>
      </c>
      <c r="F64" s="200">
        <v>15.334549678466683</v>
      </c>
      <c r="G64" s="200">
        <v>17.366238782439464</v>
      </c>
    </row>
    <row r="65" spans="1:15" ht="11.25">
      <c r="C65" s="8" t="s">
        <v>227</v>
      </c>
      <c r="D65" s="166" t="s">
        <v>181</v>
      </c>
      <c r="E65" s="102" t="s">
        <v>228</v>
      </c>
      <c r="F65" s="200">
        <v>2.238</v>
      </c>
      <c r="G65" s="200">
        <v>2.5345147532878665</v>
      </c>
    </row>
    <row r="66" spans="1:15" ht="11.25">
      <c r="C66" s="8" t="s">
        <v>229</v>
      </c>
      <c r="D66" s="166" t="s">
        <v>181</v>
      </c>
      <c r="E66" s="102" t="s">
        <v>230</v>
      </c>
      <c r="F66" s="200">
        <v>3.8488988681018803</v>
      </c>
      <c r="G66" s="200">
        <v>4.3588431479522729</v>
      </c>
    </row>
    <row r="67" spans="1:15" ht="11.25">
      <c r="C67" s="8" t="s">
        <v>231</v>
      </c>
      <c r="D67" s="166" t="s">
        <v>181</v>
      </c>
      <c r="E67" s="171" t="s">
        <v>232</v>
      </c>
      <c r="F67" s="200">
        <v>5.9611205500780367</v>
      </c>
      <c r="G67" s="200">
        <v>6.7509150939679481</v>
      </c>
    </row>
    <row r="68" spans="1:15" ht="11.25">
      <c r="C68" s="8" t="s">
        <v>233</v>
      </c>
      <c r="D68" s="166" t="s">
        <v>181</v>
      </c>
      <c r="E68" s="8" t="s">
        <v>234</v>
      </c>
      <c r="F68" s="200">
        <v>17.129539512235269</v>
      </c>
      <c r="G68" s="200">
        <v>19.399048530289427</v>
      </c>
    </row>
    <row r="69" spans="1:15" ht="11.25">
      <c r="C69" s="8" t="s">
        <v>235</v>
      </c>
      <c r="D69" s="166" t="s">
        <v>181</v>
      </c>
      <c r="E69" s="102" t="s">
        <v>236</v>
      </c>
      <c r="F69" s="200">
        <v>15.900278698712169</v>
      </c>
      <c r="G69" s="200">
        <v>18.006921779836816</v>
      </c>
    </row>
    <row r="70" spans="1:15" ht="11.25">
      <c r="C70" s="8" t="s">
        <v>237</v>
      </c>
      <c r="D70" s="166" t="s">
        <v>181</v>
      </c>
      <c r="E70" s="8" t="s">
        <v>238</v>
      </c>
      <c r="F70" s="200">
        <v>-0.58379629629629626</v>
      </c>
      <c r="G70" s="200">
        <v>-0.66114402407407402</v>
      </c>
    </row>
    <row r="71" spans="1:15" ht="11.25">
      <c r="C71" s="8" t="s">
        <v>239</v>
      </c>
      <c r="D71" s="166" t="s">
        <v>181</v>
      </c>
      <c r="E71" s="102" t="s">
        <v>240</v>
      </c>
      <c r="F71" s="200">
        <v>-1.1826080000000001</v>
      </c>
      <c r="G71" s="200">
        <v>-1.3392928611958257</v>
      </c>
    </row>
    <row r="72" spans="1:15" ht="11.25">
      <c r="D72" s="8"/>
      <c r="E72" s="8"/>
      <c r="F72" s="8"/>
    </row>
    <row r="73" spans="1:15" ht="11.25">
      <c r="C73" s="9" t="s">
        <v>123</v>
      </c>
      <c r="D73" s="166"/>
      <c r="E73" s="8"/>
      <c r="F73" s="8"/>
    </row>
    <row r="74" spans="1:15" ht="11.25">
      <c r="C74" s="9"/>
      <c r="D74" s="166"/>
      <c r="E74" s="8"/>
      <c r="F74" s="8"/>
    </row>
    <row r="75" spans="1:15" ht="11.25">
      <c r="C75" s="8" t="s">
        <v>241</v>
      </c>
      <c r="D75" s="166" t="s">
        <v>181</v>
      </c>
      <c r="E75" s="8" t="s">
        <v>242</v>
      </c>
      <c r="F75" s="200">
        <v>17.667411310792495</v>
      </c>
      <c r="G75" s="200">
        <v>20.008183476143209</v>
      </c>
    </row>
    <row r="76" spans="1:15" ht="11.25">
      <c r="D76" s="8"/>
      <c r="E76" s="8"/>
      <c r="F76" s="8"/>
    </row>
    <row r="77" spans="1:15" customFormat="1" ht="12.75">
      <c r="A77" s="37"/>
      <c r="B77" s="43" t="s">
        <v>25</v>
      </c>
      <c r="C77" s="37"/>
      <c r="D77" s="37"/>
      <c r="E77" s="37"/>
      <c r="F77" s="37"/>
      <c r="G77" s="39"/>
      <c r="H77" s="40"/>
      <c r="I77" s="41"/>
      <c r="J77" s="41"/>
      <c r="K77" s="41"/>
      <c r="L77" s="41"/>
      <c r="M77" s="41"/>
      <c r="N77" s="42"/>
      <c r="O77" s="42"/>
    </row>
    <row r="78" spans="1:15" ht="11.25" hidden="1"/>
    <row r="79" spans="1:15" ht="11.25" hidden="1"/>
    <row r="80" spans="1:15" ht="11.25" hidden="1"/>
    <row r="81" ht="11.25" hidden="1"/>
    <row r="82" ht="11.25" hidden="1"/>
    <row r="83" ht="11.25" hidden="1"/>
    <row r="84" ht="11.25" hidden="1"/>
    <row r="85" ht="11.25" hidden="1"/>
    <row r="86" ht="11.25" hidden="1"/>
    <row r="87" ht="11.25" hidden="1"/>
    <row r="88" ht="11.25" hidden="1" customHeight="1"/>
    <row r="89" ht="11.25" hidden="1" customHeight="1"/>
    <row r="90" ht="11.25" hidden="1" customHeight="1"/>
    <row r="91" ht="11.25" hidden="1" customHeight="1"/>
    <row r="92" ht="11.25" hidden="1" customHeight="1"/>
    <row r="93" ht="11.25" hidden="1" customHeight="1"/>
    <row r="94" ht="11.25" hidden="1" customHeight="1"/>
    <row r="95" ht="11.25" hidden="1" customHeight="1"/>
    <row r="96" ht="11.25" hidden="1" customHeight="1"/>
    <row r="97" ht="11.25" hidden="1" customHeight="1"/>
  </sheetData>
  <hyperlinks>
    <hyperlink ref="E1" location="Index!A1" display="Back to Index" xr:uid="{74B5EF1E-FC6B-483D-A17F-252795C53BF3}"/>
    <hyperlink ref="E9" r:id="rId1" xr:uid="{A2E5D23B-D2EB-474B-9D50-5FCC2872F5CE}"/>
    <hyperlink ref="E10" r:id="rId2" xr:uid="{8412C0C2-4080-4B43-BB3B-7EC6944EFFF3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2"/>
  <sheetViews>
    <sheetView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26</v>
      </c>
      <c r="L1" s="33" t="s">
        <v>27</v>
      </c>
      <c r="M1" s="50" t="s">
        <v>28</v>
      </c>
      <c r="N1" s="11" t="s">
        <v>29</v>
      </c>
      <c r="O1" s="12" t="s">
        <v>30</v>
      </c>
      <c r="R1" s="33"/>
      <c r="S1" s="34"/>
      <c r="U1" s="126" t="s">
        <v>32</v>
      </c>
      <c r="V1" s="34" t="str">
        <f>'Check|List'!$S$1</f>
        <v>Ok</v>
      </c>
    </row>
    <row r="2" spans="1:30" s="32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s="6" customFormat="1" ht="9" customHeight="1">
      <c r="D5" s="20"/>
      <c r="E5" s="20"/>
    </row>
    <row r="6" spans="1:30" s="6" customFormat="1" ht="3" customHeight="1">
      <c r="D6" s="20"/>
      <c r="E6" s="20"/>
    </row>
    <row r="7" spans="1:30" customFormat="1" ht="12.75">
      <c r="A7" s="37"/>
      <c r="B7" s="43" t="s">
        <v>243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tr">
        <f>B7</f>
        <v>Unit Denominations</v>
      </c>
      <c r="D9" s="21" t="s">
        <v>35</v>
      </c>
      <c r="E9" s="21"/>
      <c r="F9" s="14"/>
      <c r="G9" s="14" t="s">
        <v>244</v>
      </c>
      <c r="H9" s="14"/>
    </row>
    <row r="10" spans="1:30">
      <c r="C10" s="15" t="s">
        <v>245</v>
      </c>
      <c r="D10" s="16" t="s">
        <v>41</v>
      </c>
      <c r="E10" s="16"/>
      <c r="F10" s="16"/>
      <c r="G10" s="44" t="s">
        <v>246</v>
      </c>
    </row>
    <row r="11" spans="1:30">
      <c r="C11" s="15" t="s">
        <v>247</v>
      </c>
      <c r="D11" s="16" t="s">
        <v>41</v>
      </c>
      <c r="E11" s="16"/>
      <c r="F11" s="16"/>
      <c r="G11" s="44" t="s">
        <v>248</v>
      </c>
    </row>
    <row r="12" spans="1:30">
      <c r="C12" s="15" t="s">
        <v>249</v>
      </c>
      <c r="D12" s="16" t="s">
        <v>41</v>
      </c>
      <c r="E12" s="16"/>
      <c r="F12" s="16"/>
      <c r="G12" s="44" t="s">
        <v>52</v>
      </c>
      <c r="T12" s="17"/>
    </row>
    <row r="13" spans="1:30">
      <c r="F13" s="8"/>
      <c r="G13" s="8"/>
    </row>
    <row r="14" spans="1:30">
      <c r="C14" s="15" t="s">
        <v>63</v>
      </c>
      <c r="D14" s="16" t="s">
        <v>41</v>
      </c>
      <c r="E14" s="16"/>
      <c r="F14" s="16"/>
      <c r="G14" s="44" t="s">
        <v>86</v>
      </c>
    </row>
    <row r="15" spans="1:30">
      <c r="C15" s="15" t="s">
        <v>61</v>
      </c>
      <c r="D15" s="16" t="s">
        <v>41</v>
      </c>
      <c r="E15" s="16"/>
      <c r="F15" s="16"/>
      <c r="G15" s="44" t="s">
        <v>250</v>
      </c>
    </row>
    <row r="16" spans="1:30">
      <c r="C16" s="15" t="s">
        <v>251</v>
      </c>
      <c r="D16" s="16" t="s">
        <v>41</v>
      </c>
      <c r="E16" s="16"/>
      <c r="F16" s="16"/>
      <c r="G16" s="44" t="s">
        <v>107</v>
      </c>
    </row>
    <row r="17" spans="1:30">
      <c r="C17" s="15" t="s">
        <v>252</v>
      </c>
      <c r="D17" s="16" t="s">
        <v>41</v>
      </c>
      <c r="E17" s="16"/>
      <c r="F17" s="16"/>
      <c r="G17" s="44" t="s">
        <v>253</v>
      </c>
    </row>
    <row r="18" spans="1:30">
      <c r="C18" s="15"/>
      <c r="D18" s="16"/>
      <c r="E18" s="16"/>
      <c r="F18" s="16"/>
      <c r="G18" s="8"/>
    </row>
    <row r="19" spans="1:30">
      <c r="C19" s="15" t="s">
        <v>72</v>
      </c>
      <c r="D19" s="16" t="s">
        <v>41</v>
      </c>
      <c r="E19" s="16"/>
      <c r="F19" s="16"/>
      <c r="G19" s="44" t="s">
        <v>72</v>
      </c>
    </row>
    <row r="20" spans="1:30">
      <c r="C20" s="15" t="s">
        <v>73</v>
      </c>
      <c r="D20" s="16" t="s">
        <v>41</v>
      </c>
      <c r="E20" s="16"/>
      <c r="F20" s="16"/>
      <c r="G20" s="44" t="s">
        <v>73</v>
      </c>
    </row>
    <row r="21" spans="1:30">
      <c r="C21" s="15"/>
      <c r="D21" s="16"/>
      <c r="E21" s="16"/>
      <c r="F21" s="16"/>
      <c r="G21" s="8"/>
    </row>
    <row r="22" spans="1:30" customFormat="1" ht="12.75">
      <c r="A22" s="37"/>
      <c r="B22" s="43" t="s">
        <v>254</v>
      </c>
      <c r="C22" s="37"/>
      <c r="D22" s="37"/>
      <c r="E22" s="37"/>
      <c r="F22" s="38"/>
      <c r="G22" s="38"/>
      <c r="H22" s="38"/>
      <c r="I22" s="38"/>
      <c r="J22" s="39"/>
      <c r="K22" s="40"/>
      <c r="L22" s="39"/>
      <c r="M22" s="40"/>
      <c r="N22" s="39"/>
      <c r="O22" s="39"/>
      <c r="P22" s="39"/>
      <c r="Q22" s="39"/>
      <c r="R22" s="39"/>
      <c r="S22" s="39"/>
      <c r="T22" s="39"/>
      <c r="U22" s="39"/>
      <c r="V22" s="40"/>
      <c r="W22" s="40"/>
      <c r="X22" s="41"/>
      <c r="Y22" s="41"/>
      <c r="Z22" s="41"/>
      <c r="AA22" s="41"/>
      <c r="AB22" s="41"/>
      <c r="AC22" s="42"/>
      <c r="AD22" s="42"/>
    </row>
    <row r="23" spans="1:30"/>
    <row r="24" spans="1:30">
      <c r="C24" s="13" t="str">
        <f>B22</f>
        <v>Months</v>
      </c>
      <c r="D24" s="21" t="s">
        <v>35</v>
      </c>
      <c r="E24" s="21"/>
      <c r="F24" s="14"/>
      <c r="G24" s="14" t="s">
        <v>244</v>
      </c>
      <c r="H24" s="14"/>
    </row>
    <row r="25" spans="1:30">
      <c r="C25" s="15" t="s">
        <v>255</v>
      </c>
      <c r="D25" s="16" t="s">
        <v>41</v>
      </c>
      <c r="E25" s="16"/>
      <c r="F25" s="16"/>
      <c r="G25" s="108">
        <v>36526</v>
      </c>
      <c r="H25" s="14"/>
    </row>
    <row r="26" spans="1:30">
      <c r="C26" s="15" t="s">
        <v>256</v>
      </c>
      <c r="D26" s="16" t="s">
        <v>41</v>
      </c>
      <c r="E26" s="16"/>
      <c r="F26" s="16"/>
      <c r="G26" s="108">
        <v>36557</v>
      </c>
      <c r="H26" s="14"/>
    </row>
    <row r="27" spans="1:30">
      <c r="C27" s="15" t="s">
        <v>257</v>
      </c>
      <c r="D27" s="16" t="s">
        <v>41</v>
      </c>
      <c r="E27" s="16"/>
      <c r="F27" s="16"/>
      <c r="G27" s="108">
        <v>36586</v>
      </c>
      <c r="H27" s="14"/>
    </row>
    <row r="28" spans="1:30">
      <c r="C28" s="15" t="s">
        <v>258</v>
      </c>
      <c r="D28" s="16" t="s">
        <v>41</v>
      </c>
      <c r="E28" s="16"/>
      <c r="F28" s="16"/>
      <c r="G28" s="108">
        <v>36617</v>
      </c>
    </row>
    <row r="29" spans="1:30">
      <c r="C29" s="15" t="s">
        <v>259</v>
      </c>
      <c r="D29" s="16" t="s">
        <v>41</v>
      </c>
      <c r="E29" s="16"/>
      <c r="F29" s="16"/>
      <c r="G29" s="108">
        <v>36647</v>
      </c>
    </row>
    <row r="30" spans="1:30">
      <c r="C30" s="15" t="s">
        <v>260</v>
      </c>
      <c r="D30" s="16" t="s">
        <v>41</v>
      </c>
      <c r="E30" s="16"/>
      <c r="F30" s="16"/>
      <c r="G30" s="108">
        <v>36678</v>
      </c>
      <c r="T30" s="17"/>
    </row>
    <row r="31" spans="1:30">
      <c r="C31" s="15" t="s">
        <v>261</v>
      </c>
      <c r="D31" s="16" t="s">
        <v>41</v>
      </c>
      <c r="E31" s="16"/>
      <c r="F31" s="16"/>
      <c r="G31" s="108">
        <v>36708</v>
      </c>
      <c r="T31" s="17"/>
    </row>
    <row r="32" spans="1:30">
      <c r="C32" s="15" t="s">
        <v>262</v>
      </c>
      <c r="D32" s="16" t="s">
        <v>41</v>
      </c>
      <c r="E32" s="16"/>
      <c r="F32" s="16"/>
      <c r="G32" s="108">
        <v>36739</v>
      </c>
      <c r="T32" s="17"/>
    </row>
    <row r="33" spans="1:30">
      <c r="C33" s="15" t="s">
        <v>263</v>
      </c>
      <c r="D33" s="16" t="s">
        <v>41</v>
      </c>
      <c r="E33" s="16"/>
      <c r="F33" s="16"/>
      <c r="G33" s="108">
        <v>36770</v>
      </c>
      <c r="T33" s="17"/>
    </row>
    <row r="34" spans="1:30">
      <c r="C34" s="15" t="s">
        <v>264</v>
      </c>
      <c r="D34" s="16" t="s">
        <v>41</v>
      </c>
      <c r="E34" s="16"/>
      <c r="F34" s="16"/>
      <c r="G34" s="108">
        <v>36800</v>
      </c>
      <c r="T34" s="17"/>
    </row>
    <row r="35" spans="1:30">
      <c r="C35" s="15" t="s">
        <v>265</v>
      </c>
      <c r="D35" s="16" t="s">
        <v>41</v>
      </c>
      <c r="E35" s="16"/>
      <c r="F35" s="16"/>
      <c r="G35" s="108">
        <v>36831</v>
      </c>
      <c r="T35" s="17"/>
    </row>
    <row r="36" spans="1:30">
      <c r="C36" s="15" t="s">
        <v>266</v>
      </c>
      <c r="D36" s="16" t="s">
        <v>41</v>
      </c>
      <c r="E36" s="16"/>
      <c r="F36" s="16"/>
      <c r="G36" s="108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2.75">
      <c r="A38" s="37"/>
      <c r="B38" s="43" t="s">
        <v>267</v>
      </c>
      <c r="C38" s="37"/>
      <c r="D38" s="37"/>
      <c r="E38" s="37"/>
      <c r="F38" s="38"/>
      <c r="G38" s="38"/>
      <c r="H38" s="38"/>
      <c r="I38" s="38"/>
      <c r="J38" s="39"/>
      <c r="K38" s="40"/>
      <c r="L38" s="39"/>
      <c r="M38" s="40"/>
      <c r="N38" s="39"/>
      <c r="O38" s="39"/>
      <c r="P38" s="39"/>
      <c r="Q38" s="39"/>
      <c r="R38" s="39"/>
      <c r="S38" s="39"/>
      <c r="T38" s="39"/>
      <c r="U38" s="39"/>
      <c r="V38" s="40"/>
      <c r="W38" s="40"/>
      <c r="X38" s="41"/>
      <c r="Y38" s="41"/>
      <c r="Z38" s="41"/>
      <c r="AA38" s="41"/>
      <c r="AB38" s="41"/>
      <c r="AC38" s="42"/>
      <c r="AD38" s="42"/>
    </row>
    <row r="39" spans="1:30"/>
    <row r="40" spans="1:30">
      <c r="C40" s="13" t="str">
        <f>B38</f>
        <v>Years</v>
      </c>
      <c r="D40" s="21" t="s">
        <v>35</v>
      </c>
      <c r="E40" s="21"/>
      <c r="F40" s="14"/>
      <c r="G40" s="14" t="s">
        <v>268</v>
      </c>
      <c r="H40" s="14" t="s">
        <v>269</v>
      </c>
      <c r="I40" s="14" t="s">
        <v>270</v>
      </c>
    </row>
    <row r="41" spans="1:30">
      <c r="C41" s="114">
        <v>40695</v>
      </c>
      <c r="D41" s="16" t="s">
        <v>41</v>
      </c>
      <c r="E41" s="16"/>
      <c r="F41" s="16"/>
      <c r="G41" s="109">
        <v>2011</v>
      </c>
      <c r="H41" s="130">
        <f>DATE(G41,MONTH('Input|General'!$G$9),1)</f>
        <v>40695</v>
      </c>
      <c r="I41" s="128" t="str">
        <f>G41-1&amp;"–"&amp;RIGHT(G41,2)</f>
        <v>2010–11</v>
      </c>
    </row>
    <row r="42" spans="1:30">
      <c r="C42" s="114">
        <v>41061</v>
      </c>
      <c r="D42" s="16" t="s">
        <v>41</v>
      </c>
      <c r="E42" s="16"/>
      <c r="F42" s="16"/>
      <c r="G42" s="109">
        <v>2012</v>
      </c>
      <c r="H42" s="130">
        <f>DATE(G42,MONTH('Input|General'!$G$9),1)</f>
        <v>41061</v>
      </c>
      <c r="I42" s="128" t="str">
        <f t="shared" ref="I42:I60" si="0">G42-1&amp;"–"&amp;RIGHT(G42,2)</f>
        <v>2011–12</v>
      </c>
    </row>
    <row r="43" spans="1:30">
      <c r="C43" s="114">
        <v>41426</v>
      </c>
      <c r="D43" s="16" t="s">
        <v>41</v>
      </c>
      <c r="E43" s="16"/>
      <c r="F43" s="16"/>
      <c r="G43" s="109">
        <v>2013</v>
      </c>
      <c r="H43" s="130">
        <f>DATE(G43,MONTH('Input|General'!$G$9),1)</f>
        <v>41426</v>
      </c>
      <c r="I43" s="128" t="str">
        <f t="shared" si="0"/>
        <v>2012–13</v>
      </c>
    </row>
    <row r="44" spans="1:30">
      <c r="C44" s="114">
        <v>41791</v>
      </c>
      <c r="D44" s="16" t="s">
        <v>41</v>
      </c>
      <c r="E44" s="16"/>
      <c r="F44" s="16"/>
      <c r="G44" s="109">
        <v>2014</v>
      </c>
      <c r="H44" s="130">
        <f>DATE(G44,MONTH('Input|General'!$G$9),1)</f>
        <v>41791</v>
      </c>
      <c r="I44" s="128" t="str">
        <f t="shared" si="0"/>
        <v>2013–14</v>
      </c>
    </row>
    <row r="45" spans="1:30">
      <c r="C45" s="114">
        <v>42156</v>
      </c>
      <c r="D45" s="16" t="s">
        <v>41</v>
      </c>
      <c r="E45" s="16"/>
      <c r="F45" s="16"/>
      <c r="G45" s="109">
        <v>2015</v>
      </c>
      <c r="H45" s="130">
        <f>DATE(G45,MONTH('Input|General'!$G$9),1)</f>
        <v>42156</v>
      </c>
      <c r="I45" s="128" t="str">
        <f t="shared" si="0"/>
        <v>2014–15</v>
      </c>
      <c r="T45" s="17"/>
    </row>
    <row r="46" spans="1:30">
      <c r="C46" s="114">
        <v>42522</v>
      </c>
      <c r="D46" s="16" t="s">
        <v>41</v>
      </c>
      <c r="E46" s="16"/>
      <c r="F46" s="16"/>
      <c r="G46" s="109">
        <v>2016</v>
      </c>
      <c r="H46" s="130">
        <f>DATE(G46,MONTH('Input|General'!$G$9),1)</f>
        <v>42522</v>
      </c>
      <c r="I46" s="128" t="str">
        <f t="shared" si="0"/>
        <v>2015–16</v>
      </c>
      <c r="T46" s="17"/>
    </row>
    <row r="47" spans="1:30">
      <c r="C47" s="114">
        <v>42887</v>
      </c>
      <c r="D47" s="16" t="s">
        <v>41</v>
      </c>
      <c r="E47" s="16"/>
      <c r="F47" s="16"/>
      <c r="G47" s="109">
        <v>2017</v>
      </c>
      <c r="H47" s="130">
        <f>DATE(G47,MONTH('Input|General'!$G$9),1)</f>
        <v>42887</v>
      </c>
      <c r="I47" s="128" t="str">
        <f t="shared" si="0"/>
        <v>2016–17</v>
      </c>
      <c r="T47" s="17"/>
    </row>
    <row r="48" spans="1:30">
      <c r="C48" s="114">
        <v>43252</v>
      </c>
      <c r="D48" s="16" t="s">
        <v>41</v>
      </c>
      <c r="E48" s="16"/>
      <c r="F48" s="16"/>
      <c r="G48" s="109">
        <v>2018</v>
      </c>
      <c r="H48" s="130">
        <f>DATE(G48,MONTH('Input|General'!$G$9),1)</f>
        <v>43252</v>
      </c>
      <c r="I48" s="128" t="str">
        <f t="shared" si="0"/>
        <v>2017–18</v>
      </c>
      <c r="T48" s="17"/>
    </row>
    <row r="49" spans="1:30">
      <c r="C49" s="114">
        <v>43617</v>
      </c>
      <c r="D49" s="16" t="s">
        <v>41</v>
      </c>
      <c r="E49" s="16"/>
      <c r="F49" s="16"/>
      <c r="G49" s="109">
        <v>2019</v>
      </c>
      <c r="H49" s="130">
        <f>DATE(G49,MONTH('Input|General'!$G$9),1)</f>
        <v>43617</v>
      </c>
      <c r="I49" s="128" t="str">
        <f t="shared" si="0"/>
        <v>2018–19</v>
      </c>
      <c r="T49" s="17"/>
    </row>
    <row r="50" spans="1:30">
      <c r="C50" s="114">
        <v>43983</v>
      </c>
      <c r="D50" s="16" t="s">
        <v>41</v>
      </c>
      <c r="E50" s="16"/>
      <c r="F50" s="16"/>
      <c r="G50" s="109">
        <v>2020</v>
      </c>
      <c r="H50" s="130">
        <f>DATE(G50,MONTH('Input|General'!$G$9),1)</f>
        <v>43983</v>
      </c>
      <c r="I50" s="128" t="str">
        <f t="shared" si="0"/>
        <v>2019–20</v>
      </c>
      <c r="T50" s="17"/>
    </row>
    <row r="51" spans="1:30">
      <c r="C51" s="114">
        <v>44348</v>
      </c>
      <c r="D51" s="16" t="s">
        <v>41</v>
      </c>
      <c r="E51" s="16"/>
      <c r="F51" s="16"/>
      <c r="G51" s="109">
        <v>2021</v>
      </c>
      <c r="H51" s="130">
        <f>DATE(G51,MONTH('Input|General'!$G$9),1)</f>
        <v>44348</v>
      </c>
      <c r="I51" s="128" t="str">
        <f t="shared" si="0"/>
        <v>2020–21</v>
      </c>
      <c r="T51" s="17"/>
    </row>
    <row r="52" spans="1:30">
      <c r="C52" s="114">
        <v>44713</v>
      </c>
      <c r="D52" s="16" t="s">
        <v>41</v>
      </c>
      <c r="E52" s="16"/>
      <c r="F52" s="16"/>
      <c r="G52" s="109">
        <v>2022</v>
      </c>
      <c r="H52" s="130">
        <f>DATE(G52,MONTH('Input|General'!$G$9),1)</f>
        <v>44713</v>
      </c>
      <c r="I52" s="128" t="str">
        <f t="shared" si="0"/>
        <v>2021–22</v>
      </c>
      <c r="T52" s="17"/>
    </row>
    <row r="53" spans="1:30">
      <c r="C53" s="114">
        <v>45078</v>
      </c>
      <c r="D53" s="16" t="s">
        <v>41</v>
      </c>
      <c r="E53" s="16"/>
      <c r="F53" s="16"/>
      <c r="G53" s="109">
        <v>2023</v>
      </c>
      <c r="H53" s="130">
        <f>DATE(G53,MONTH('Input|General'!$G$9),1)</f>
        <v>45078</v>
      </c>
      <c r="I53" s="128" t="str">
        <f t="shared" si="0"/>
        <v>2022–23</v>
      </c>
      <c r="T53" s="17"/>
    </row>
    <row r="54" spans="1:30">
      <c r="C54" s="114">
        <v>45444</v>
      </c>
      <c r="D54" s="16" t="s">
        <v>41</v>
      </c>
      <c r="E54" s="16"/>
      <c r="F54" s="16"/>
      <c r="G54" s="109">
        <v>2024</v>
      </c>
      <c r="H54" s="130">
        <f>DATE(G54,MONTH('Input|General'!$G$9),1)</f>
        <v>45444</v>
      </c>
      <c r="I54" s="128" t="str">
        <f t="shared" si="0"/>
        <v>2023–24</v>
      </c>
      <c r="T54" s="17"/>
    </row>
    <row r="55" spans="1:30">
      <c r="C55" s="114">
        <v>45809</v>
      </c>
      <c r="D55" s="16" t="s">
        <v>41</v>
      </c>
      <c r="E55" s="16"/>
      <c r="F55" s="16"/>
      <c r="G55" s="109">
        <v>2025</v>
      </c>
      <c r="H55" s="130">
        <f>DATE(G55,MONTH('Input|General'!$G$9),1)</f>
        <v>45809</v>
      </c>
      <c r="I55" s="128" t="str">
        <f t="shared" si="0"/>
        <v>2024–25</v>
      </c>
      <c r="T55" s="17"/>
    </row>
    <row r="56" spans="1:30">
      <c r="C56" s="114">
        <v>46174</v>
      </c>
      <c r="D56" s="16" t="s">
        <v>41</v>
      </c>
      <c r="E56" s="16"/>
      <c r="F56" s="16"/>
      <c r="G56" s="109">
        <v>2026</v>
      </c>
      <c r="H56" s="130">
        <f>DATE(G56,MONTH('Input|General'!$G$9),1)</f>
        <v>46174</v>
      </c>
      <c r="I56" s="128" t="str">
        <f t="shared" si="0"/>
        <v>2025–26</v>
      </c>
      <c r="T56" s="17"/>
    </row>
    <row r="57" spans="1:30">
      <c r="C57" s="114">
        <v>46539</v>
      </c>
      <c r="D57" s="16" t="s">
        <v>41</v>
      </c>
      <c r="E57" s="16"/>
      <c r="F57" s="16"/>
      <c r="G57" s="109">
        <v>2027</v>
      </c>
      <c r="H57" s="130">
        <f>DATE(G57,MONTH('Input|General'!$G$9),1)</f>
        <v>46539</v>
      </c>
      <c r="I57" s="128" t="str">
        <f t="shared" si="0"/>
        <v>2026–27</v>
      </c>
      <c r="T57" s="17"/>
    </row>
    <row r="58" spans="1:30">
      <c r="C58" s="114">
        <v>46905</v>
      </c>
      <c r="D58" s="16" t="s">
        <v>41</v>
      </c>
      <c r="E58" s="16"/>
      <c r="F58" s="16"/>
      <c r="G58" s="109">
        <v>2028</v>
      </c>
      <c r="H58" s="130">
        <f>DATE(G58,MONTH('Input|General'!$G$9),1)</f>
        <v>46905</v>
      </c>
      <c r="I58" s="128" t="str">
        <f t="shared" si="0"/>
        <v>2027–28</v>
      </c>
      <c r="T58" s="17"/>
    </row>
    <row r="59" spans="1:30">
      <c r="C59" s="114">
        <v>47270</v>
      </c>
      <c r="D59" s="16" t="s">
        <v>41</v>
      </c>
      <c r="E59" s="16"/>
      <c r="F59" s="16"/>
      <c r="G59" s="109">
        <v>2029</v>
      </c>
      <c r="H59" s="130">
        <f>DATE(G59,MONTH('Input|General'!$G$9),1)</f>
        <v>47270</v>
      </c>
      <c r="I59" s="128" t="str">
        <f t="shared" si="0"/>
        <v>2028–29</v>
      </c>
      <c r="T59" s="17"/>
    </row>
    <row r="60" spans="1:30">
      <c r="C60" s="114">
        <v>47635</v>
      </c>
      <c r="D60" s="16" t="s">
        <v>41</v>
      </c>
      <c r="E60" s="16"/>
      <c r="F60" s="16"/>
      <c r="G60" s="109">
        <v>2030</v>
      </c>
      <c r="H60" s="130">
        <f>DATE(G60,MONTH('Input|General'!$G$9),1)</f>
        <v>47635</v>
      </c>
      <c r="I60" s="128" t="str">
        <f t="shared" si="0"/>
        <v>2029–30</v>
      </c>
      <c r="T60" s="17"/>
    </row>
    <row r="61" spans="1:30">
      <c r="H61" s="8" t="s">
        <v>75</v>
      </c>
    </row>
    <row r="62" spans="1:30" customFormat="1" ht="12.75">
      <c r="A62" s="37"/>
      <c r="B62" s="43" t="s">
        <v>271</v>
      </c>
      <c r="C62" s="37"/>
      <c r="D62" s="37"/>
      <c r="E62" s="37"/>
      <c r="F62" s="38"/>
      <c r="G62" s="38"/>
      <c r="H62" s="38"/>
      <c r="I62" s="38"/>
      <c r="J62" s="39"/>
      <c r="K62" s="40"/>
      <c r="L62" s="39"/>
      <c r="M62" s="40"/>
      <c r="N62" s="39"/>
      <c r="O62" s="39"/>
      <c r="P62" s="39"/>
      <c r="Q62" s="39"/>
      <c r="R62" s="39"/>
      <c r="S62" s="39"/>
      <c r="T62" s="39"/>
      <c r="U62" s="39"/>
      <c r="V62" s="40"/>
      <c r="W62" s="40"/>
      <c r="X62" s="41"/>
      <c r="Y62" s="41"/>
      <c r="Z62" s="41"/>
      <c r="AA62" s="41"/>
      <c r="AB62" s="41"/>
      <c r="AC62" s="42"/>
      <c r="AD62" s="42"/>
    </row>
    <row r="63" spans="1:30"/>
    <row r="64" spans="1:30">
      <c r="C64" s="13" t="str">
        <f>B62</f>
        <v>Regulatory years</v>
      </c>
      <c r="D64" s="21" t="s">
        <v>35</v>
      </c>
      <c r="E64" s="21"/>
      <c r="F64" s="14"/>
      <c r="G64" s="14" t="s">
        <v>272</v>
      </c>
      <c r="H64" s="14" t="s">
        <v>43</v>
      </c>
    </row>
    <row r="65" spans="1:30">
      <c r="C65" s="15" t="s">
        <v>273</v>
      </c>
      <c r="D65" s="16" t="s">
        <v>88</v>
      </c>
      <c r="E65" s="16"/>
      <c r="F65" s="16"/>
      <c r="G65" s="128" t="str">
        <f>IF(MONTH('Input|General'!$G$9)=12,PPFirstYear,PPFirstYear-1&amp;"–"&amp;RIGHT(PPFirstYear,2))</f>
        <v>2020–21</v>
      </c>
      <c r="H65" s="130">
        <f>DATE(PPFirstYear,MONTH('Input|General'!$G$9),1)</f>
        <v>44348</v>
      </c>
    </row>
    <row r="66" spans="1:30">
      <c r="C66" s="15" t="s">
        <v>274</v>
      </c>
      <c r="D66" s="16" t="s">
        <v>88</v>
      </c>
      <c r="E66" s="16"/>
      <c r="F66" s="16"/>
      <c r="G66" s="129" t="str">
        <f>IF(PPLastYear-PPFirstYear&lt;1,"",LEFT(G65,4)+1&amp;"–"&amp;RIGHT(G65,2)+1)</f>
        <v>2021–22</v>
      </c>
      <c r="H66" s="130">
        <f>IF(PPLastYear-PPFirstYear&lt;1,"",DATE(PPFirstYear+1,MONTH('Input|General'!$G$9),1))</f>
        <v>44713</v>
      </c>
    </row>
    <row r="67" spans="1:30">
      <c r="C67" s="15" t="s">
        <v>275</v>
      </c>
      <c r="D67" s="16" t="s">
        <v>88</v>
      </c>
      <c r="E67" s="16"/>
      <c r="F67" s="16"/>
      <c r="G67" s="129" t="str">
        <f>IF(PPLastYear-PPFirstYear&lt;2,"",LEFT(G66,4)+1&amp;"–"&amp;RIGHT(G66,2)+1)</f>
        <v>2022–23</v>
      </c>
      <c r="H67" s="130">
        <f>IF(PPLastYear-PPFirstYear&lt;2,"",DATE(PPFirstYear+2,MONTH('Input|General'!$G$9),1))</f>
        <v>45078</v>
      </c>
    </row>
    <row r="68" spans="1:30">
      <c r="C68" s="15" t="s">
        <v>276</v>
      </c>
      <c r="D68" s="16" t="s">
        <v>88</v>
      </c>
      <c r="E68" s="16"/>
      <c r="F68" s="16"/>
      <c r="G68" s="129" t="str">
        <f>IF(PPLastYear-PPFirstYear&lt;3,"",LEFT(G67,4)+1&amp;"–"&amp;RIGHT(G67,2)+1)</f>
        <v>2023–24</v>
      </c>
      <c r="H68" s="130">
        <f>IF(PPLastYear-PPFirstYear&lt;3,"",DATE(PPFirstYear+3,MONTH('Input|General'!$G$9),1))</f>
        <v>45444</v>
      </c>
    </row>
    <row r="69" spans="1:30">
      <c r="C69" s="15" t="s">
        <v>277</v>
      </c>
      <c r="D69" s="16" t="s">
        <v>88</v>
      </c>
      <c r="E69" s="16"/>
      <c r="F69" s="16"/>
      <c r="G69" s="129" t="str">
        <f>IF(PPLastYear-PPFirstYear&lt;4,"",LEFT(G68,4)+1&amp;"–"&amp;RIGHT(G68,2)+1)</f>
        <v>2024–25</v>
      </c>
      <c r="H69" s="130">
        <f>IF(PPLastYear-PPFirstYear&lt;4,"",DATE(PPFirstYear+4,MONTH('Input|General'!$G$9),1))</f>
        <v>45809</v>
      </c>
    </row>
    <row r="70" spans="1:30">
      <c r="C70" s="15" t="s">
        <v>278</v>
      </c>
      <c r="D70" s="16" t="s">
        <v>88</v>
      </c>
      <c r="E70" s="16"/>
      <c r="F70" s="16"/>
      <c r="G70" s="129" t="str">
        <f>IF(MONTH('Input|General'!$G$9)=12,FPFirstYear,FPFirstYear-1&amp;"–"&amp;RIGHT(FPFirstYear,2))</f>
        <v>2025–26</v>
      </c>
      <c r="H70" s="130">
        <f>DATE(FPFirstYear,MONTH('Input|General'!$G$9),1)</f>
        <v>46174</v>
      </c>
      <c r="T70" s="17"/>
    </row>
    <row r="71" spans="1:30">
      <c r="C71" s="15" t="s">
        <v>279</v>
      </c>
      <c r="D71" s="16" t="s">
        <v>88</v>
      </c>
      <c r="E71" s="16"/>
      <c r="F71" s="16"/>
      <c r="G71" s="129" t="str">
        <f>IF(FPLastYear-FPFirstYear&lt;1,"",LEFT(G70,4)+1&amp;"–"&amp;RIGHT(G70,2)+1)</f>
        <v>2026–27</v>
      </c>
      <c r="H71" s="130">
        <f>IF(FPLastYear-FPFirstYear&lt;1,"",DATE(FPFirstYear+1,MONTH('Input|General'!$G$9),1))</f>
        <v>46539</v>
      </c>
      <c r="T71" s="17"/>
    </row>
    <row r="72" spans="1:30">
      <c r="C72" s="15" t="s">
        <v>280</v>
      </c>
      <c r="D72" s="16" t="s">
        <v>88</v>
      </c>
      <c r="E72" s="16"/>
      <c r="F72" s="16"/>
      <c r="G72" s="129" t="str">
        <f>IF(FPLastYear-FPFirstYear&lt;2,"",LEFT(G71,4)+1&amp;"–"&amp;RIGHT(G71,2)+1)</f>
        <v>2027–28</v>
      </c>
      <c r="H72" s="130">
        <f>IF(FPLastYear-FPFirstYear&lt;2,"",DATE(FPFirstYear+2,MONTH('Input|General'!$G$9),1))</f>
        <v>46905</v>
      </c>
      <c r="T72" s="17"/>
    </row>
    <row r="73" spans="1:30">
      <c r="C73" s="15" t="s">
        <v>281</v>
      </c>
      <c r="D73" s="16" t="s">
        <v>88</v>
      </c>
      <c r="E73" s="16"/>
      <c r="F73" s="16"/>
      <c r="G73" s="129" t="str">
        <f>IF(FPLastYear-FPFirstYear&lt;3,"",LEFT(G72,4)+1&amp;"–"&amp;RIGHT(G72,2)+1)</f>
        <v>2028–29</v>
      </c>
      <c r="H73" s="130">
        <f>IF(FPLastYear-FPFirstYear&lt;3,"",DATE(FPFirstYear+3,MONTH('Input|General'!$G$9),1))</f>
        <v>47270</v>
      </c>
      <c r="T73" s="17"/>
    </row>
    <row r="74" spans="1:30">
      <c r="C74" s="15" t="s">
        <v>282</v>
      </c>
      <c r="D74" s="16" t="s">
        <v>88</v>
      </c>
      <c r="E74" s="16"/>
      <c r="F74" s="16"/>
      <c r="G74" s="129" t="str">
        <f>IF(FPLastYear-FPFirstYear&lt;4,"",LEFT(G73,4)+1&amp;"–"&amp;RIGHT(G73,2)+1)</f>
        <v>2029–30</v>
      </c>
      <c r="H74" s="130">
        <f>IF(FPLastYear-FPFirstYear&lt;4,"",DATE(FPFirstYear+4,MONTH('Input|General'!$G$9),1))</f>
        <v>47635</v>
      </c>
      <c r="T74" s="17"/>
    </row>
    <row r="75" spans="1:30">
      <c r="C75" s="15"/>
      <c r="D75" s="16"/>
      <c r="E75" s="16"/>
      <c r="F75" s="16"/>
      <c r="G75" s="150"/>
      <c r="H75" s="151"/>
      <c r="T75" s="17"/>
    </row>
    <row r="76" spans="1:30" customFormat="1" ht="12.75">
      <c r="A76" s="37"/>
      <c r="B76" s="43" t="s">
        <v>143</v>
      </c>
      <c r="C76" s="37"/>
      <c r="D76" s="37"/>
      <c r="E76" s="37"/>
      <c r="F76" s="38"/>
      <c r="G76" s="38"/>
      <c r="H76" s="38"/>
      <c r="I76" s="38"/>
      <c r="J76" s="39"/>
      <c r="K76" s="40"/>
      <c r="L76" s="39"/>
      <c r="M76" s="40"/>
      <c r="N76" s="39"/>
      <c r="O76" s="39"/>
      <c r="P76" s="39"/>
      <c r="Q76" s="39"/>
      <c r="R76" s="39"/>
      <c r="S76" s="39"/>
      <c r="T76" s="39"/>
      <c r="U76" s="39"/>
      <c r="V76" s="40"/>
      <c r="W76" s="40"/>
      <c r="X76" s="41"/>
      <c r="Y76" s="41"/>
      <c r="Z76" s="41"/>
      <c r="AA76" s="41"/>
      <c r="AB76" s="41"/>
      <c r="AC76" s="42"/>
      <c r="AD76" s="42"/>
    </row>
    <row r="77" spans="1:30"/>
    <row r="78" spans="1:30">
      <c r="C78" s="13" t="str">
        <f>B76</f>
        <v>Rate of change</v>
      </c>
      <c r="D78" s="21" t="s">
        <v>35</v>
      </c>
      <c r="E78" s="21"/>
      <c r="F78" s="14"/>
      <c r="G78" s="14" t="s">
        <v>272</v>
      </c>
      <c r="H78" s="14"/>
    </row>
    <row r="79" spans="1:30">
      <c r="C79" s="15" t="s">
        <v>283</v>
      </c>
      <c r="D79" s="16" t="s">
        <v>41</v>
      </c>
      <c r="E79" s="16"/>
      <c r="F79" s="16"/>
      <c r="G79" s="128" t="s">
        <v>284</v>
      </c>
      <c r="H79" s="151"/>
    </row>
    <row r="80" spans="1:30">
      <c r="C80" s="15" t="s">
        <v>285</v>
      </c>
      <c r="D80" s="16" t="s">
        <v>41</v>
      </c>
      <c r="E80" s="16"/>
      <c r="F80" s="16"/>
      <c r="G80" s="129" t="s">
        <v>50</v>
      </c>
      <c r="H80" s="151"/>
    </row>
    <row r="81" spans="1:30"/>
    <row r="82" spans="1:30" customFormat="1" ht="12.75">
      <c r="A82" s="37"/>
      <c r="B82" s="43" t="s">
        <v>25</v>
      </c>
      <c r="C82" s="37"/>
      <c r="D82" s="37"/>
      <c r="E82" s="37"/>
      <c r="F82" s="38"/>
      <c r="G82" s="38"/>
      <c r="H82" s="38"/>
      <c r="I82" s="38"/>
      <c r="J82" s="39"/>
      <c r="K82" s="40"/>
      <c r="L82" s="39"/>
      <c r="M82" s="40"/>
      <c r="N82" s="39"/>
      <c r="O82" s="39"/>
      <c r="P82" s="39"/>
      <c r="Q82" s="39"/>
      <c r="R82" s="39"/>
      <c r="S82" s="39"/>
      <c r="T82" s="39"/>
      <c r="U82" s="39"/>
      <c r="V82" s="40"/>
      <c r="W82" s="40"/>
      <c r="X82" s="41"/>
      <c r="Y82" s="41"/>
      <c r="Z82" s="41"/>
      <c r="AA82" s="41"/>
      <c r="AB82" s="41"/>
      <c r="AC82" s="42"/>
      <c r="AD82" s="42"/>
    </row>
  </sheetData>
  <conditionalFormatting sqref="P14:P21">
    <cfRule type="expression" dxfId="15" priority="55" stopIfTrue="1">
      <formula>#REF!="Actual"</formula>
    </cfRule>
  </conditionalFormatting>
  <conditionalFormatting sqref="P61">
    <cfRule type="expression" dxfId="14" priority="2" stopIfTrue="1">
      <formula>#REF!="Actual"</formula>
    </cfRule>
  </conditionalFormatting>
  <conditionalFormatting sqref="P81">
    <cfRule type="expression" dxfId="13" priority="53" stopIfTrue="1">
      <formula>#REF!="Actual"</formula>
    </cfRule>
  </conditionalFormatting>
  <conditionalFormatting sqref="P14:Q21">
    <cfRule type="expression" dxfId="12" priority="56" stopIfTrue="1">
      <formula>#REF!="Actual"</formula>
    </cfRule>
  </conditionalFormatting>
  <conditionalFormatting sqref="Q61">
    <cfRule type="expression" dxfId="11" priority="1" stopIfTrue="1">
      <formula>#REF!="Actual"</formula>
    </cfRule>
  </conditionalFormatting>
  <conditionalFormatting sqref="Q81">
    <cfRule type="expression" dxfId="10" priority="50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D24"/>
  <sheetViews>
    <sheetView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26</v>
      </c>
      <c r="L1" s="33" t="s">
        <v>27</v>
      </c>
      <c r="M1" s="50" t="s">
        <v>28</v>
      </c>
      <c r="N1" s="11" t="s">
        <v>29</v>
      </c>
      <c r="O1" s="12" t="s">
        <v>30</v>
      </c>
      <c r="R1" s="126" t="s">
        <v>32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286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287</v>
      </c>
      <c r="D9" s="14" t="s">
        <v>35</v>
      </c>
      <c r="E9" s="14" t="s">
        <v>61</v>
      </c>
      <c r="F9" s="14"/>
      <c r="G9" s="14" t="s">
        <v>288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101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8" t="str">
        <f>C11</f>
        <v>Input | Inflation</v>
      </c>
      <c r="E11" s="16" t="s">
        <v>101</v>
      </c>
      <c r="F11" s="16"/>
      <c r="G11" s="18" t="str">
        <f>'Input|Inflation'!M1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101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101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101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101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101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7"/>
      <c r="B18" s="43" t="s">
        <v>25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  <row r="24" spans="1:30"/>
  </sheetData>
  <conditionalFormatting sqref="G10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 Rate of change'!A1" display="'Input| 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8000000}"/>
    <hyperlink ref="R1" location="'Check|List'!A1" display="Overall Check:" xr:uid="{00000000-0004-0000-09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f9e2a3-ddce-444d-9f34-47b009369a7d">
      <Terms xmlns="http://schemas.microsoft.com/office/infopath/2007/PartnerControls"/>
    </lcf76f155ced4ddcb4097134ff3c332f>
    <TaxCatchAll xmlns="a7057c79-7d51-421d-a905-1d0948ddf619" xsi:nil="true"/>
    <Hyperlink xmlns="d3f9e2a3-ddce-444d-9f34-47b009369a7d">
      <Url xsi:nil="true"/>
      <Description xsi:nil="true"/>
    </Hyperlink>
    <SharedWithUsers xmlns="a7057c79-7d51-421d-a905-1d0948ddf619">
      <UserInfo>
        <DisplayName/>
        <AccountId xsi:nil="true"/>
        <AccountType/>
      </UserInfo>
    </SharedWithUsers>
    <MediaLengthInSeconds xmlns="d3f9e2a3-ddce-444d-9f34-47b009369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4BB8B8-02D1-491D-86A9-68FFFD27FE8E}"/>
</file>

<file path=customXml/itemProps2.xml><?xml version="1.0" encoding="utf-8"?>
<ds:datastoreItem xmlns:ds="http://schemas.openxmlformats.org/officeDocument/2006/customXml" ds:itemID="{846B29E9-D171-4BC5-B8B6-EFD77B35A7D2}"/>
</file>

<file path=customXml/itemProps3.xml><?xml version="1.0" encoding="utf-8"?>
<ds:datastoreItem xmlns:ds="http://schemas.openxmlformats.org/officeDocument/2006/customXml" ds:itemID="{BB7E90EA-A804-44B0-9CF9-D20829D0B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Paige Jury</cp:lastModifiedBy>
  <cp:revision/>
  <dcterms:created xsi:type="dcterms:W3CDTF">2020-04-15T02:05:25Z</dcterms:created>
  <dcterms:modified xsi:type="dcterms:W3CDTF">2024-01-30T01:27:23Z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0x010100F847192EE784F942B38F164D75803B86</vt:lpwstr>
  </property>
  <property fmtid="{D5CDD505-2E9C-101B-9397-08002B2CF9AE}" pid="3" name="MediaServiceImageTags">
    <vt:lpwstr/>
  </property>
  <property fmtid="{D5CDD505-2E9C-101B-9397-08002B2CF9AE}" pid="4" name="Order">
    <vt:r8>116800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