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powernetworks.sharepoint.com/sites/Reset2025/Shared Documents/General/Reg Proposal documentation/Attachments/5. Capex/5.5 Connections/"/>
    </mc:Choice>
  </mc:AlternateContent>
  <xr:revisionPtr revIDLastSave="27" documentId="8_{43CC301C-F6D3-45E2-A6F4-A3AAFD1D50F7}" xr6:coauthVersionLast="47" xr6:coauthVersionMax="47" xr10:uidLastSave="{82F246E3-5C31-4CDF-AACB-C45523A70D7C}"/>
  <bookViews>
    <workbookView xWindow="38280" yWindow="5325" windowWidth="29040" windowHeight="15840" tabRatio="630" firstSheet="3" activeTab="8" xr2:uid="{00000000-000D-0000-FFFF-FFFF00000000}"/>
  </bookViews>
  <sheets>
    <sheet name="TOTAL SUMMARY" sheetId="24" r:id="rId1"/>
    <sheet name="Connections_excl EG" sheetId="25" r:id="rId2"/>
    <sheet name="Oct 23 RIN $ OEA forecast " sheetId="28" r:id="rId3"/>
    <sheet name="OEA_23 Oct 2023 from Report" sheetId="26" r:id="rId4"/>
    <sheet name="Summary excl EG" sheetId="17" r:id="rId5"/>
    <sheet name="RIN vs IM" sheetId="15" r:id="rId6"/>
    <sheet name="SAP IM, Historical" sheetId="14" r:id="rId7"/>
    <sheet name="RIN, Cont workings" sheetId="23" r:id="rId8"/>
    <sheet name="RIN, Exp workings" sheetId="16" r:id="rId9"/>
    <sheet name="CPI Table" sheetId="27" state="hidden" r:id="rId10"/>
  </sheets>
  <definedNames>
    <definedName name="\A" localSheetId="3">#REF!</definedName>
    <definedName name="\A" localSheetId="6">#REF!</definedName>
    <definedName name="\A">#REF!</definedName>
    <definedName name="\B" localSheetId="3">#REF!</definedName>
    <definedName name="\B" localSheetId="6">#REF!</definedName>
    <definedName name="\B">#REF!</definedName>
    <definedName name="\C">#REF!</definedName>
    <definedName name="\I" localSheetId="6">#REF!</definedName>
    <definedName name="\I">#REF!</definedName>
    <definedName name="\N" localSheetId="3">#REF!</definedName>
    <definedName name="\N" localSheetId="6">#REF!</definedName>
    <definedName name="\N">#REF!</definedName>
    <definedName name="\O" localSheetId="6">#REF!</definedName>
    <definedName name="\O">#REF!</definedName>
    <definedName name="\P" localSheetId="3">#REF!</definedName>
    <definedName name="\P" localSheetId="6">#REF!</definedName>
    <definedName name="\P">#REF!</definedName>
    <definedName name="\Q" localSheetId="6">#REF!</definedName>
    <definedName name="\Q">#REF!</definedName>
    <definedName name="\R" localSheetId="6">#REF!</definedName>
    <definedName name="\R">#REF!</definedName>
    <definedName name="\S" localSheetId="6">#REF!</definedName>
    <definedName name="\S">#REF!</definedName>
    <definedName name="\T" localSheetId="3">#REF!</definedName>
    <definedName name="\T">#REF!</definedName>
    <definedName name="\V" localSheetId="3">#REF!</definedName>
    <definedName name="\V">#REF!</definedName>
    <definedName name="\W" localSheetId="3">#REF!</definedName>
    <definedName name="\W" localSheetId="6">#REF!</definedName>
    <definedName name="\W">#REF!</definedName>
    <definedName name="\X" localSheetId="6">#REF!</definedName>
    <definedName name="\X">#REF!</definedName>
    <definedName name="__123Graph_A" hidden="1">#REF!</definedName>
    <definedName name="__123Graph_CWH2" hidden="1">#REF!</definedName>
    <definedName name="__123Graph_CWH3" hidden="1">#REF!</definedName>
    <definedName name="__123Graph_X" hidden="1">#REF!</definedName>
    <definedName name="_1__123Graph_ACHART_1" hidden="1">#REF!</definedName>
    <definedName name="_10__123Graph_ACHART_3" hidden="1">#REF!</definedName>
    <definedName name="_11__123Graph_ACHART_30" hidden="1">#REF!</definedName>
    <definedName name="_12__123Graph_ACHART_31" hidden="1">#REF!</definedName>
    <definedName name="_13__123Graph_ACHART_35" hidden="1">#REF!</definedName>
    <definedName name="_14__123Graph_ACHART_4" hidden="1">#REF!</definedName>
    <definedName name="_15__123Graph_ACHART_5" hidden="1">#REF!</definedName>
    <definedName name="_16__123Graph_ACHART_6" hidden="1">#REF!</definedName>
    <definedName name="_17__123Graph_ACHART_62" hidden="1">#REF!</definedName>
    <definedName name="_18__123Graph_ACHART_66" localSheetId="6" hidden="1">#REF!</definedName>
    <definedName name="_18__123Graph_ACHART_66" hidden="1">#REF!</definedName>
    <definedName name="_19__123Graph_ACHART_68" hidden="1">#REF!</definedName>
    <definedName name="_2__123Graph_ACHART_10" hidden="1">#REF!</definedName>
    <definedName name="_20__123Graph_ACHART_69" localSheetId="6" hidden="1">#REF!</definedName>
    <definedName name="_20__123Graph_ACHART_69" hidden="1">#REF!</definedName>
    <definedName name="_21__123Graph_ACHART_7" hidden="1">#REF!</definedName>
    <definedName name="_22__123Graph_ACHART_70" hidden="1">#REF!</definedName>
    <definedName name="_23__123Graph_ACHART_71" hidden="1">#REF!</definedName>
    <definedName name="_24__123Graph_ACHART_8" hidden="1">#REF!</definedName>
    <definedName name="_25__123Graph_ACHART_9" hidden="1">#REF!</definedName>
    <definedName name="_26__123Graph_BCHART_10" hidden="1">#REF!</definedName>
    <definedName name="_27__123Graph_BCHART_11" hidden="1">#REF!</definedName>
    <definedName name="_27__123Graph_CCHART_1" localSheetId="6" hidden="1">#REF!</definedName>
    <definedName name="_27__123Graph_CCHART_1" hidden="1">#REF!</definedName>
    <definedName name="_28__123Graph_BCHART_12" hidden="1">#REF!</definedName>
    <definedName name="_29__123Graph_BCHART_13" localSheetId="6" hidden="1">#REF!</definedName>
    <definedName name="_29__123Graph_BCHART_13" hidden="1">#REF!</definedName>
    <definedName name="_3__123Graph_ACHART_11" hidden="1">#REF!</definedName>
    <definedName name="_30__123Graph_BCHART_15" hidden="1">#REF!</definedName>
    <definedName name="_31__123Graph_BCHART_16" hidden="1">#REF!</definedName>
    <definedName name="_32__123Graph_BCHART_2" hidden="1">#REF!</definedName>
    <definedName name="_32__123Graph_CCHART_2" localSheetId="6" hidden="1">#REF!</definedName>
    <definedName name="_32__123Graph_CCHART_2" hidden="1">#REF!</definedName>
    <definedName name="_33__123Graph_BCHART_3" hidden="1">#REF!</definedName>
    <definedName name="_33__123Graph_CCHART_3" localSheetId="6" hidden="1">#REF!</definedName>
    <definedName name="_33__123Graph_CCHART_3" hidden="1">#REF!</definedName>
    <definedName name="_34__123Graph_BCHART_30" hidden="1">#REF!</definedName>
    <definedName name="_34__123Graph_CCHART_4" localSheetId="6" hidden="1">#REF!</definedName>
    <definedName name="_34__123Graph_CCHART_4" hidden="1">#REF!</definedName>
    <definedName name="_35__123Graph_BCHART_31" hidden="1">#REF!</definedName>
    <definedName name="_35__123Graph_CCHART_5" localSheetId="6" hidden="1">#REF!</definedName>
    <definedName name="_35__123Graph_CCHART_5" hidden="1">#REF!</definedName>
    <definedName name="_36__123Graph_BCHART_35" hidden="1">#REF!</definedName>
    <definedName name="_36__123Graph_CCHART_6" localSheetId="6" hidden="1">#REF!</definedName>
    <definedName name="_36__123Graph_CCHART_6" hidden="1">#REF!</definedName>
    <definedName name="_37__123Graph_BCHART_4" hidden="1">#REF!</definedName>
    <definedName name="_38__123Graph_BCHART_5" hidden="1">#REF!</definedName>
    <definedName name="_39__123Graph_BCHART_6" hidden="1">#REF!</definedName>
    <definedName name="_4__123Graph_ACHART_12" localSheetId="6" hidden="1">#REF!</definedName>
    <definedName name="_4__123Graph_ACHART_12" hidden="1">#REF!</definedName>
    <definedName name="_40__123Graph_BCHART_62" hidden="1">#REF!</definedName>
    <definedName name="_41__123Graph_BCHART_66" localSheetId="6" hidden="1">#REF!</definedName>
    <definedName name="_41__123Graph_BCHART_66" hidden="1">#REF!</definedName>
    <definedName name="_42__123Graph_BCHART_68" hidden="1">#REF!</definedName>
    <definedName name="_43__123Graph_BCHART_69" localSheetId="6" hidden="1">#REF!</definedName>
    <definedName name="_43__123Graph_BCHART_69" hidden="1">#REF!</definedName>
    <definedName name="_44__123Graph_BCHART_7" localSheetId="6" hidden="1">#REF!</definedName>
    <definedName name="_44__123Graph_BCHART_7" hidden="1">#REF!</definedName>
    <definedName name="_45__123Graph_BCHART_70" hidden="1">#REF!</definedName>
    <definedName name="_46__123Graph_BCHART_71" hidden="1">#REF!</definedName>
    <definedName name="_47__123Graph_BCHART_8" localSheetId="6" hidden="1">#REF!</definedName>
    <definedName name="_47__123Graph_BCHART_8" hidden="1">#REF!</definedName>
    <definedName name="_48__123Graph_BCHART_9" hidden="1">#REF!</definedName>
    <definedName name="_49__123Graph_CCHART_1" localSheetId="6" hidden="1">#REF!</definedName>
    <definedName name="_49__123Graph_CCHART_1" hidden="1">#REF!</definedName>
    <definedName name="_5__123Graph_ACHART_13" localSheetId="6" hidden="1">#REF!</definedName>
    <definedName name="_5__123Graph_ACHART_13" hidden="1">#REF!</definedName>
    <definedName name="_50__123Graph_CCHART_11" hidden="1">#REF!</definedName>
    <definedName name="_51__123Graph_CCHART_12" hidden="1">#REF!</definedName>
    <definedName name="_52__123Graph_CCHART_13" hidden="1">#REF!</definedName>
    <definedName name="_53__123Graph_CCHART_14" hidden="1">#REF!</definedName>
    <definedName name="_54__123Graph_CCHART_15" hidden="1">#REF!</definedName>
    <definedName name="_55__123Graph_CCHART_16" hidden="1">#REF!</definedName>
    <definedName name="_56__123Graph_CCHART_2" hidden="1">#REF!</definedName>
    <definedName name="_57__123Graph_CCHART_62" hidden="1">#REF!</definedName>
    <definedName name="_58__123Graph_CCHART_66" localSheetId="6" hidden="1">#REF!</definedName>
    <definedName name="_58__123Graph_CCHART_66" hidden="1">#REF!</definedName>
    <definedName name="_59__123Graph_CCHART_68" hidden="1">#REF!</definedName>
    <definedName name="_6__123Graph_ACHART_14" hidden="1">#REF!</definedName>
    <definedName name="_60__123Graph_CCHART_69" localSheetId="6" hidden="1">#REF!</definedName>
    <definedName name="_60__123Graph_CCHART_69" hidden="1">#REF!</definedName>
    <definedName name="_61__123Graph_CCHART_70" hidden="1">#REF!</definedName>
    <definedName name="_62__123Graph_DCHART_1" hidden="1">#REF!</definedName>
    <definedName name="_63__123Graph_DCHART_11" hidden="1">#REF!</definedName>
    <definedName name="_64__123Graph_DCHART_13" hidden="1">#REF!</definedName>
    <definedName name="_65__123Graph_DCHART_16" hidden="1">#REF!</definedName>
    <definedName name="_66__123Graph_DCHART_2" hidden="1">#REF!</definedName>
    <definedName name="_67__123Graph_DCHART_66" localSheetId="6" hidden="1">#REF!</definedName>
    <definedName name="_67__123Graph_DCHART_66" hidden="1">#REF!</definedName>
    <definedName name="_68__123Graph_DCHART_68" hidden="1">#REF!</definedName>
    <definedName name="_69__123Graph_DCHART_70" hidden="1">#REF!</definedName>
    <definedName name="_7__123Graph_ACHART_15" hidden="1">#REF!</definedName>
    <definedName name="_70__123Graph_ECHART_11" hidden="1">#REF!</definedName>
    <definedName name="_71__123Graph_ECHART_2" hidden="1">#REF!</definedName>
    <definedName name="_72__123Graph_ECHART_66" localSheetId="6" hidden="1">#REF!</definedName>
    <definedName name="_72__123Graph_ECHART_66" hidden="1">#REF!</definedName>
    <definedName name="_73__123Graph_ECHART_68" hidden="1">#REF!</definedName>
    <definedName name="_74__123Graph_XCHART_10" hidden="1">#REF!</definedName>
    <definedName name="_75__123Graph_XCHART_11" hidden="1">#REF!</definedName>
    <definedName name="_76__123Graph_XCHART_12" hidden="1">#REF!</definedName>
    <definedName name="_77__123Graph_XCHART_13" hidden="1">#REF!</definedName>
    <definedName name="_78__123Graph_XCHART_14" hidden="1">#REF!</definedName>
    <definedName name="_79__123Graph_XCHART_15" hidden="1">#REF!</definedName>
    <definedName name="_8__123Graph_ACHART_16" hidden="1">#REF!</definedName>
    <definedName name="_80__123Graph_XCHART_16" hidden="1">#REF!</definedName>
    <definedName name="_81__123Graph_XCHART_2" hidden="1">#REF!</definedName>
    <definedName name="_82__123Graph_XCHART_3" hidden="1">#REF!</definedName>
    <definedName name="_83__123Graph_XCHART_35" hidden="1">#REF!</definedName>
    <definedName name="_84__123Graph_XCHART_4" hidden="1">#REF!</definedName>
    <definedName name="_85__123Graph_XCHART_5" hidden="1">#REF!</definedName>
    <definedName name="_86__123Graph_XCHART_6" hidden="1">#REF!</definedName>
    <definedName name="_87__123Graph_XCHART_7" hidden="1">#REF!</definedName>
    <definedName name="_88__123Graph_XCHART_71" hidden="1">#REF!</definedName>
    <definedName name="_89__123Graph_XCHART_8" hidden="1">#REF!</definedName>
    <definedName name="_9__123Graph_ACHART_2" hidden="1">#REF!</definedName>
    <definedName name="_90__123Graph_XCHART_9" hidden="1">#REF!</definedName>
    <definedName name="_Fill" localSheetId="3" hidden="1">#REF!</definedName>
    <definedName name="_Fill" localSheetId="6" hidden="1">#REF!</definedName>
    <definedName name="_Fill" hidden="1">#REF!</definedName>
    <definedName name="abba" hidden="1">{"Ownership",#N/A,FALSE,"Ownership";"Contents",#N/A,FALSE,"Contents"}</definedName>
    <definedName name="anscount" hidden="1">1</definedName>
    <definedName name="Array_Year_Header" localSheetId="6">{"2008/09","2009/10","2010/11","2011/12","2012/13","2013/14","2014/15"}</definedName>
    <definedName name="Array_Year_Header">{"2008/09","2009/10","2010/11","2011/12","2012/13","2013/14","2014/15"}</definedName>
    <definedName name="AS2DocOpenMode" hidden="1">"AS2DocumentEdit"</definedName>
    <definedName name="BYGENDER" localSheetId="6">#REF!</definedName>
    <definedName name="BYGENDER">#REF!</definedName>
    <definedName name="BYINDUSTRY" localSheetId="6">#REF!</definedName>
    <definedName name="BYINDUSTRY">#REF!</definedName>
    <definedName name="COMP" localSheetId="6">#REF!</definedName>
    <definedName name="COMP">#REF!</definedName>
    <definedName name="CONT" localSheetId="6">#REF!</definedName>
    <definedName name="CONT">#REF!</definedName>
    <definedName name="CRCP_span" comment="Generic cover sheet">CONCATENATE(CRCP_y1, " to ",CRCP_y5)</definedName>
    <definedName name="CRCP_y1">#REF!</definedName>
    <definedName name="CRCP_y2">#REF!</definedName>
    <definedName name="CRCP_y3">#REF!</definedName>
    <definedName name="CRCP_y4">#REF!</definedName>
    <definedName name="CRCP_y5">#REF!</definedName>
    <definedName name="CRY">#REF!</definedName>
    <definedName name="Damon" localSheetId="6" hidden="1">#REF!</definedName>
    <definedName name="Damon" hidden="1">#REF!</definedName>
    <definedName name="DATES" localSheetId="6">#REF!</definedName>
    <definedName name="DATES">#REF!</definedName>
    <definedName name="DAY" localSheetId="6">#REF!</definedName>
    <definedName name="DAY">#REF!</definedName>
    <definedName name="dfyhdydydy" hidden="1">#REF!</definedName>
    <definedName name="dms_020301_ProjectType_List">#REF!</definedName>
    <definedName name="dms_020302_ProjectType_List">#REF!</definedName>
    <definedName name="dms_020501_01_Rows">#REF!</definedName>
    <definedName name="dms_020501_01_Values">#REF!</definedName>
    <definedName name="dms_020501_01a_Values">#REF!</definedName>
    <definedName name="dms_020501_02_Rows">#REF!</definedName>
    <definedName name="dms_020501_02_Values">#REF!</definedName>
    <definedName name="dms_020501_02a_Values">#REF!</definedName>
    <definedName name="dms_020501_03_Rows">#REF!</definedName>
    <definedName name="dms_020501_03_Values">#REF!</definedName>
    <definedName name="dms_020501_03a_Values">#REF!</definedName>
    <definedName name="dms_020501_04_Rows">#REF!</definedName>
    <definedName name="dms_020501_04_Values">#REF!</definedName>
    <definedName name="dms_020501_04a_Values">#REF!</definedName>
    <definedName name="dms_020502_01_Exp_Values">#REF!</definedName>
    <definedName name="dms_020502_01_Rows">#REF!</definedName>
    <definedName name="dms_020502_01_Vol_Values">#REF!</definedName>
    <definedName name="dms_020502_02_01_Exp_Values">#REF!</definedName>
    <definedName name="dms_020502_02_02_Exp_Values">#REF!</definedName>
    <definedName name="dms_020502_02_03_Exp_Values">#REF!</definedName>
    <definedName name="dms_020502_02_04_Exp_Values">#REF!</definedName>
    <definedName name="dms_020502_02_Exp_Values">#REF!</definedName>
    <definedName name="dms_020502_02_Rows">#REF!</definedName>
    <definedName name="dms_020502_02_Vol_Values">#REF!</definedName>
    <definedName name="dms_020502_03_01_Exp_Values">#REF!</definedName>
    <definedName name="dms_020502_03_02_Exp_Values">#REF!</definedName>
    <definedName name="dms_020502_03_03_Exp_Values">#REF!</definedName>
    <definedName name="dms_020502_03_04_Exp_Values">#REF!</definedName>
    <definedName name="dms_020502_03_Exp_Values">#REF!</definedName>
    <definedName name="dms_020502_03_Rows">#REF!</definedName>
    <definedName name="dms_020502_03_Vol_Values">#REF!</definedName>
    <definedName name="dms_020502_04_Exp_Values">#REF!</definedName>
    <definedName name="dms_020502_04_Rows">#REF!</definedName>
    <definedName name="dms_020502_04_Vol_Values">#REF!</definedName>
    <definedName name="dms_020503_02_01_Vol_Values">#REF!</definedName>
    <definedName name="dms_020503_02_02_Vol_Values">#REF!</definedName>
    <definedName name="dms_020503_02_03_Vol_Values">#REF!</definedName>
    <definedName name="dms_020503_02_04_Vol_Values">#REF!</definedName>
    <definedName name="dms_020503_03_01_Vol_Values">#REF!</definedName>
    <definedName name="dms_020503_03_02_Vol_Values">#REF!</definedName>
    <definedName name="dms_020503_03_03_Vol_Values">#REF!</definedName>
    <definedName name="dms_020503_03_04_Vol_Values">#REF!</definedName>
    <definedName name="dms_060201_01_Rows">#REF!</definedName>
    <definedName name="dms_060201_01_Values">#REF!</definedName>
    <definedName name="dms_060201_02_Values">#REF!</definedName>
    <definedName name="dms_060202_01_Values">#REF!</definedName>
    <definedName name="dms_060202_02_Values">#REF!</definedName>
    <definedName name="dms_060203_01_Values">#REF!</definedName>
    <definedName name="dms_060203_02_Values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060801_StartCell">#REF!</definedName>
    <definedName name="dms_663_List">#REF!</definedName>
    <definedName name="dms_ABN_List">#REF!</definedName>
    <definedName name="dms_Addr1_List">#REF!</definedName>
    <definedName name="dms_Addr2_List">#REF!</definedName>
    <definedName name="dms_BaseStepTrend">#REF!</definedName>
    <definedName name="dms_BaseYear_Choice">#REF!</definedName>
    <definedName name="dms_BaseYear_List">#REF!</definedName>
    <definedName name="dms_CBD_flag">#REF!</definedName>
    <definedName name="dms_CF_3.6.1">#REF!</definedName>
    <definedName name="dms_CF_3.6.6">#REF!</definedName>
    <definedName name="dms_CF_3.6.6.2">#REF!</definedName>
    <definedName name="dms_CF_3.6.6.3">#REF!</definedName>
    <definedName name="dms_CF_4.4.1">#REF!</definedName>
    <definedName name="dms_CF_6.6.2">#REF!</definedName>
    <definedName name="dms_CF_6.6.3">#REF!</definedName>
    <definedName name="dms_CF_6.6.4">#REF!</definedName>
    <definedName name="dms_CF_TradingName">#REF!</definedName>
    <definedName name="dms_CFinalYear_List">#REF!</definedName>
    <definedName name="dms_ContactEmail_List">#REF!</definedName>
    <definedName name="dms_ContactName1_List">#REF!</definedName>
    <definedName name="dms_ContactPh1_List">#REF!</definedName>
    <definedName name="dms_CRCP_FinalYear_Result">#REF!</definedName>
    <definedName name="dms_CRCP_FirstYear_Result">#REF!</definedName>
    <definedName name="dms_CRCP_index">#REF!</definedName>
    <definedName name="dms_CRCP_years">#REF!</definedName>
    <definedName name="dms_CRCP_yM">#REF!</definedName>
    <definedName name="dms_CRCP_yN">#REF!</definedName>
    <definedName name="dms_CRCP_yO">#REF!</definedName>
    <definedName name="dms_CRCP_yP">#REF!</definedName>
    <definedName name="dms_CRCP_yQ">#REF!</definedName>
    <definedName name="dms_CRCP_yR">#REF!</definedName>
    <definedName name="dms_CRCP_yS">#REF!</definedName>
    <definedName name="dms_CRCP_yT">#REF!</definedName>
    <definedName name="dms_CRCP_yU">#REF!</definedName>
    <definedName name="dms_CRCP_yV">#REF!</definedName>
    <definedName name="dms_CRCP_yW">#REF!</definedName>
    <definedName name="dms_CRCP_yX">#REF!</definedName>
    <definedName name="dms_CRCP_yY">#REF!</definedName>
    <definedName name="dms_CRCP_yZ">#REF!</definedName>
    <definedName name="dms_CRCPlength_List">#REF!</definedName>
    <definedName name="dms_CRCPlength_Num">#REF!</definedName>
    <definedName name="dms_CRCPlength_Num_List">#REF!</definedName>
    <definedName name="dms_CRY_ListC">#REF!</definedName>
    <definedName name="dms_CRY_ListF">#REF!</definedName>
    <definedName name="dms_CRYc_y1">#REF!</definedName>
    <definedName name="dms_CRYc_y10">#REF!</definedName>
    <definedName name="dms_CRYc_y11">#REF!</definedName>
    <definedName name="dms_CRYc_y12">#REF!</definedName>
    <definedName name="dms_CRYc_y13">#REF!</definedName>
    <definedName name="dms_CRYc_y14">#REF!</definedName>
    <definedName name="dms_CRYc_y15">#REF!</definedName>
    <definedName name="dms_CRYc_y16">#REF!</definedName>
    <definedName name="dms_CRYc_y17">#REF!</definedName>
    <definedName name="dms_CRYc_y18">#REF!</definedName>
    <definedName name="dms_CRYc_y19">#REF!</definedName>
    <definedName name="dms_CRYc_y2">#REF!</definedName>
    <definedName name="dms_CRYc_y3">#REF!</definedName>
    <definedName name="dms_CRYc_y4">#REF!</definedName>
    <definedName name="dms_CRYc_y5">#REF!</definedName>
    <definedName name="dms_CRYc_y6">#REF!</definedName>
    <definedName name="dms_CRYc_y7">#REF!</definedName>
    <definedName name="dms_CRYc_y8">#REF!</definedName>
    <definedName name="dms_CRYc_y9">#REF!</definedName>
    <definedName name="dms_CRYf_y1">#REF!</definedName>
    <definedName name="dms_CRYf_y10">#REF!</definedName>
    <definedName name="dms_CRYf_y11">#REF!</definedName>
    <definedName name="dms_CRYf_y12">#REF!</definedName>
    <definedName name="dms_CRYf_y13">#REF!</definedName>
    <definedName name="dms_CRYf_y14">#REF!</definedName>
    <definedName name="dms_CRYf_y15">#REF!</definedName>
    <definedName name="dms_CRYf_y16">#REF!</definedName>
    <definedName name="dms_CRYf_y17">#REF!</definedName>
    <definedName name="dms_CRYf_y18">#REF!</definedName>
    <definedName name="dms_CRYf_y19">#REF!</definedName>
    <definedName name="dms_CRYf_y2">#REF!</definedName>
    <definedName name="dms_CRYf_y3">#REF!</definedName>
    <definedName name="dms_CRYf_y4">#REF!</definedName>
    <definedName name="dms_CRYf_y5">#REF!</definedName>
    <definedName name="dms_CRYf_y6">#REF!</definedName>
    <definedName name="dms_CRYf_y7">#REF!</definedName>
    <definedName name="dms_CRYf_y8">#REF!</definedName>
    <definedName name="dms_CRYf_y9">#REF!</definedName>
    <definedName name="dms_DataQuality">#REF!</definedName>
    <definedName name="dms_DataQuality_List">#REF!</definedName>
    <definedName name="dms_DeterminationRef_List">#REF!</definedName>
    <definedName name="dms_DollarReal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inalYear_List">#REF!</definedName>
    <definedName name="dms_FormControl_List">#REF!</definedName>
    <definedName name="dms_FRCP_ListC">#REF!</definedName>
    <definedName name="dms_FRCP_ListF">#REF!</definedName>
    <definedName name="dms_FRCP_y1">#REF!</definedName>
    <definedName name="dms_FRCP_y10">#REF!</definedName>
    <definedName name="dms_FRCP_y11">#REF!</definedName>
    <definedName name="dms_FRCP_y12">#REF!</definedName>
    <definedName name="dms_FRCP_y13">#REF!</definedName>
    <definedName name="dms_FRCP_y14">#REF!</definedName>
    <definedName name="dms_FRCP_y2">#REF!</definedName>
    <definedName name="dms_FRCP_y3">#REF!</definedName>
    <definedName name="dms_FRCP_y4">#REF!</definedName>
    <definedName name="dms_FRCP_y5">#REF!</definedName>
    <definedName name="dms_FRCP_y6">#REF!</definedName>
    <definedName name="dms_FRCP_y7">#REF!</definedName>
    <definedName name="dms_FRCP_y8">#REF!</definedName>
    <definedName name="dms_FRCP_y9">#REF!</definedName>
    <definedName name="dms_FRCPlength_List">#REF!</definedName>
    <definedName name="dms_FRCPlength_Num">#REF!</definedName>
    <definedName name="dms_FRCPlength_Num_List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ultiYear_FinalYear_Ref">#REF!</definedName>
    <definedName name="dms_MultiYear_FinalYear_Resul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ostCode_List">#REF!</definedName>
    <definedName name="dms_PPostCode_List">#REF!</definedName>
    <definedName name="dms_PRCPlength_Num">#REF!</definedName>
    <definedName name="dms_PState_List">#REF!</definedName>
    <definedName name="dms_PSuburb_List">#REF!</definedName>
    <definedName name="dms_Public_Lighting_List">#REF!</definedName>
    <definedName name="dms_Reg_Year_Span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Formula_Result">#REF!</definedName>
    <definedName name="dms_Sector_List">#REF!</definedName>
    <definedName name="dms_Segment">#REF!</definedName>
    <definedName name="dms_Segment_List">#REF!</definedName>
    <definedName name="dms_ShortRural_flag">#REF!</definedName>
    <definedName name="dms_SingleYear_FinalYear_Ref">#REF!</definedName>
    <definedName name="dms_SingleYear_FinalYear_Result">#REF!</definedName>
    <definedName name="dms_SingleYear_Model">#REF!</definedName>
    <definedName name="dms_SourceList">#REF!</definedName>
    <definedName name="dms_Specified_FinalYear">#REF!</definedName>
    <definedName name="dms_State_List">#REF!</definedName>
    <definedName name="dms_STPIS_Detail">#REF!</definedName>
    <definedName name="dms_STPIS_Reasons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Urban_flag">#REF!</definedName>
    <definedName name="dms_Worksheet_List">#REF!</definedName>
    <definedName name="Equipment">#REF!</definedName>
    <definedName name="FRCP_1to5">"2015-16 to 2019-20"</definedName>
    <definedName name="FRCP_span" comment="Generic cover sheet">CONCATENATE(FRCP_y1, " to ", FRCP_y5)</definedName>
    <definedName name="FRCP_y1">#REF!</definedName>
    <definedName name="FRCP_y2">#REF!</definedName>
    <definedName name="FRCP_y3">#REF!</definedName>
    <definedName name="FRCP_y4">#REF!</definedName>
    <definedName name="FRCP_y5">#REF!</definedName>
    <definedName name="FRY">#REF!</definedName>
    <definedName name="gfgfjhgghjh" localSheetId="6" hidden="1">#REF!</definedName>
    <definedName name="gfgfjhgghjh" hidden="1">#REF!</definedName>
    <definedName name="gfghfghfgh" localSheetId="6" hidden="1">#REF!</definedName>
    <definedName name="gfghfghfgh" hidden="1">#REF!</definedName>
    <definedName name="ghjhgjhgi" localSheetId="6" hidden="1">#REF!</definedName>
    <definedName name="ghjhgjhgi" hidden="1">#REF!</definedName>
    <definedName name="gjh" hidden="1">#REF!</definedName>
    <definedName name="gufutgfuyff" hidden="1">#REF!</definedName>
    <definedName name="hgfhfyhgfyhf" hidden="1">#REF!</definedName>
    <definedName name="hgfhgfghfguf" hidden="1">#REF!</definedName>
    <definedName name="hgfhgfyhfytfy" hidden="1">#REF!</definedName>
    <definedName name="hgujgyfuyuy" hidden="1">#REF!</definedName>
    <definedName name="hjkhkjhjk" hidden="1">#REF!</definedName>
    <definedName name="hkgjhgjhgjh" hidden="1">#REF!</definedName>
    <definedName name="huihuihuihu" hidden="1">#REF!</definedName>
    <definedName name="infn" localSheetId="6">#REF!</definedName>
    <definedName name="infn">#REF!</definedName>
    <definedName name="Infrastructure">#REF!</definedName>
    <definedName name="interest" localSheetId="3">#REF!</definedName>
    <definedName name="interest" localSheetId="6">#REF!</definedName>
    <definedName name="interest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hfghfgfgfh" localSheetId="6" hidden="1">#REF!</definedName>
    <definedName name="jhfghfgfgfh" hidden="1">#REF!</definedName>
    <definedName name="jhgjhgjhgjhgh" localSheetId="6" hidden="1">#REF!</definedName>
    <definedName name="jhgjhgjhgjhgh" hidden="1">#REF!</definedName>
    <definedName name="jhgjhgujhgjh" localSheetId="6" hidden="1">#REF!</definedName>
    <definedName name="jhgjhgujhgjh" hidden="1">#REF!</definedName>
    <definedName name="jhkjhjkhuiyhuiyui" hidden="1">#REF!</definedName>
    <definedName name="jhvjhgjhgjh" hidden="1">#REF!</definedName>
    <definedName name="jkfhkef" hidden="1">#REF!</definedName>
    <definedName name="jkghghiughuihui" hidden="1">#REF!</definedName>
    <definedName name="jkhgkjhjk" hidden="1">#REF!</definedName>
    <definedName name="jkhkjhikhi" hidden="1">#REF!</definedName>
    <definedName name="jkhkjhjk" hidden="1">#REF!</definedName>
    <definedName name="khjkhjkhhjkh" hidden="1">#REF!</definedName>
    <definedName name="khkjhjkhjkhh" hidden="1">#REF!</definedName>
    <definedName name="kjhjhjkjkjkjk" hidden="1">#REF!</definedName>
    <definedName name="kjhjkhjkhjkhk" hidden="1">#REF!</definedName>
    <definedName name="KSTOCK" localSheetId="3">#REF!</definedName>
    <definedName name="KSTOCK" localSheetId="6">#REF!</definedName>
    <definedName name="KSTOCK">#REF!</definedName>
    <definedName name="LAN" hidden="1">{"Ownership",#N/A,FALSE,"Ownership";"Contents",#N/A,FALSE,"Contents"}</definedName>
    <definedName name="Land" localSheetId="6">#REF!</definedName>
    <definedName name="Land">#REF!</definedName>
    <definedName name="List_CapexStart" localSheetId="6">#REF!</definedName>
    <definedName name="List_CapexStart">#REF!</definedName>
    <definedName name="List_Capital">#REF!</definedName>
    <definedName name="ljkhk" localSheetId="6" hidden="1">#REF!</definedName>
    <definedName name="ljkhk" hidden="1">#REF!</definedName>
    <definedName name="PAGE2" localSheetId="3">#REF!</definedName>
    <definedName name="PAGE2">#REF!</definedName>
    <definedName name="PB" localSheetId="6">#REF!</definedName>
    <definedName name="PB">#REF!</definedName>
    <definedName name="PBI" localSheetId="3">#REF!</definedName>
    <definedName name="PBI" localSheetId="6">#REF!</definedName>
    <definedName name="PBI">#REF!</definedName>
    <definedName name="PCE">#REF!</definedName>
    <definedName name="PCOMP" localSheetId="3">#REF!</definedName>
    <definedName name="PCOMP">#REF!</definedName>
    <definedName name="PCONT" localSheetId="3">#REF!</definedName>
    <definedName name="PCONT">#REF!</definedName>
    <definedName name="PMAIN" localSheetId="3">#REF!</definedName>
    <definedName name="PMAIN">#REF!</definedName>
    <definedName name="PP" localSheetId="6">#REF!</definedName>
    <definedName name="PP">#REF!</definedName>
    <definedName name="PPEXP" localSheetId="3">#REF!</definedName>
    <definedName name="PPEXP" localSheetId="6">#REF!</definedName>
    <definedName name="PPEXP">#REF!</definedName>
    <definedName name="PRCP_y1">#REF!</definedName>
    <definedName name="PRCP_y2">#REF!</definedName>
    <definedName name="PRCP_y3">#REF!</definedName>
    <definedName name="PRCP_y4">#REF!</definedName>
    <definedName name="PRCP_y5">#REF!</definedName>
    <definedName name="PREXP" localSheetId="3">#REF!</definedName>
    <definedName name="PREXP" localSheetId="6">#REF!</definedName>
    <definedName name="PREXP">#REF!</definedName>
    <definedName name="_xlnm.Print_Area" localSheetId="1">'Connections_excl EG'!$A$1:$U$41</definedName>
    <definedName name="_xlnm.Print_Area" localSheetId="3">'OEA_23 Oct 2023 from Report'!$B$1:$AC$33</definedName>
    <definedName name="PROP" localSheetId="6">#REF!</definedName>
    <definedName name="PROP">#REF!</definedName>
    <definedName name="PVEXP" localSheetId="3">#REF!</definedName>
    <definedName name="PVEXP" localSheetId="6">#REF!</definedName>
    <definedName name="PVEXP">#REF!</definedName>
    <definedName name="RANGE1" localSheetId="6">#REF!</definedName>
    <definedName name="RANGE1">#REF!</definedName>
    <definedName name="RCP_1to5">"2015-16 to 2019-20"</definedName>
    <definedName name="RDW" localSheetId="3">#REF!</definedName>
    <definedName name="REQP" localSheetId="3">#REF!</definedName>
    <definedName name="REXP" localSheetId="3">#REF!</definedName>
    <definedName name="RFORE" localSheetId="3">#REF!</definedName>
    <definedName name="RGC" localSheetId="3">#REF!</definedName>
    <definedName name="RGDP" localSheetId="3">#REF!</definedName>
    <definedName name="RGDP" localSheetId="6">#REF!</definedName>
    <definedName name="RGDP">#REF!</definedName>
    <definedName name="RGI" localSheetId="3">#REF!</definedName>
    <definedName name="RGNE" localSheetId="3">#REF!</definedName>
    <definedName name="RGNE" localSheetId="6">#REF!</definedName>
    <definedName name="RGNE">#REF!</definedName>
    <definedName name="RGT" localSheetId="3">#REF!</definedName>
    <definedName name="RIMP" localSheetId="3">#REF!</definedName>
    <definedName name="RIMP" localSheetId="6">#REF!</definedName>
    <definedName name="RIMP">#REF!</definedName>
    <definedName name="Risk_Matrix" localSheetId="6">#REF!</definedName>
    <definedName name="Risk_Matrix">#REF!</definedName>
    <definedName name="RNDW" localSheetId="3">#REF!</definedName>
    <definedName name="RPCE" localSheetId="3">#REF!</definedName>
    <definedName name="RPI" localSheetId="3">#REF!</definedName>
    <definedName name="RPI" localSheetId="6">#REF!</definedName>
    <definedName name="RPI">#REF!</definedName>
    <definedName name="RTREX" localSheetId="3">#REF!</definedName>
    <definedName name="RTREX" localSheetId="6">#REF!</definedName>
    <definedName name="RTREX">#REF!</definedName>
    <definedName name="RXTNL" localSheetId="3">#REF!</definedName>
    <definedName name="RXTNL" localSheetId="6">#REF!</definedName>
    <definedName name="RXTNL">#REF!</definedName>
    <definedName name="SCADA">#REF!</definedName>
    <definedName name="SheetHeader">#REF!</definedName>
    <definedName name="Table2" localSheetId="6">#REF!</definedName>
    <definedName name="Table2">#REF!</definedName>
    <definedName name="Table251">#REF!</definedName>
    <definedName name="Table252">#REF!</definedName>
    <definedName name="TableTopLeft" localSheetId="3">#REF!</definedName>
    <definedName name="TableTopLeft">#REF!</definedName>
    <definedName name="TB" localSheetId="6">#REF!</definedName>
    <definedName name="TB">#REF!</definedName>
    <definedName name="teest" hidden="1">{"Ownership",#N/A,FALSE,"Ownership";"Contents",#N/A,FALSE,"Contents"}</definedName>
    <definedName name="Telecommunications">#REF!</definedName>
    <definedName name="test" hidden="1">{"Ownership",#N/A,FALSE,"Ownership";"Contents",#N/A,FALSE,"Contents"}</definedName>
    <definedName name="TOT" localSheetId="6">#REF!</definedName>
    <definedName name="TOT">#REF!</definedName>
    <definedName name="TOTAL" localSheetId="6">#REF!</definedName>
    <definedName name="TOTAL">#REF!</definedName>
    <definedName name="TP" localSheetId="6">#REF!</definedName>
    <definedName name="TP">#REF!</definedName>
    <definedName name="vghvnnbnvbn" localSheetId="6" hidden="1">#REF!</definedName>
    <definedName name="vghvnnbnvbn" hidden="1">#REF!</definedName>
    <definedName name="WHOLE" localSheetId="3">#REF!</definedName>
    <definedName name="wrn.Allocation._.of._.Cash._.Flows." localSheetId="6" hidden="1">{"Allocation of Cash Flows",#N/A,FALSE,"Cash Flow Worksheet"}</definedName>
    <definedName name="wrn.Allocation._.of._.Cash._.Flows." hidden="1">{"Allocation of Cash Flows",#N/A,FALSE,"Cash Flow Worksheet"}</definedName>
    <definedName name="wrn.App._.Custodians." hidden="1">{"Ownership",#N/A,FALSE,"Ownership";"Contents",#N/A,FALSE,"Contents"}</definedName>
    <definedName name="X" localSheetId="3">#REF!</definedName>
    <definedName name="xx" localSheetId="6" hidden="1">{"Allocation of Cash Flows",#N/A,FALSE,"Cash Flow Worksheet"}</definedName>
    <definedName name="xx" hidden="1">{"Allocation of Cash Flows",#N/A,FALSE,"Cash Flow Worksheet"}</definedName>
    <definedName name="Z_0343EC64_9F50_4763_83C4_0A4DB160A22E_.wvu.PrintArea" localSheetId="3" hidden="1">'OEA_23 Oct 2023 from Report'!$B$1:$AC$33</definedName>
    <definedName name="Z_7E91263F_20F9_4D2A_A654_A0676B0356D1_.wvu.PrintArea" localSheetId="3" hidden="1">'OEA_23 Oct 2023 from Report'!$B$1:$AC$33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28" l="1"/>
  <c r="BG26" i="24"/>
  <c r="BG25" i="24"/>
  <c r="BG24" i="24"/>
  <c r="BG23" i="24"/>
  <c r="BG22" i="24"/>
  <c r="BG21" i="24"/>
  <c r="BG20" i="24"/>
  <c r="BI26" i="24"/>
  <c r="BI25" i="24"/>
  <c r="BI24" i="24"/>
  <c r="BI23" i="24"/>
  <c r="BI22" i="24"/>
  <c r="BI21" i="24"/>
  <c r="BI20" i="24"/>
  <c r="AJ19" i="24"/>
  <c r="Y19" i="24"/>
  <c r="AB19" i="24"/>
  <c r="BJ23" i="24" l="1"/>
  <c r="BJ24" i="24"/>
  <c r="BJ25" i="24"/>
  <c r="BJ26" i="24"/>
  <c r="BJ22" i="24"/>
  <c r="S23" i="25"/>
  <c r="S20" i="25"/>
  <c r="S19" i="25"/>
  <c r="S18" i="25"/>
  <c r="R33" i="25"/>
  <c r="S33" i="25"/>
  <c r="Q33" i="25"/>
  <c r="S32" i="25"/>
  <c r="S28" i="25"/>
  <c r="S29" i="25"/>
  <c r="S27" i="25"/>
  <c r="S24" i="28"/>
  <c r="S23" i="28"/>
  <c r="S20" i="28"/>
  <c r="S19" i="28"/>
  <c r="S18" i="28"/>
  <c r="S35" i="28"/>
  <c r="S32" i="28"/>
  <c r="S29" i="28"/>
  <c r="S28" i="28"/>
  <c r="S27" i="28"/>
  <c r="P91" i="17"/>
  <c r="P77" i="17"/>
  <c r="P73" i="17"/>
  <c r="P74" i="17"/>
  <c r="P75" i="17"/>
  <c r="P72" i="17"/>
  <c r="P89" i="17"/>
  <c r="P88" i="17"/>
  <c r="P87" i="17"/>
  <c r="P86" i="17"/>
  <c r="P85" i="17"/>
  <c r="O85" i="17"/>
  <c r="P84" i="17"/>
  <c r="P82" i="17"/>
  <c r="BF3" i="23"/>
  <c r="BF4" i="23"/>
  <c r="BF5" i="23"/>
  <c r="BF6" i="23"/>
  <c r="BF7" i="23"/>
  <c r="BF8" i="23"/>
  <c r="BF9" i="23"/>
  <c r="BF10" i="23"/>
  <c r="BF12" i="23"/>
  <c r="BF2" i="23"/>
  <c r="BQ2" i="23"/>
  <c r="BI2" i="23" s="1"/>
  <c r="BR2" i="23"/>
  <c r="BI3" i="23"/>
  <c r="BQ3" i="23"/>
  <c r="BR3" i="23"/>
  <c r="BQ4" i="23"/>
  <c r="BI4" i="23" s="1"/>
  <c r="BR4" i="23"/>
  <c r="BQ5" i="23"/>
  <c r="BI5" i="23" s="1"/>
  <c r="BR5" i="23"/>
  <c r="BQ6" i="23"/>
  <c r="BI6" i="23" s="1"/>
  <c r="BR6" i="23"/>
  <c r="BI7" i="23"/>
  <c r="BQ7" i="23"/>
  <c r="BI8" i="23"/>
  <c r="BQ8" i="23"/>
  <c r="BQ9" i="23"/>
  <c r="BI9" i="23" s="1"/>
  <c r="BR9" i="23"/>
  <c r="BI21" i="23"/>
  <c r="BQ21" i="23"/>
  <c r="BI23" i="23"/>
  <c r="BI24" i="23"/>
  <c r="BI25" i="23"/>
  <c r="R34" i="15"/>
  <c r="R29" i="15"/>
  <c r="R25" i="15"/>
  <c r="R19" i="15"/>
  <c r="R36" i="15" s="1"/>
  <c r="R10" i="15"/>
  <c r="R7" i="15"/>
  <c r="R12" i="15" s="1"/>
  <c r="AT29" i="14"/>
  <c r="AU29" i="14"/>
  <c r="AV28" i="14"/>
  <c r="AV27" i="14"/>
  <c r="AV24" i="14"/>
  <c r="AV8" i="14"/>
  <c r="AV9" i="14"/>
  <c r="AV10" i="14"/>
  <c r="AV12" i="14"/>
  <c r="AV13" i="14"/>
  <c r="AV15" i="14"/>
  <c r="AV16" i="14"/>
  <c r="AV17" i="14"/>
  <c r="AV18" i="14"/>
  <c r="AV19" i="14"/>
  <c r="AV21" i="14"/>
  <c r="AV22" i="14"/>
  <c r="AV7" i="14"/>
  <c r="AU22" i="14"/>
  <c r="AU21" i="14"/>
  <c r="AU19" i="14"/>
  <c r="AU13" i="14"/>
  <c r="AU10" i="14"/>
  <c r="BI12" i="23" l="1"/>
  <c r="BI19" i="23" s="1"/>
  <c r="BI27" i="23" s="1"/>
  <c r="BI10" i="23"/>
  <c r="AV29" i="14"/>
  <c r="N21" i="24" l="1"/>
  <c r="N22" i="24"/>
  <c r="N23" i="24"/>
  <c r="N24" i="24"/>
  <c r="N25" i="24"/>
  <c r="N26" i="24"/>
  <c r="N20" i="24"/>
  <c r="N19" i="24"/>
  <c r="L21" i="24"/>
  <c r="L22" i="24"/>
  <c r="L23" i="24"/>
  <c r="L24" i="24"/>
  <c r="L25" i="24"/>
  <c r="L26" i="24"/>
  <c r="L20" i="24"/>
  <c r="L19" i="24"/>
  <c r="AJ18" i="24"/>
  <c r="AJ17" i="24"/>
  <c r="AJ16" i="24"/>
  <c r="AJ15" i="24"/>
  <c r="AJ14" i="24"/>
  <c r="AJ13" i="24"/>
  <c r="AJ12" i="24"/>
  <c r="AJ11" i="24"/>
  <c r="AJ10" i="24"/>
  <c r="AJ9" i="24"/>
  <c r="AJ8" i="24"/>
  <c r="AJ7" i="24"/>
  <c r="AJ6" i="24"/>
  <c r="AJ5" i="24"/>
  <c r="N11" i="24" l="1"/>
  <c r="N14" i="24"/>
  <c r="N10" i="24"/>
  <c r="N6" i="24"/>
  <c r="N12" i="24"/>
  <c r="N13" i="24"/>
  <c r="N15" i="24"/>
  <c r="N16" i="24"/>
  <c r="N5" i="24"/>
  <c r="N17" i="24"/>
  <c r="N18" i="24"/>
  <c r="AN18" i="24"/>
  <c r="N7" i="24"/>
  <c r="N8" i="24"/>
  <c r="N9" i="24"/>
  <c r="AA18" i="24"/>
  <c r="AG18" i="24"/>
  <c r="AD18" i="24"/>
  <c r="Z12" i="25" l="1"/>
  <c r="Y12" i="25"/>
  <c r="X12" i="25"/>
  <c r="W12" i="25"/>
  <c r="V12" i="25"/>
  <c r="U12" i="25"/>
  <c r="T12" i="25"/>
  <c r="S12" i="25"/>
  <c r="Z9" i="25"/>
  <c r="Y9" i="25"/>
  <c r="X9" i="25"/>
  <c r="W9" i="25"/>
  <c r="V9" i="25"/>
  <c r="U9" i="25"/>
  <c r="T9" i="25"/>
  <c r="S9" i="25"/>
  <c r="Z8" i="25"/>
  <c r="Y8" i="25"/>
  <c r="X8" i="25"/>
  <c r="W8" i="25"/>
  <c r="V8" i="25"/>
  <c r="U8" i="25"/>
  <c r="T8" i="25"/>
  <c r="S8" i="25"/>
  <c r="Z12" i="28"/>
  <c r="BC26" i="24" s="1"/>
  <c r="Y12" i="28"/>
  <c r="BC25" i="24" s="1"/>
  <c r="X12" i="28"/>
  <c r="BC24" i="24" s="1"/>
  <c r="W12" i="28"/>
  <c r="BC23" i="24" s="1"/>
  <c r="V12" i="28"/>
  <c r="BC22" i="24" s="1"/>
  <c r="U12" i="28"/>
  <c r="BC21" i="24" s="1"/>
  <c r="T12" i="28"/>
  <c r="BC20" i="24" s="1"/>
  <c r="S12" i="28"/>
  <c r="AD19" i="24" s="1"/>
  <c r="AC19" i="24" s="1"/>
  <c r="Z9" i="28"/>
  <c r="Y9" i="28"/>
  <c r="X9" i="28"/>
  <c r="W9" i="28"/>
  <c r="V9" i="28"/>
  <c r="T9" i="28"/>
  <c r="S9" i="28"/>
  <c r="Z8" i="28"/>
  <c r="Y8" i="28"/>
  <c r="X8" i="28"/>
  <c r="W8" i="28"/>
  <c r="V8" i="28"/>
  <c r="U8" i="28"/>
  <c r="T8" i="28"/>
  <c r="S8" i="28"/>
  <c r="Z7" i="28"/>
  <c r="AZ26" i="24" s="1"/>
  <c r="Y7" i="28"/>
  <c r="AZ25" i="24" s="1"/>
  <c r="X7" i="28"/>
  <c r="AZ24" i="24" s="1"/>
  <c r="W7" i="28"/>
  <c r="AZ23" i="24" s="1"/>
  <c r="V7" i="28"/>
  <c r="AZ22" i="24" s="1"/>
  <c r="U7" i="28"/>
  <c r="AZ21" i="24" s="1"/>
  <c r="T7" i="28"/>
  <c r="AZ20" i="24" s="1"/>
  <c r="S7" i="28"/>
  <c r="AA19" i="24" s="1"/>
  <c r="O86" i="17"/>
  <c r="O87" i="17"/>
  <c r="O82" i="17"/>
  <c r="Q34" i="15"/>
  <c r="O88" i="17"/>
  <c r="Z19" i="24" l="1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P1" i="17" s="1"/>
  <c r="C27" i="27"/>
  <c r="D27" i="27" s="1"/>
  <c r="C28" i="27"/>
  <c r="C29" i="27"/>
  <c r="C30" i="27"/>
  <c r="C31" i="27"/>
  <c r="C32" i="27"/>
  <c r="C33" i="27"/>
  <c r="C34" i="27"/>
  <c r="C6" i="27"/>
  <c r="I30" i="15"/>
  <c r="J30" i="15"/>
  <c r="K30" i="15"/>
  <c r="L30" i="15"/>
  <c r="M30" i="15"/>
  <c r="N30" i="15"/>
  <c r="O30" i="15"/>
  <c r="P30" i="15"/>
  <c r="Q30" i="15"/>
  <c r="H30" i="15"/>
  <c r="Q29" i="15"/>
  <c r="Q25" i="15"/>
  <c r="Q19" i="15"/>
  <c r="Q36" i="15" s="1"/>
  <c r="P14" i="17" l="1"/>
  <c r="P28" i="17"/>
  <c r="P147" i="17" s="1"/>
  <c r="P8" i="17"/>
  <c r="P138" i="17" s="1"/>
  <c r="P7" i="17"/>
  <c r="P137" i="17" s="1"/>
  <c r="P29" i="17"/>
  <c r="P148" i="17" s="1"/>
  <c r="P6" i="17"/>
  <c r="P136" i="17" s="1"/>
  <c r="P24" i="17"/>
  <c r="P26" i="17" s="1"/>
  <c r="P5" i="17"/>
  <c r="P19" i="17"/>
  <c r="P27" i="17"/>
  <c r="P146" i="17" s="1"/>
  <c r="D25" i="27"/>
  <c r="D26" i="27"/>
  <c r="Q9" i="15"/>
  <c r="Q6" i="15"/>
  <c r="Q7" i="15" s="1"/>
  <c r="Q5" i="15"/>
  <c r="Q4" i="15"/>
  <c r="Q10" i="15"/>
  <c r="P145" i="17" l="1"/>
  <c r="P150" i="17" s="1"/>
  <c r="P31" i="17"/>
  <c r="P135" i="17"/>
  <c r="P140" i="17" s="1"/>
  <c r="P12" i="17"/>
  <c r="P17" i="17" s="1"/>
  <c r="Q12" i="15"/>
  <c r="AA23" i="26" l="1"/>
  <c r="AA24" i="26"/>
  <c r="AA25" i="26"/>
  <c r="AA26" i="26"/>
  <c r="AA27" i="26"/>
  <c r="AA28" i="26"/>
  <c r="AA29" i="26"/>
  <c r="AA30" i="26"/>
  <c r="AA31" i="26"/>
  <c r="V25" i="26"/>
  <c r="P25" i="26"/>
  <c r="J25" i="26"/>
  <c r="V23" i="26"/>
  <c r="V24" i="26"/>
  <c r="P23" i="26"/>
  <c r="P24" i="26"/>
  <c r="J23" i="26"/>
  <c r="J24" i="26"/>
  <c r="AS24" i="14" l="1"/>
  <c r="AT24" i="14"/>
  <c r="AT12" i="14"/>
  <c r="AT13" i="14" s="1"/>
  <c r="AT19" i="14"/>
  <c r="AT10" i="14"/>
  <c r="AT18" i="14"/>
  <c r="AT17" i="14"/>
  <c r="AT16" i="14"/>
  <c r="AT15" i="14"/>
  <c r="AT9" i="14"/>
  <c r="AT8" i="14"/>
  <c r="AT7" i="14"/>
  <c r="AQ18" i="14"/>
  <c r="AQ17" i="14"/>
  <c r="AQ16" i="14"/>
  <c r="AQ15" i="14"/>
  <c r="AQ8" i="14"/>
  <c r="AQ7" i="14"/>
  <c r="AQ12" i="14"/>
  <c r="AQ9" i="14"/>
  <c r="AT21" i="14" l="1"/>
  <c r="AT22" i="14" s="1"/>
  <c r="BF26" i="24"/>
  <c r="BM26" i="24" s="1"/>
  <c r="BF25" i="24"/>
  <c r="BM25" i="24" s="1"/>
  <c r="BF24" i="24"/>
  <c r="BM24" i="24" s="1"/>
  <c r="BF23" i="24"/>
  <c r="BM23" i="24" s="1"/>
  <c r="BF22" i="24"/>
  <c r="BM22" i="24" s="1"/>
  <c r="BF21" i="24"/>
  <c r="BM21" i="24" s="1"/>
  <c r="BF20" i="24"/>
  <c r="BM20" i="24" s="1"/>
  <c r="R20" i="24" s="1"/>
  <c r="AG19" i="24"/>
  <c r="AN19" i="24" l="1"/>
  <c r="BM19" i="24"/>
  <c r="AM8" i="28"/>
  <c r="AM28" i="28" s="1"/>
  <c r="AN8" i="28"/>
  <c r="AN28" i="28" s="1"/>
  <c r="AM9" i="28"/>
  <c r="AM29" i="28" s="1"/>
  <c r="AN9" i="28"/>
  <c r="AN29" i="28" s="1"/>
  <c r="AM11" i="28"/>
  <c r="AN11" i="28"/>
  <c r="AM12" i="28"/>
  <c r="AN12" i="28"/>
  <c r="AM14" i="28"/>
  <c r="AN14" i="28"/>
  <c r="AN7" i="28"/>
  <c r="AN27" i="28" s="1"/>
  <c r="AM7" i="28"/>
  <c r="AM27" i="28" s="1"/>
  <c r="AK8" i="28"/>
  <c r="AL8" i="28"/>
  <c r="AL28" i="28" s="1"/>
  <c r="AK9" i="28"/>
  <c r="AK29" i="28" s="1"/>
  <c r="AL9" i="28"/>
  <c r="AL29" i="28" s="1"/>
  <c r="AK11" i="28"/>
  <c r="AL11" i="28"/>
  <c r="AK12" i="28"/>
  <c r="AL12" i="28"/>
  <c r="AK14" i="28"/>
  <c r="AL14" i="28"/>
  <c r="AL7" i="28"/>
  <c r="AL27" i="28" s="1"/>
  <c r="AK7" i="28"/>
  <c r="AK27" i="28" s="1"/>
  <c r="AI8" i="28"/>
  <c r="AI28" i="28" s="1"/>
  <c r="AJ8" i="28"/>
  <c r="AJ28" i="28" s="1"/>
  <c r="AI9" i="28"/>
  <c r="AI29" i="28" s="1"/>
  <c r="AJ9" i="28"/>
  <c r="AJ29" i="28" s="1"/>
  <c r="AI12" i="28"/>
  <c r="AJ12" i="28"/>
  <c r="AJ7" i="28"/>
  <c r="AJ27" i="28" s="1"/>
  <c r="AI7" i="28"/>
  <c r="AI27" i="28" s="1"/>
  <c r="AG8" i="28"/>
  <c r="AG28" i="28" s="1"/>
  <c r="AH8" i="28"/>
  <c r="AH28" i="28" s="1"/>
  <c r="AG9" i="28"/>
  <c r="AG29" i="28" s="1"/>
  <c r="AH9" i="28"/>
  <c r="AH29" i="28" s="1"/>
  <c r="AG12" i="28"/>
  <c r="AH12" i="28"/>
  <c r="AH7" i="28"/>
  <c r="AH27" i="28" s="1"/>
  <c r="AG7" i="28"/>
  <c r="AG27" i="28" s="1"/>
  <c r="AE8" i="28"/>
  <c r="AE28" i="28" s="1"/>
  <c r="AF8" i="28"/>
  <c r="AF28" i="28" s="1"/>
  <c r="AE9" i="28"/>
  <c r="AE29" i="28" s="1"/>
  <c r="AF9" i="28"/>
  <c r="AF29" i="28" s="1"/>
  <c r="AE12" i="28"/>
  <c r="AF12" i="28"/>
  <c r="AF7" i="28"/>
  <c r="AF27" i="28" s="1"/>
  <c r="AE7" i="28"/>
  <c r="AA8" i="28"/>
  <c r="AA9" i="28"/>
  <c r="AA12" i="28"/>
  <c r="AA7" i="28"/>
  <c r="AK28" i="28"/>
  <c r="AE27" i="28"/>
  <c r="U28" i="28"/>
  <c r="BD21" i="24" s="1"/>
  <c r="T28" i="28"/>
  <c r="BD20" i="24" s="1"/>
  <c r="AE19" i="24"/>
  <c r="AP19" i="24" s="1"/>
  <c r="Z13" i="28"/>
  <c r="Z32" i="28" s="1"/>
  <c r="Y13" i="28"/>
  <c r="Y32" i="28" s="1"/>
  <c r="X13" i="28"/>
  <c r="X32" i="28" s="1"/>
  <c r="W13" i="28"/>
  <c r="W32" i="28" s="1"/>
  <c r="V13" i="28"/>
  <c r="V32" i="28" s="1"/>
  <c r="U13" i="28"/>
  <c r="T13" i="28"/>
  <c r="S13" i="28"/>
  <c r="Z29" i="28"/>
  <c r="Y29" i="28"/>
  <c r="X29" i="28"/>
  <c r="W29" i="28"/>
  <c r="V29" i="28"/>
  <c r="U29" i="28"/>
  <c r="T29" i="28"/>
  <c r="Z28" i="28"/>
  <c r="BD26" i="24" s="1"/>
  <c r="Y28" i="28"/>
  <c r="BD25" i="24" s="1"/>
  <c r="X28" i="28"/>
  <c r="BD24" i="24" s="1"/>
  <c r="W28" i="28"/>
  <c r="BD23" i="24" s="1"/>
  <c r="V28" i="28"/>
  <c r="BD22" i="24" s="1"/>
  <c r="AR19" i="14"/>
  <c r="AQ19" i="14"/>
  <c r="AS18" i="14"/>
  <c r="AS17" i="14"/>
  <c r="AS16" i="14"/>
  <c r="AS15" i="14"/>
  <c r="AR13" i="14"/>
  <c r="AQ13" i="14"/>
  <c r="AS12" i="14"/>
  <c r="AS13" i="14" s="1"/>
  <c r="AR10" i="14"/>
  <c r="AQ10" i="14"/>
  <c r="AS9" i="14"/>
  <c r="AS8" i="14"/>
  <c r="AS7" i="14"/>
  <c r="BE48" i="23"/>
  <c r="BE47" i="23"/>
  <c r="BE46" i="23"/>
  <c r="BE45" i="23"/>
  <c r="BE44" i="23"/>
  <c r="BG37" i="23"/>
  <c r="BG39" i="23" s="1"/>
  <c r="BF37" i="23"/>
  <c r="BF36" i="23"/>
  <c r="BF35" i="23"/>
  <c r="BF34" i="23"/>
  <c r="BF25" i="23"/>
  <c r="BF19" i="23"/>
  <c r="BF27" i="23" s="1"/>
  <c r="E316" i="16"/>
  <c r="O1" i="17"/>
  <c r="N1" i="17"/>
  <c r="E308" i="16"/>
  <c r="R7" i="25"/>
  <c r="E332" i="16"/>
  <c r="H297" i="16"/>
  <c r="H298" i="16"/>
  <c r="H299" i="16"/>
  <c r="H300" i="16"/>
  <c r="H301" i="16"/>
  <c r="H302" i="16"/>
  <c r="H303" i="16"/>
  <c r="H304" i="16"/>
  <c r="H305" i="16"/>
  <c r="O27" i="17" l="1"/>
  <c r="O146" i="17" s="1"/>
  <c r="O19" i="17"/>
  <c r="O28" i="17"/>
  <c r="O147" i="17" s="1"/>
  <c r="O29" i="17"/>
  <c r="O24" i="17"/>
  <c r="T19" i="24"/>
  <c r="AO19" i="24"/>
  <c r="AR19" i="24"/>
  <c r="V19" i="24" s="1"/>
  <c r="BH36" i="23"/>
  <c r="BI36" i="23" s="1"/>
  <c r="O74" i="17" s="1"/>
  <c r="BH35" i="23"/>
  <c r="BI35" i="23" s="1"/>
  <c r="O73" i="17" s="1"/>
  <c r="BH34" i="23"/>
  <c r="BH37" i="23"/>
  <c r="R32" i="25" s="1"/>
  <c r="R23" i="25" s="1"/>
  <c r="BF39" i="23"/>
  <c r="N88" i="17"/>
  <c r="R35" i="28"/>
  <c r="V35" i="28" s="1"/>
  <c r="V36" i="28" s="1"/>
  <c r="BA22" i="24" s="1"/>
  <c r="R36" i="28"/>
  <c r="BE49" i="23"/>
  <c r="BI49" i="23"/>
  <c r="AS19" i="14"/>
  <c r="O84" i="17"/>
  <c r="AJ30" i="28"/>
  <c r="AA28" i="28"/>
  <c r="AA29" i="28"/>
  <c r="AA32" i="28"/>
  <c r="AE30" i="28"/>
  <c r="AK30" i="28"/>
  <c r="AL13" i="28"/>
  <c r="AL32" i="28" s="1"/>
  <c r="AM13" i="28"/>
  <c r="AM32" i="28" s="1"/>
  <c r="AI13" i="28"/>
  <c r="AI32" i="28" s="1"/>
  <c r="AK13" i="28"/>
  <c r="AK32" i="28" s="1"/>
  <c r="AN13" i="28"/>
  <c r="AN32" i="28" s="1"/>
  <c r="AM30" i="28"/>
  <c r="AN30" i="28"/>
  <c r="AL30" i="28"/>
  <c r="T32" i="28"/>
  <c r="AI30" i="28"/>
  <c r="AJ13" i="28"/>
  <c r="AJ32" i="28" s="1"/>
  <c r="AH13" i="28"/>
  <c r="AH32" i="28" s="1"/>
  <c r="AG13" i="28"/>
  <c r="AG32" i="28" s="1"/>
  <c r="AH30" i="28"/>
  <c r="AF13" i="28"/>
  <c r="AF32" i="28" s="1"/>
  <c r="AG30" i="28"/>
  <c r="AE13" i="28"/>
  <c r="AE32" i="28" s="1"/>
  <c r="AF30" i="28"/>
  <c r="U32" i="28"/>
  <c r="AA13" i="28"/>
  <c r="S10" i="28"/>
  <c r="S15" i="28" s="1"/>
  <c r="T27" i="28"/>
  <c r="AX20" i="24" s="1"/>
  <c r="T10" i="28"/>
  <c r="T15" i="28" s="1"/>
  <c r="U27" i="28"/>
  <c r="AX21" i="24" s="1"/>
  <c r="U10" i="28"/>
  <c r="U15" i="28" s="1"/>
  <c r="V27" i="28"/>
  <c r="AX22" i="24" s="1"/>
  <c r="V10" i="28"/>
  <c r="W27" i="28"/>
  <c r="AX23" i="24" s="1"/>
  <c r="W10" i="28"/>
  <c r="X27" i="28"/>
  <c r="AX24" i="24" s="1"/>
  <c r="X10" i="28"/>
  <c r="Y27" i="28"/>
  <c r="AX25" i="24" s="1"/>
  <c r="Y10" i="28"/>
  <c r="Z27" i="28"/>
  <c r="AX26" i="24" s="1"/>
  <c r="Z10" i="28"/>
  <c r="AQ21" i="14"/>
  <c r="AQ22" i="14" s="1"/>
  <c r="AR21" i="14"/>
  <c r="AR22" i="14" s="1"/>
  <c r="AS10" i="14"/>
  <c r="AS21" i="14" s="1"/>
  <c r="BI37" i="23"/>
  <c r="O75" i="17" s="1"/>
  <c r="O16" i="17"/>
  <c r="O26" i="17"/>
  <c r="O14" i="17"/>
  <c r="O145" i="17" l="1"/>
  <c r="AY24" i="24"/>
  <c r="AY23" i="24"/>
  <c r="AY26" i="24"/>
  <c r="AY22" i="24"/>
  <c r="BO22" i="24"/>
  <c r="BQ22" i="24" s="1"/>
  <c r="AY25" i="24"/>
  <c r="AY21" i="24"/>
  <c r="AY20" i="24"/>
  <c r="T35" i="28"/>
  <c r="U35" i="28"/>
  <c r="U36" i="28" s="1"/>
  <c r="BA21" i="24" s="1"/>
  <c r="BO21" i="24" s="1"/>
  <c r="BQ21" i="24" s="1"/>
  <c r="BH39" i="23"/>
  <c r="R32" i="28"/>
  <c r="R29" i="28"/>
  <c r="R29" i="25"/>
  <c r="R28" i="25"/>
  <c r="R28" i="28"/>
  <c r="S36" i="28"/>
  <c r="Y30" i="28"/>
  <c r="Y33" i="28" s="1"/>
  <c r="AL33" i="28" s="1"/>
  <c r="X30" i="28"/>
  <c r="X33" i="28" s="1"/>
  <c r="AJ33" i="28" s="1"/>
  <c r="W30" i="28"/>
  <c r="W33" i="28" s="1"/>
  <c r="AH33" i="28" s="1"/>
  <c r="Z30" i="28"/>
  <c r="Z33" i="28" s="1"/>
  <c r="AN33" i="28" s="1"/>
  <c r="S30" i="28"/>
  <c r="S33" i="28" s="1"/>
  <c r="S34" i="28" s="1"/>
  <c r="U30" i="28"/>
  <c r="U33" i="28" s="1"/>
  <c r="U34" i="28" s="1"/>
  <c r="T30" i="28"/>
  <c r="AS22" i="14"/>
  <c r="U41" i="28"/>
  <c r="T41" i="28"/>
  <c r="S41" i="28"/>
  <c r="T36" i="28"/>
  <c r="BA20" i="24" s="1"/>
  <c r="BO20" i="24" s="1"/>
  <c r="Z15" i="28"/>
  <c r="AN10" i="28"/>
  <c r="AM10" i="28"/>
  <c r="V30" i="28"/>
  <c r="AA27" i="28"/>
  <c r="Y15" i="28"/>
  <c r="AK10" i="28"/>
  <c r="AL10" i="28"/>
  <c r="X15" i="28"/>
  <c r="AJ10" i="28"/>
  <c r="AI10" i="28"/>
  <c r="W15" i="28"/>
  <c r="AG10" i="28"/>
  <c r="AH10" i="28"/>
  <c r="AE10" i="28"/>
  <c r="AF10" i="28"/>
  <c r="V15" i="28"/>
  <c r="AA10" i="28"/>
  <c r="Z35" i="28"/>
  <c r="Y35" i="28"/>
  <c r="Y36" i="28" s="1"/>
  <c r="BA25" i="24" s="1"/>
  <c r="BO25" i="24" s="1"/>
  <c r="BQ25" i="24" s="1"/>
  <c r="X35" i="28"/>
  <c r="X36" i="28" s="1"/>
  <c r="BA24" i="24" s="1"/>
  <c r="BO24" i="24" s="1"/>
  <c r="BQ24" i="24" s="1"/>
  <c r="W35" i="28"/>
  <c r="BI34" i="23"/>
  <c r="O31" i="17"/>
  <c r="AE18" i="24" l="1"/>
  <c r="AF18" i="24" s="1"/>
  <c r="R19" i="25"/>
  <c r="BI39" i="23"/>
  <c r="O72" i="17"/>
  <c r="AH18" i="24"/>
  <c r="R20" i="25"/>
  <c r="T38" i="28"/>
  <c r="T42" i="28" s="1"/>
  <c r="T43" i="28" s="1"/>
  <c r="X34" i="28"/>
  <c r="AJ34" i="28" s="1"/>
  <c r="S38" i="28"/>
  <c r="S42" i="28" s="1"/>
  <c r="S43" i="28" s="1"/>
  <c r="AI33" i="28"/>
  <c r="Z34" i="28"/>
  <c r="AM34" i="28" s="1"/>
  <c r="U24" i="28"/>
  <c r="Y34" i="28"/>
  <c r="AK34" i="28" s="1"/>
  <c r="AG33" i="28"/>
  <c r="T33" i="28"/>
  <c r="T34" i="28" s="1"/>
  <c r="W34" i="28"/>
  <c r="AH34" i="28" s="1"/>
  <c r="U38" i="28"/>
  <c r="U40" i="28" s="1"/>
  <c r="AK33" i="28"/>
  <c r="AM33" i="28"/>
  <c r="T24" i="28"/>
  <c r="AA30" i="28"/>
  <c r="V33" i="28"/>
  <c r="W36" i="28"/>
  <c r="Z36" i="28"/>
  <c r="BA26" i="24" s="1"/>
  <c r="Z41" i="28"/>
  <c r="AN15" i="28"/>
  <c r="AN41" i="28" s="1"/>
  <c r="AM15" i="28"/>
  <c r="AM41" i="28" s="1"/>
  <c r="V24" i="28"/>
  <c r="Y41" i="28"/>
  <c r="AK15" i="28"/>
  <c r="AK41" i="28" s="1"/>
  <c r="AL15" i="28"/>
  <c r="AL41" i="28" s="1"/>
  <c r="AA35" i="28"/>
  <c r="V38" i="28"/>
  <c r="V40" i="28" s="1"/>
  <c r="X41" i="28"/>
  <c r="AJ15" i="28"/>
  <c r="AJ41" i="28" s="1"/>
  <c r="AI15" i="28"/>
  <c r="AI41" i="28" s="1"/>
  <c r="W41" i="28"/>
  <c r="AG15" i="28"/>
  <c r="AG41" i="28" s="1"/>
  <c r="AH15" i="28"/>
  <c r="AH41" i="28" s="1"/>
  <c r="AE15" i="28"/>
  <c r="AE41" i="28" s="1"/>
  <c r="AF15" i="28"/>
  <c r="AF41" i="28" s="1"/>
  <c r="X24" i="28"/>
  <c r="V41" i="28"/>
  <c r="AA15" i="28"/>
  <c r="Z38" i="28"/>
  <c r="Z40" i="28" s="1"/>
  <c r="H270" i="16"/>
  <c r="AY34" i="23"/>
  <c r="BO26" i="24" l="1"/>
  <c r="BQ26" i="24" s="1"/>
  <c r="S40" i="28"/>
  <c r="T40" i="28"/>
  <c r="L18" i="24"/>
  <c r="AI18" i="24"/>
  <c r="M18" i="24" s="1"/>
  <c r="R27" i="25"/>
  <c r="R27" i="28"/>
  <c r="O77" i="17"/>
  <c r="AI34" i="28"/>
  <c r="AN34" i="28"/>
  <c r="W38" i="28"/>
  <c r="W40" i="28" s="1"/>
  <c r="BA23" i="24"/>
  <c r="BO23" i="24" s="1"/>
  <c r="BQ23" i="24" s="1"/>
  <c r="AG34" i="28"/>
  <c r="AL34" i="28"/>
  <c r="U42" i="28"/>
  <c r="U43" i="28" s="1"/>
  <c r="W24" i="28"/>
  <c r="Z24" i="28"/>
  <c r="AA33" i="28"/>
  <c r="AE33" i="28"/>
  <c r="AF33" i="28"/>
  <c r="V34" i="28"/>
  <c r="AA41" i="28"/>
  <c r="AG36" i="28"/>
  <c r="AE36" i="28"/>
  <c r="AN36" i="28"/>
  <c r="AF36" i="28"/>
  <c r="Z42" i="28"/>
  <c r="Z43" i="28" s="1"/>
  <c r="V42" i="28"/>
  <c r="AA36" i="28"/>
  <c r="AJ36" i="28"/>
  <c r="AL36" i="28"/>
  <c r="AH36" i="28"/>
  <c r="Y24" i="28"/>
  <c r="Y38" i="28"/>
  <c r="X38" i="28"/>
  <c r="X42" i="28" s="1"/>
  <c r="X43" i="28" s="1"/>
  <c r="AM36" i="28"/>
  <c r="AK36" i="28"/>
  <c r="AI36" i="28"/>
  <c r="R30" i="28" l="1"/>
  <c r="Y18" i="24"/>
  <c r="R18" i="25"/>
  <c r="W42" i="28"/>
  <c r="W43" i="28" s="1"/>
  <c r="AA34" i="28"/>
  <c r="AF34" i="28"/>
  <c r="AE34" i="28"/>
  <c r="X40" i="28"/>
  <c r="V43" i="28"/>
  <c r="AA38" i="28"/>
  <c r="Y42" i="28"/>
  <c r="Y43" i="28" s="1"/>
  <c r="Y40" i="28"/>
  <c r="N83" i="17"/>
  <c r="N19" i="17"/>
  <c r="Z18" i="24" l="1"/>
  <c r="AA42" i="28"/>
  <c r="AA43" i="28"/>
  <c r="M1" i="17"/>
  <c r="L1" i="17"/>
  <c r="K1" i="17"/>
  <c r="J1" i="17"/>
  <c r="I1" i="17"/>
  <c r="H1" i="17"/>
  <c r="G1" i="17"/>
  <c r="F1" i="17"/>
  <c r="E1" i="17"/>
  <c r="D1" i="17"/>
  <c r="C1" i="17"/>
  <c r="B1" i="17"/>
  <c r="C87" i="17" l="1"/>
  <c r="C85" i="17"/>
  <c r="C83" i="17"/>
  <c r="C14" i="17"/>
  <c r="C7" i="17"/>
  <c r="C5" i="17"/>
  <c r="C19" i="17"/>
  <c r="C86" i="17"/>
  <c r="C82" i="17"/>
  <c r="C25" i="17"/>
  <c r="C16" i="17"/>
  <c r="C8" i="17"/>
  <c r="C6" i="17"/>
  <c r="E86" i="17"/>
  <c r="E83" i="17"/>
  <c r="E14" i="17"/>
  <c r="E7" i="17"/>
  <c r="E5" i="17"/>
  <c r="E87" i="17"/>
  <c r="E85" i="17"/>
  <c r="E82" i="17"/>
  <c r="E25" i="17"/>
  <c r="E16" i="17"/>
  <c r="E8" i="17"/>
  <c r="E6" i="17"/>
  <c r="E19" i="17"/>
  <c r="G87" i="17"/>
  <c r="G85" i="17"/>
  <c r="G82" i="17"/>
  <c r="G25" i="17"/>
  <c r="G16" i="17"/>
  <c r="G8" i="17"/>
  <c r="G6" i="17"/>
  <c r="G86" i="17"/>
  <c r="G83" i="17"/>
  <c r="G14" i="17"/>
  <c r="G7" i="17"/>
  <c r="G5" i="17"/>
  <c r="G19" i="17"/>
  <c r="I87" i="17"/>
  <c r="I85" i="17"/>
  <c r="I83" i="17"/>
  <c r="I16" i="17"/>
  <c r="I8" i="17"/>
  <c r="I6" i="17"/>
  <c r="I86" i="17"/>
  <c r="I82" i="17"/>
  <c r="I84" i="17" s="1"/>
  <c r="I14" i="17"/>
  <c r="I7" i="17"/>
  <c r="I5" i="17"/>
  <c r="I19" i="17"/>
  <c r="K87" i="17"/>
  <c r="K85" i="17"/>
  <c r="K82" i="17"/>
  <c r="K14" i="17"/>
  <c r="K7" i="17"/>
  <c r="K5" i="17"/>
  <c r="K86" i="17"/>
  <c r="K83" i="17"/>
  <c r="K16" i="17"/>
  <c r="K8" i="17"/>
  <c r="K6" i="17"/>
  <c r="K19" i="17"/>
  <c r="M7" i="17"/>
  <c r="M5" i="17"/>
  <c r="M83" i="17"/>
  <c r="M8" i="17"/>
  <c r="M6" i="17"/>
  <c r="M19" i="17"/>
  <c r="B19" i="17"/>
  <c r="B87" i="17"/>
  <c r="B85" i="17"/>
  <c r="B82" i="17"/>
  <c r="B25" i="17"/>
  <c r="B16" i="17"/>
  <c r="B8" i="17"/>
  <c r="B6" i="17"/>
  <c r="B86" i="17"/>
  <c r="B83" i="17"/>
  <c r="B14" i="17"/>
  <c r="B7" i="17"/>
  <c r="B5" i="17"/>
  <c r="D87" i="17"/>
  <c r="D85" i="17"/>
  <c r="D82" i="17"/>
  <c r="D25" i="17"/>
  <c r="D19" i="17"/>
  <c r="D14" i="17"/>
  <c r="D7" i="17"/>
  <c r="D5" i="17"/>
  <c r="D86" i="17"/>
  <c r="D83" i="17"/>
  <c r="D16" i="17"/>
  <c r="D8" i="17"/>
  <c r="D6" i="17"/>
  <c r="F86" i="17"/>
  <c r="F83" i="17"/>
  <c r="F14" i="17"/>
  <c r="F87" i="17"/>
  <c r="F85" i="17"/>
  <c r="F82" i="17"/>
  <c r="F25" i="17"/>
  <c r="F16" i="17"/>
  <c r="F8" i="17"/>
  <c r="F6" i="17"/>
  <c r="F5" i="17"/>
  <c r="F19" i="17"/>
  <c r="F7" i="17"/>
  <c r="H86" i="17"/>
  <c r="H83" i="17"/>
  <c r="H14" i="17"/>
  <c r="H7" i="17"/>
  <c r="H5" i="17"/>
  <c r="H87" i="17"/>
  <c r="H85" i="17"/>
  <c r="H82" i="17"/>
  <c r="H25" i="17"/>
  <c r="H16" i="17"/>
  <c r="H8" i="17"/>
  <c r="H6" i="17"/>
  <c r="H19" i="17"/>
  <c r="J87" i="17"/>
  <c r="J85" i="17"/>
  <c r="J82" i="17"/>
  <c r="J14" i="17"/>
  <c r="J7" i="17"/>
  <c r="J5" i="17"/>
  <c r="J86" i="17"/>
  <c r="J83" i="17"/>
  <c r="J16" i="17"/>
  <c r="J8" i="17"/>
  <c r="J6" i="17"/>
  <c r="J19" i="17"/>
  <c r="L86" i="17"/>
  <c r="L83" i="17"/>
  <c r="L16" i="17"/>
  <c r="L8" i="17"/>
  <c r="L5" i="17"/>
  <c r="L6" i="17"/>
  <c r="L87" i="17"/>
  <c r="L85" i="17"/>
  <c r="L82" i="17"/>
  <c r="L14" i="17"/>
  <c r="L7" i="17"/>
  <c r="L19" i="17"/>
  <c r="D34" i="27"/>
  <c r="D33" i="27"/>
  <c r="D32" i="27"/>
  <c r="D31" i="27"/>
  <c r="D30" i="27"/>
  <c r="D29" i="27"/>
  <c r="D28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C84" i="17" l="1"/>
  <c r="V31" i="26"/>
  <c r="P31" i="26"/>
  <c r="J31" i="26"/>
  <c r="D31" i="26"/>
  <c r="V30" i="26"/>
  <c r="P30" i="26"/>
  <c r="J30" i="26"/>
  <c r="D30" i="26"/>
  <c r="V29" i="26"/>
  <c r="P29" i="26"/>
  <c r="J29" i="26"/>
  <c r="D29" i="26"/>
  <c r="V28" i="26"/>
  <c r="P28" i="26"/>
  <c r="J28" i="26"/>
  <c r="D28" i="26"/>
  <c r="AB27" i="26"/>
  <c r="V27" i="26"/>
  <c r="P27" i="26"/>
  <c r="J27" i="26"/>
  <c r="D27" i="26"/>
  <c r="V26" i="26"/>
  <c r="P26" i="26"/>
  <c r="J26" i="26"/>
  <c r="D26" i="26"/>
  <c r="AD25" i="26"/>
  <c r="D25" i="26"/>
  <c r="X24" i="26"/>
  <c r="R24" i="26"/>
  <c r="L24" i="26"/>
  <c r="M25" i="26" s="1"/>
  <c r="F24" i="26"/>
  <c r="G25" i="26" s="1"/>
  <c r="D24" i="26"/>
  <c r="X23" i="26"/>
  <c r="R23" i="26"/>
  <c r="L23" i="26"/>
  <c r="F23" i="26"/>
  <c r="D23" i="26"/>
  <c r="AA22" i="26"/>
  <c r="X22" i="26"/>
  <c r="V22" i="26"/>
  <c r="R22" i="26"/>
  <c r="P22" i="26"/>
  <c r="L22" i="26"/>
  <c r="J22" i="26"/>
  <c r="F22" i="26"/>
  <c r="G23" i="26" s="1"/>
  <c r="D22" i="26"/>
  <c r="AA21" i="26"/>
  <c r="X21" i="26"/>
  <c r="V21" i="26"/>
  <c r="R21" i="26"/>
  <c r="P21" i="26"/>
  <c r="L21" i="26"/>
  <c r="J21" i="26"/>
  <c r="F21" i="26"/>
  <c r="D21" i="26"/>
  <c r="AA20" i="26"/>
  <c r="X20" i="26"/>
  <c r="V20" i="26"/>
  <c r="R20" i="26"/>
  <c r="P20" i="26"/>
  <c r="L20" i="26"/>
  <c r="J20" i="26"/>
  <c r="F20" i="26"/>
  <c r="D20" i="26"/>
  <c r="AA19" i="26"/>
  <c r="X19" i="26"/>
  <c r="V19" i="26"/>
  <c r="R19" i="26"/>
  <c r="P19" i="26"/>
  <c r="L19" i="26"/>
  <c r="J19" i="26"/>
  <c r="F19" i="26"/>
  <c r="D19" i="26"/>
  <c r="AA18" i="26"/>
  <c r="X18" i="26"/>
  <c r="V18" i="26"/>
  <c r="R18" i="26"/>
  <c r="P18" i="26"/>
  <c r="L18" i="26"/>
  <c r="J18" i="26"/>
  <c r="F18" i="26"/>
  <c r="D18" i="26"/>
  <c r="AA17" i="26"/>
  <c r="X17" i="26"/>
  <c r="V17" i="26"/>
  <c r="R17" i="26"/>
  <c r="P17" i="26"/>
  <c r="L17" i="26"/>
  <c r="J17" i="26"/>
  <c r="F17" i="26"/>
  <c r="D17" i="26"/>
  <c r="AA16" i="26"/>
  <c r="X16" i="26"/>
  <c r="V16" i="26"/>
  <c r="R16" i="26"/>
  <c r="P16" i="26"/>
  <c r="L16" i="26"/>
  <c r="J16" i="26"/>
  <c r="F16" i="26"/>
  <c r="D16" i="26"/>
  <c r="AA15" i="26"/>
  <c r="X15" i="26"/>
  <c r="V15" i="26"/>
  <c r="R15" i="26"/>
  <c r="P15" i="26"/>
  <c r="L15" i="26"/>
  <c r="J15" i="26"/>
  <c r="F15" i="26"/>
  <c r="D15" i="26"/>
  <c r="AA14" i="26"/>
  <c r="X14" i="26"/>
  <c r="V14" i="26"/>
  <c r="R14" i="26"/>
  <c r="P14" i="26"/>
  <c r="L14" i="26"/>
  <c r="J14" i="26"/>
  <c r="F14" i="26"/>
  <c r="D14" i="26"/>
  <c r="AA13" i="26"/>
  <c r="X13" i="26"/>
  <c r="V13" i="26"/>
  <c r="R13" i="26"/>
  <c r="P13" i="26"/>
  <c r="L13" i="26"/>
  <c r="J13" i="26"/>
  <c r="F13" i="26"/>
  <c r="D13" i="26"/>
  <c r="AA12" i="26"/>
  <c r="X12" i="26"/>
  <c r="V12" i="26"/>
  <c r="R12" i="26"/>
  <c r="P12" i="26"/>
  <c r="L12" i="26"/>
  <c r="J12" i="26"/>
  <c r="F12" i="26"/>
  <c r="D12" i="26"/>
  <c r="AA11" i="26"/>
  <c r="X11" i="26"/>
  <c r="V11" i="26"/>
  <c r="R11" i="26"/>
  <c r="P11" i="26"/>
  <c r="L11" i="26"/>
  <c r="J11" i="26"/>
  <c r="F11" i="26"/>
  <c r="D11" i="26"/>
  <c r="AA10" i="26"/>
  <c r="X10" i="26"/>
  <c r="V10" i="26"/>
  <c r="R10" i="26"/>
  <c r="P10" i="26"/>
  <c r="L10" i="26"/>
  <c r="J10" i="26"/>
  <c r="F10" i="26"/>
  <c r="D10" i="26"/>
  <c r="AA9" i="26"/>
  <c r="X9" i="26"/>
  <c r="V9" i="26"/>
  <c r="R9" i="26"/>
  <c r="P9" i="26"/>
  <c r="L9" i="26"/>
  <c r="J9" i="26"/>
  <c r="F9" i="26"/>
  <c r="D9" i="26"/>
  <c r="AA8" i="26"/>
  <c r="U29" i="25"/>
  <c r="Z13" i="25"/>
  <c r="Z32" i="25" s="1"/>
  <c r="Y13" i="25"/>
  <c r="Y32" i="25" s="1"/>
  <c r="X13" i="25"/>
  <c r="X32" i="25" s="1"/>
  <c r="U13" i="25"/>
  <c r="T13" i="25"/>
  <c r="S13" i="25"/>
  <c r="R12" i="25"/>
  <c r="R13" i="25" s="1"/>
  <c r="Q12" i="25"/>
  <c r="Q13" i="25" s="1"/>
  <c r="P12" i="25"/>
  <c r="P13" i="25" s="1"/>
  <c r="O12" i="25"/>
  <c r="O13" i="25" s="1"/>
  <c r="N12" i="25"/>
  <c r="N13" i="25" s="1"/>
  <c r="M12" i="25"/>
  <c r="M13" i="25" s="1"/>
  <c r="L12" i="25"/>
  <c r="L13" i="25" s="1"/>
  <c r="K12" i="25"/>
  <c r="K13" i="25" s="1"/>
  <c r="J12" i="25"/>
  <c r="J13" i="25" s="1"/>
  <c r="I12" i="25"/>
  <c r="I13" i="25" s="1"/>
  <c r="H12" i="25"/>
  <c r="H13" i="25" s="1"/>
  <c r="G12" i="25"/>
  <c r="G13" i="25" s="1"/>
  <c r="F12" i="25"/>
  <c r="F13" i="25" s="1"/>
  <c r="E12" i="25"/>
  <c r="E13" i="25" s="1"/>
  <c r="Z29" i="25"/>
  <c r="Y29" i="25"/>
  <c r="T29" i="25"/>
  <c r="R9" i="25"/>
  <c r="Q9" i="25"/>
  <c r="P9" i="25"/>
  <c r="O9" i="25"/>
  <c r="N9" i="25"/>
  <c r="M9" i="25"/>
  <c r="L9" i="25"/>
  <c r="K9" i="25"/>
  <c r="Q11" i="24" s="1"/>
  <c r="J9" i="25"/>
  <c r="I9" i="25"/>
  <c r="H9" i="25"/>
  <c r="G9" i="25"/>
  <c r="Q7" i="24" s="1"/>
  <c r="F9" i="25"/>
  <c r="Q6" i="24" s="1"/>
  <c r="E9" i="25"/>
  <c r="Z28" i="25"/>
  <c r="I26" i="24" s="1"/>
  <c r="X28" i="25"/>
  <c r="K23" i="24"/>
  <c r="U28" i="25"/>
  <c r="I21" i="24" s="1"/>
  <c r="T28" i="25"/>
  <c r="I19" i="24"/>
  <c r="R8" i="25"/>
  <c r="Q8" i="25"/>
  <c r="AG17" i="24" s="1"/>
  <c r="P8" i="25"/>
  <c r="O8" i="25"/>
  <c r="AG15" i="24" s="1"/>
  <c r="AN15" i="24" s="1"/>
  <c r="N8" i="25"/>
  <c r="M8" i="25"/>
  <c r="L8" i="25"/>
  <c r="AG12" i="24" s="1"/>
  <c r="K8" i="25"/>
  <c r="AG11" i="24" s="1"/>
  <c r="J8" i="25"/>
  <c r="I8" i="25"/>
  <c r="AG9" i="24" s="1"/>
  <c r="H8" i="25"/>
  <c r="AG8" i="24" s="1"/>
  <c r="G8" i="25"/>
  <c r="F8" i="25"/>
  <c r="E8" i="25"/>
  <c r="Z7" i="25"/>
  <c r="Y7" i="25"/>
  <c r="Y27" i="25" s="1"/>
  <c r="C25" i="24" s="1"/>
  <c r="X7" i="25"/>
  <c r="W7" i="25"/>
  <c r="V7" i="25"/>
  <c r="V27" i="25" s="1"/>
  <c r="U7" i="25"/>
  <c r="T7" i="25"/>
  <c r="S7" i="25"/>
  <c r="BO19" i="24" s="1"/>
  <c r="BQ19" i="24" s="1"/>
  <c r="Q7" i="25"/>
  <c r="AA17" i="24" s="1"/>
  <c r="P7" i="25"/>
  <c r="AA16" i="24" s="1"/>
  <c r="O7" i="25"/>
  <c r="AA15" i="24" s="1"/>
  <c r="N7" i="25"/>
  <c r="AA14" i="24" s="1"/>
  <c r="M7" i="25"/>
  <c r="AA13" i="24" s="1"/>
  <c r="L7" i="25"/>
  <c r="AA12" i="24" s="1"/>
  <c r="K7" i="25"/>
  <c r="AA11" i="24" s="1"/>
  <c r="J7" i="25"/>
  <c r="AA10" i="24" s="1"/>
  <c r="I7" i="25"/>
  <c r="AA9" i="24" s="1"/>
  <c r="H7" i="25"/>
  <c r="AA8" i="24" s="1"/>
  <c r="G7" i="25"/>
  <c r="AA7" i="24" s="1"/>
  <c r="F7" i="25"/>
  <c r="AA6" i="24" s="1"/>
  <c r="E7" i="25"/>
  <c r="AA5" i="24" s="1"/>
  <c r="E5" i="24" s="1"/>
  <c r="E26" i="24"/>
  <c r="H25" i="24"/>
  <c r="E25" i="24"/>
  <c r="K25" i="24"/>
  <c r="K24" i="24"/>
  <c r="E24" i="24"/>
  <c r="E22" i="24"/>
  <c r="H21" i="24"/>
  <c r="E21" i="24"/>
  <c r="BE20" i="24"/>
  <c r="K20" i="24"/>
  <c r="I20" i="24"/>
  <c r="H20" i="24"/>
  <c r="AI19" i="24"/>
  <c r="M19" i="24" s="1"/>
  <c r="H19" i="24"/>
  <c r="AD15" i="24"/>
  <c r="AD14" i="24"/>
  <c r="Q12" i="24"/>
  <c r="Q10" i="24"/>
  <c r="AG10" i="24"/>
  <c r="AN10" i="24" s="1"/>
  <c r="AD10" i="24"/>
  <c r="Q9" i="24"/>
  <c r="AD9" i="24"/>
  <c r="Q8" i="24"/>
  <c r="AD8" i="24"/>
  <c r="AG7" i="24"/>
  <c r="AD6" i="24"/>
  <c r="H6" i="24" s="1"/>
  <c r="Q5" i="24"/>
  <c r="AG5" i="24"/>
  <c r="AN8" i="24" l="1"/>
  <c r="AN9" i="24"/>
  <c r="T32" i="25"/>
  <c r="K8" i="24"/>
  <c r="K15" i="24"/>
  <c r="K9" i="24"/>
  <c r="K17" i="24"/>
  <c r="K5" i="24"/>
  <c r="K12" i="24"/>
  <c r="K7" i="24"/>
  <c r="K10" i="24"/>
  <c r="J20" i="24"/>
  <c r="K11" i="24"/>
  <c r="AG16" i="24"/>
  <c r="U32" i="25"/>
  <c r="Y14" i="26"/>
  <c r="AD16" i="24"/>
  <c r="H16" i="24" s="1"/>
  <c r="M14" i="26"/>
  <c r="Y19" i="26"/>
  <c r="AB9" i="26"/>
  <c r="Y13" i="26"/>
  <c r="X10" i="25"/>
  <c r="X15" i="25" s="1"/>
  <c r="X39" i="25" s="1"/>
  <c r="Y24" i="26"/>
  <c r="Z10" i="25"/>
  <c r="Z15" i="25" s="1"/>
  <c r="Z39" i="25" s="1"/>
  <c r="AD13" i="24"/>
  <c r="H13" i="24" s="1"/>
  <c r="S19" i="26"/>
  <c r="AD5" i="24"/>
  <c r="H5" i="24" s="1"/>
  <c r="G12" i="26"/>
  <c r="S15" i="26"/>
  <c r="M20" i="26"/>
  <c r="AD12" i="24"/>
  <c r="H12" i="24" s="1"/>
  <c r="AD11" i="24"/>
  <c r="AN11" i="24" s="1"/>
  <c r="AD7" i="24"/>
  <c r="AN7" i="24" s="1"/>
  <c r="M24" i="26"/>
  <c r="G10" i="26"/>
  <c r="G18" i="26"/>
  <c r="G17" i="26"/>
  <c r="I10" i="25"/>
  <c r="I15" i="25" s="1"/>
  <c r="I39" i="25" s="1"/>
  <c r="G15" i="26"/>
  <c r="G16" i="26"/>
  <c r="J10" i="25"/>
  <c r="J15" i="25" s="1"/>
  <c r="J39" i="25" s="1"/>
  <c r="G19" i="26"/>
  <c r="G13" i="26"/>
  <c r="Y23" i="26"/>
  <c r="Y22" i="26"/>
  <c r="K18" i="24"/>
  <c r="H18" i="24"/>
  <c r="M23" i="26"/>
  <c r="R10" i="25"/>
  <c r="R15" i="25" s="1"/>
  <c r="R39" i="25" s="1"/>
  <c r="G20" i="26"/>
  <c r="AD17" i="24"/>
  <c r="AN17" i="24" s="1"/>
  <c r="AD16" i="26"/>
  <c r="AD24" i="26"/>
  <c r="AE25" i="26" s="1"/>
  <c r="AD11" i="26"/>
  <c r="Y12" i="26"/>
  <c r="Y17" i="26"/>
  <c r="V29" i="25"/>
  <c r="Y20" i="26"/>
  <c r="Y15" i="26"/>
  <c r="AD9" i="26"/>
  <c r="Y10" i="26"/>
  <c r="AD15" i="26"/>
  <c r="Y25" i="26"/>
  <c r="BE26" i="24"/>
  <c r="K10" i="25"/>
  <c r="K15" i="25" s="1"/>
  <c r="K39" i="25" s="1"/>
  <c r="K19" i="24"/>
  <c r="R21" i="24"/>
  <c r="AD19" i="26"/>
  <c r="K26" i="24"/>
  <c r="S10" i="26"/>
  <c r="S23" i="26"/>
  <c r="S11" i="26"/>
  <c r="AB26" i="26"/>
  <c r="S13" i="26"/>
  <c r="S18" i="26"/>
  <c r="AD18" i="26"/>
  <c r="M12" i="26"/>
  <c r="M18" i="26"/>
  <c r="M19" i="26"/>
  <c r="AD12" i="26"/>
  <c r="M15" i="26"/>
  <c r="AB17" i="26"/>
  <c r="M22" i="26"/>
  <c r="M10" i="26"/>
  <c r="AD17" i="26"/>
  <c r="G14" i="26"/>
  <c r="D25" i="24"/>
  <c r="G11" i="26"/>
  <c r="W27" i="25"/>
  <c r="AB30" i="26"/>
  <c r="AB29" i="26"/>
  <c r="R25" i="24"/>
  <c r="AD10" i="26"/>
  <c r="AB16" i="26"/>
  <c r="G24" i="26"/>
  <c r="AB25" i="26"/>
  <c r="AB10" i="26"/>
  <c r="AB28" i="26"/>
  <c r="AB31" i="26"/>
  <c r="S21" i="26"/>
  <c r="S22" i="26"/>
  <c r="G21" i="26"/>
  <c r="G22" i="26"/>
  <c r="Q10" i="25"/>
  <c r="Q15" i="25" s="1"/>
  <c r="Q39" i="25" s="1"/>
  <c r="AD20" i="26"/>
  <c r="I18" i="24"/>
  <c r="J18" i="24"/>
  <c r="H14" i="24"/>
  <c r="E18" i="24"/>
  <c r="V13" i="25"/>
  <c r="V32" i="25" s="1"/>
  <c r="H26" i="24"/>
  <c r="E20" i="24"/>
  <c r="S10" i="25"/>
  <c r="S15" i="25" s="1"/>
  <c r="S39" i="25" s="1"/>
  <c r="AG13" i="24"/>
  <c r="AN13" i="24" s="1"/>
  <c r="W29" i="25"/>
  <c r="AD23" i="26"/>
  <c r="AB24" i="26"/>
  <c r="AB23" i="26"/>
  <c r="E16" i="24"/>
  <c r="E23" i="24"/>
  <c r="L10" i="25"/>
  <c r="L15" i="25" s="1"/>
  <c r="L39" i="25" s="1"/>
  <c r="T27" i="25"/>
  <c r="T10" i="25"/>
  <c r="T15" i="25" s="1"/>
  <c r="T39" i="25" s="1"/>
  <c r="AG6" i="24"/>
  <c r="AN6" i="24" s="1"/>
  <c r="N10" i="25"/>
  <c r="N15" i="25" s="1"/>
  <c r="N39" i="25" s="1"/>
  <c r="AG14" i="24"/>
  <c r="AN14" i="24" s="1"/>
  <c r="V28" i="25"/>
  <c r="I22" i="24" s="1"/>
  <c r="X29" i="25"/>
  <c r="AD13" i="26"/>
  <c r="AD14" i="26"/>
  <c r="AB14" i="26"/>
  <c r="M16" i="26"/>
  <c r="M17" i="26"/>
  <c r="E12" i="24"/>
  <c r="E14" i="24"/>
  <c r="E11" i="24"/>
  <c r="E10" i="24"/>
  <c r="E15" i="24"/>
  <c r="E17" i="24"/>
  <c r="K21" i="24"/>
  <c r="BE21" i="24"/>
  <c r="E13" i="24"/>
  <c r="E9" i="24"/>
  <c r="H10" i="24"/>
  <c r="H15" i="24"/>
  <c r="H9" i="24"/>
  <c r="H8" i="24"/>
  <c r="E6" i="24"/>
  <c r="E7" i="24"/>
  <c r="E8" i="24"/>
  <c r="BH22" i="24"/>
  <c r="M22" i="24" s="1"/>
  <c r="AB15" i="26"/>
  <c r="BH21" i="24"/>
  <c r="M21" i="24" s="1"/>
  <c r="D23" i="24"/>
  <c r="Y21" i="26"/>
  <c r="U27" i="25"/>
  <c r="BH25" i="24"/>
  <c r="M25" i="24" s="1"/>
  <c r="W13" i="25"/>
  <c r="W32" i="25" s="1"/>
  <c r="F10" i="25"/>
  <c r="F15" i="25" s="1"/>
  <c r="F39" i="25" s="1"/>
  <c r="V10" i="25"/>
  <c r="I24" i="24"/>
  <c r="BE24" i="24"/>
  <c r="BH26" i="24"/>
  <c r="M26" i="24" s="1"/>
  <c r="AD21" i="26"/>
  <c r="AD22" i="26"/>
  <c r="AB22" i="26"/>
  <c r="U10" i="25"/>
  <c r="U15" i="25" s="1"/>
  <c r="U39" i="25" s="1"/>
  <c r="X27" i="25"/>
  <c r="S17" i="26"/>
  <c r="H24" i="24"/>
  <c r="M10" i="25"/>
  <c r="M15" i="25" s="1"/>
  <c r="M39" i="25" s="1"/>
  <c r="Z27" i="25"/>
  <c r="Y11" i="26"/>
  <c r="AB13" i="26"/>
  <c r="S16" i="26"/>
  <c r="AB21" i="26"/>
  <c r="S24" i="26"/>
  <c r="G10" i="25"/>
  <c r="G15" i="25" s="1"/>
  <c r="G39" i="25" s="1"/>
  <c r="O10" i="25"/>
  <c r="O15" i="25" s="1"/>
  <c r="O39" i="25" s="1"/>
  <c r="W10" i="25"/>
  <c r="E10" i="25"/>
  <c r="E15" i="25" s="1"/>
  <c r="E39" i="25" s="1"/>
  <c r="AB12" i="26"/>
  <c r="M13" i="26"/>
  <c r="Y18" i="26"/>
  <c r="AB20" i="26"/>
  <c r="M21" i="26"/>
  <c r="P10" i="25"/>
  <c r="P15" i="25" s="1"/>
  <c r="P39" i="25" s="1"/>
  <c r="Y10" i="25"/>
  <c r="Y15" i="25" s="1"/>
  <c r="Y39" i="25" s="1"/>
  <c r="W28" i="25"/>
  <c r="AB11" i="26"/>
  <c r="S14" i="26"/>
  <c r="AB19" i="26"/>
  <c r="H10" i="25"/>
  <c r="H15" i="25" s="1"/>
  <c r="H39" i="25" s="1"/>
  <c r="M11" i="26"/>
  <c r="Y16" i="26"/>
  <c r="AB18" i="26"/>
  <c r="Y28" i="25"/>
  <c r="S12" i="26"/>
  <c r="S20" i="26"/>
  <c r="S25" i="26"/>
  <c r="AN16" i="24" l="1"/>
  <c r="AN5" i="24"/>
  <c r="AN12" i="24"/>
  <c r="AO18" i="24"/>
  <c r="J21" i="24"/>
  <c r="H17" i="24"/>
  <c r="J26" i="24"/>
  <c r="AO15" i="24"/>
  <c r="K16" i="24"/>
  <c r="J24" i="24"/>
  <c r="R5" i="24"/>
  <c r="AO12" i="24"/>
  <c r="H7" i="24"/>
  <c r="V15" i="25"/>
  <c r="V39" i="25" s="1"/>
  <c r="AE16" i="26"/>
  <c r="H11" i="24"/>
  <c r="AE24" i="26"/>
  <c r="AE17" i="26"/>
  <c r="AE12" i="26"/>
  <c r="AE15" i="26"/>
  <c r="AE19" i="26"/>
  <c r="AE20" i="26"/>
  <c r="AE10" i="26"/>
  <c r="R18" i="24"/>
  <c r="AE21" i="26"/>
  <c r="BH20" i="24"/>
  <c r="M20" i="24" s="1"/>
  <c r="AE11" i="26"/>
  <c r="BN21" i="24"/>
  <c r="AE13" i="26"/>
  <c r="AE18" i="26"/>
  <c r="AF19" i="24"/>
  <c r="W15" i="25"/>
  <c r="W39" i="25" s="1"/>
  <c r="AE14" i="26"/>
  <c r="BN25" i="24"/>
  <c r="AE22" i="26"/>
  <c r="Y30" i="25"/>
  <c r="BE23" i="24"/>
  <c r="I23" i="24"/>
  <c r="R30" i="25"/>
  <c r="W30" i="25"/>
  <c r="V30" i="25"/>
  <c r="R11" i="24"/>
  <c r="AO11" i="24"/>
  <c r="R17" i="24"/>
  <c r="AO17" i="24"/>
  <c r="K13" i="24"/>
  <c r="R15" i="24"/>
  <c r="BE22" i="24"/>
  <c r="K22" i="24"/>
  <c r="BN24" i="24"/>
  <c r="R24" i="24"/>
  <c r="K14" i="24"/>
  <c r="AE23" i="26"/>
  <c r="S30" i="25"/>
  <c r="H22" i="24"/>
  <c r="BN23" i="24"/>
  <c r="T30" i="25"/>
  <c r="R23" i="24"/>
  <c r="AO10" i="24"/>
  <c r="R10" i="24"/>
  <c r="BE25" i="24"/>
  <c r="I25" i="24"/>
  <c r="R26" i="24"/>
  <c r="S26" i="24" s="1"/>
  <c r="BN26" i="24"/>
  <c r="X30" i="25"/>
  <c r="H23" i="24"/>
  <c r="AO8" i="24"/>
  <c r="R8" i="24"/>
  <c r="BH24" i="24"/>
  <c r="M24" i="24" s="1"/>
  <c r="R7" i="24"/>
  <c r="U30" i="25"/>
  <c r="E19" i="24"/>
  <c r="Z30" i="25"/>
  <c r="C23" i="24"/>
  <c r="C22" i="24"/>
  <c r="D22" i="24"/>
  <c r="AO9" i="24"/>
  <c r="R9" i="24"/>
  <c r="K6" i="24"/>
  <c r="BH23" i="24"/>
  <c r="M23" i="24" s="1"/>
  <c r="AO6" i="24" l="1"/>
  <c r="J25" i="24"/>
  <c r="J19" i="24"/>
  <c r="R14" i="24"/>
  <c r="S15" i="24" s="1"/>
  <c r="J22" i="24"/>
  <c r="J23" i="24"/>
  <c r="R6" i="24"/>
  <c r="S6" i="24" s="1"/>
  <c r="AO7" i="24"/>
  <c r="AO14" i="24"/>
  <c r="R12" i="24"/>
  <c r="S12" i="24" s="1"/>
  <c r="AO13" i="24"/>
  <c r="R13" i="24"/>
  <c r="S9" i="24"/>
  <c r="S21" i="24"/>
  <c r="S8" i="24"/>
  <c r="S18" i="24"/>
  <c r="S24" i="24"/>
  <c r="S25" i="24"/>
  <c r="S11" i="24"/>
  <c r="AO16" i="24"/>
  <c r="R16" i="24"/>
  <c r="S17" i="24" s="1"/>
  <c r="C18" i="24"/>
  <c r="D18" i="24"/>
  <c r="C21" i="24"/>
  <c r="D21" i="24"/>
  <c r="R19" i="24"/>
  <c r="S10" i="24"/>
  <c r="D26" i="24"/>
  <c r="C26" i="24"/>
  <c r="C24" i="24"/>
  <c r="D24" i="24"/>
  <c r="C20" i="24"/>
  <c r="D20" i="24"/>
  <c r="R22" i="24"/>
  <c r="BN22" i="24"/>
  <c r="C19" i="24"/>
  <c r="D19" i="24"/>
  <c r="BN20" i="24"/>
  <c r="S7" i="24" l="1"/>
  <c r="S13" i="24"/>
  <c r="S14" i="24"/>
  <c r="S19" i="24"/>
  <c r="S22" i="24"/>
  <c r="S16" i="24"/>
  <c r="S23" i="24"/>
  <c r="S20" i="24"/>
  <c r="AZ37" i="23" l="1"/>
  <c r="Q36" i="28" s="1"/>
  <c r="AV37" i="23"/>
  <c r="AQ25" i="23"/>
  <c r="AU25" i="23"/>
  <c r="E254" i="16" l="1"/>
  <c r="AY25" i="23" l="1"/>
  <c r="AY12" i="23" l="1"/>
  <c r="AY19" i="23" s="1"/>
  <c r="AY27" i="23" s="1"/>
  <c r="AU12" i="23"/>
  <c r="AU19" i="23" s="1"/>
  <c r="AU27" i="23" s="1"/>
  <c r="AQ12" i="23"/>
  <c r="AQ19" i="23" s="1"/>
  <c r="AQ27" i="23" s="1"/>
  <c r="AY10" i="23" l="1"/>
  <c r="AU10" i="23"/>
  <c r="AU35" i="23"/>
  <c r="AY35" i="23"/>
  <c r="AY37" i="23"/>
  <c r="AZ39" i="23"/>
  <c r="Q35" i="28" s="1"/>
  <c r="AB35" i="28" s="1"/>
  <c r="AY36" i="23"/>
  <c r="AV39" i="23"/>
  <c r="M88" i="17" s="1"/>
  <c r="AU37" i="23"/>
  <c r="AU36" i="23"/>
  <c r="AU34" i="23"/>
  <c r="AD35" i="28" l="1"/>
  <c r="AC35" i="28"/>
  <c r="BA34" i="23"/>
  <c r="BA37" i="23"/>
  <c r="BB37" i="23" s="1"/>
  <c r="BD37" i="23" s="1"/>
  <c r="BE37" i="23" s="1"/>
  <c r="Q32" i="25"/>
  <c r="Q32" i="28"/>
  <c r="P33" i="25"/>
  <c r="B84" i="17"/>
  <c r="BA35" i="23"/>
  <c r="BA36" i="23"/>
  <c r="BB36" i="23" s="1"/>
  <c r="BD36" i="23" s="1"/>
  <c r="BE36" i="23" s="1"/>
  <c r="AW34" i="23"/>
  <c r="AX34" i="23" s="1"/>
  <c r="AW37" i="23"/>
  <c r="AX37" i="23" s="1"/>
  <c r="AW36" i="23"/>
  <c r="AW35" i="23"/>
  <c r="AX35" i="23" s="1"/>
  <c r="AY39" i="23"/>
  <c r="BB35" i="23"/>
  <c r="AU39" i="23"/>
  <c r="M73" i="17" l="1"/>
  <c r="P28" i="25" s="1"/>
  <c r="M75" i="17"/>
  <c r="P34" i="25" s="1"/>
  <c r="BD35" i="23"/>
  <c r="BE35" i="23" s="1"/>
  <c r="M72" i="17"/>
  <c r="P27" i="25" s="1"/>
  <c r="T34" i="25"/>
  <c r="U34" i="25"/>
  <c r="S34" i="25"/>
  <c r="N73" i="17"/>
  <c r="N74" i="17"/>
  <c r="N75" i="17"/>
  <c r="R34" i="25"/>
  <c r="AW39" i="23"/>
  <c r="BA39" i="23"/>
  <c r="O89" i="17" s="1"/>
  <c r="AX36" i="23"/>
  <c r="M74" i="17" s="1"/>
  <c r="Y16" i="24" l="1"/>
  <c r="P18" i="25"/>
  <c r="AB16" i="24"/>
  <c r="AC16" i="24" s="1"/>
  <c r="G16" i="24" s="1"/>
  <c r="P24" i="25"/>
  <c r="P32" i="25"/>
  <c r="P23" i="25" s="1"/>
  <c r="P19" i="25"/>
  <c r="AE16" i="24"/>
  <c r="AF16" i="24" s="1"/>
  <c r="AB18" i="24"/>
  <c r="AP18" i="24" s="1"/>
  <c r="R24" i="25"/>
  <c r="O91" i="17"/>
  <c r="O148" i="17"/>
  <c r="O150" i="17" s="1"/>
  <c r="Q29" i="25"/>
  <c r="AH17" i="24" s="1"/>
  <c r="Q29" i="28"/>
  <c r="Q34" i="25"/>
  <c r="Q24" i="25" s="1"/>
  <c r="Q28" i="25"/>
  <c r="Q19" i="25" s="1"/>
  <c r="Q28" i="28"/>
  <c r="Q23" i="25"/>
  <c r="Z34" i="25"/>
  <c r="Y34" i="25"/>
  <c r="X34" i="25"/>
  <c r="V34" i="25"/>
  <c r="W34" i="25"/>
  <c r="R36" i="25"/>
  <c r="U24" i="25"/>
  <c r="U36" i="25"/>
  <c r="S24" i="25"/>
  <c r="S36" i="25"/>
  <c r="T24" i="25"/>
  <c r="T36" i="25"/>
  <c r="C16" i="24"/>
  <c r="Z16" i="24"/>
  <c r="D16" i="24" s="1"/>
  <c r="AX39" i="23"/>
  <c r="BB34" i="23"/>
  <c r="R49" i="23"/>
  <c r="AT49" i="23"/>
  <c r="AP49" i="23"/>
  <c r="AL49" i="23"/>
  <c r="AH49" i="23"/>
  <c r="AD49" i="23"/>
  <c r="Z49" i="23"/>
  <c r="V49" i="23"/>
  <c r="N49" i="23"/>
  <c r="J49" i="23"/>
  <c r="F49" i="23"/>
  <c r="AR39" i="23"/>
  <c r="L88" i="17" s="1"/>
  <c r="O33" i="25" s="1"/>
  <c r="AQ37" i="23"/>
  <c r="AN37" i="23"/>
  <c r="AN39" i="23" s="1"/>
  <c r="K88" i="17" s="1"/>
  <c r="N33" i="25" s="1"/>
  <c r="AM37" i="23"/>
  <c r="AJ37" i="23"/>
  <c r="AJ39" i="23" s="1"/>
  <c r="J88" i="17" s="1"/>
  <c r="M33" i="25" s="1"/>
  <c r="AI37" i="23"/>
  <c r="AF37" i="23"/>
  <c r="AF39" i="23" s="1"/>
  <c r="I88" i="17" s="1"/>
  <c r="L33" i="25" s="1"/>
  <c r="AE37" i="23"/>
  <c r="AB37" i="23"/>
  <c r="AB39" i="23" s="1"/>
  <c r="H88" i="17" s="1"/>
  <c r="K33" i="25" s="1"/>
  <c r="AA37" i="23"/>
  <c r="X37" i="23"/>
  <c r="X39" i="23" s="1"/>
  <c r="G88" i="17" s="1"/>
  <c r="J33" i="25" s="1"/>
  <c r="W37" i="23"/>
  <c r="T37" i="23"/>
  <c r="T39" i="23" s="1"/>
  <c r="F88" i="17" s="1"/>
  <c r="I33" i="25" s="1"/>
  <c r="S37" i="23"/>
  <c r="P37" i="23"/>
  <c r="P39" i="23" s="1"/>
  <c r="E88" i="17" s="1"/>
  <c r="H33" i="25" s="1"/>
  <c r="O37" i="23"/>
  <c r="L37" i="23"/>
  <c r="L39" i="23" s="1"/>
  <c r="D88" i="17" s="1"/>
  <c r="G33" i="25" s="1"/>
  <c r="K37" i="23"/>
  <c r="H37" i="23"/>
  <c r="H39" i="23" s="1"/>
  <c r="C88" i="17" s="1"/>
  <c r="F33" i="25" s="1"/>
  <c r="G37" i="23"/>
  <c r="D37" i="23"/>
  <c r="D39" i="23" s="1"/>
  <c r="B88" i="17" s="1"/>
  <c r="C37" i="23"/>
  <c r="AQ36" i="23"/>
  <c r="AS36" i="23" s="1"/>
  <c r="AM36" i="23"/>
  <c r="AI36" i="23"/>
  <c r="AE36" i="23"/>
  <c r="AA36" i="23"/>
  <c r="W36" i="23"/>
  <c r="S36" i="23"/>
  <c r="O36" i="23"/>
  <c r="K36" i="23"/>
  <c r="G36" i="23"/>
  <c r="C36" i="23"/>
  <c r="AQ35" i="23"/>
  <c r="AS34" i="23" s="1"/>
  <c r="AM35" i="23"/>
  <c r="AI35" i="23"/>
  <c r="AE35" i="23"/>
  <c r="AA35" i="23"/>
  <c r="W35" i="23"/>
  <c r="S35" i="23"/>
  <c r="O35" i="23"/>
  <c r="K35" i="23"/>
  <c r="G35" i="23"/>
  <c r="C35" i="23"/>
  <c r="AQ34" i="23"/>
  <c r="AM34" i="23"/>
  <c r="AO37" i="23" s="1"/>
  <c r="AI34" i="23"/>
  <c r="AE34" i="23"/>
  <c r="AE39" i="23" s="1"/>
  <c r="AA34" i="23"/>
  <c r="AA39" i="23" s="1"/>
  <c r="W34" i="23"/>
  <c r="S34" i="23"/>
  <c r="O34" i="23"/>
  <c r="Q37" i="23" s="1"/>
  <c r="G34" i="23"/>
  <c r="C34" i="23"/>
  <c r="C39" i="23" s="1"/>
  <c r="AM25" i="23"/>
  <c r="AI25" i="23"/>
  <c r="AK37" i="23" s="1"/>
  <c r="AE25" i="23"/>
  <c r="AA25" i="23"/>
  <c r="W25" i="23"/>
  <c r="S25" i="23"/>
  <c r="O25" i="23"/>
  <c r="K25" i="23"/>
  <c r="M35" i="23" s="1"/>
  <c r="N35" i="23" s="1"/>
  <c r="D73" i="17" s="1"/>
  <c r="G28" i="25" s="1"/>
  <c r="G25" i="23"/>
  <c r="I36" i="23" s="1"/>
  <c r="J36" i="23" s="1"/>
  <c r="C74" i="17" s="1"/>
  <c r="F29" i="25" s="1"/>
  <c r="AH6" i="24" s="1"/>
  <c r="C25" i="23"/>
  <c r="AE19" i="23"/>
  <c r="AE27" i="23" s="1"/>
  <c r="AM12" i="23"/>
  <c r="AM19" i="23" s="1"/>
  <c r="AM27" i="23" s="1"/>
  <c r="AI12" i="23"/>
  <c r="AI19" i="23" s="1"/>
  <c r="AE12" i="23"/>
  <c r="AA12" i="23"/>
  <c r="AA19" i="23" s="1"/>
  <c r="AA27" i="23" s="1"/>
  <c r="W12" i="23"/>
  <c r="W19" i="23" s="1"/>
  <c r="W27" i="23" s="1"/>
  <c r="S12" i="23"/>
  <c r="S19" i="23" s="1"/>
  <c r="S27" i="23" s="1"/>
  <c r="O12" i="23"/>
  <c r="O19" i="23" s="1"/>
  <c r="O27" i="23" s="1"/>
  <c r="G12" i="23"/>
  <c r="G19" i="23" s="1"/>
  <c r="C12" i="23"/>
  <c r="C19" i="23" s="1"/>
  <c r="C27" i="23" s="1"/>
  <c r="K2" i="23"/>
  <c r="K34" i="23" s="1"/>
  <c r="T18" i="24" l="1"/>
  <c r="AQ19" i="24"/>
  <c r="F16" i="24"/>
  <c r="I16" i="24"/>
  <c r="L6" i="24"/>
  <c r="AI6" i="24"/>
  <c r="M6" i="24" s="1"/>
  <c r="AI27" i="23"/>
  <c r="U36" i="23"/>
  <c r="AK34" i="23"/>
  <c r="AC18" i="24"/>
  <c r="Y34" i="23"/>
  <c r="G27" i="23"/>
  <c r="AC37" i="23"/>
  <c r="S39" i="23"/>
  <c r="AH37" i="23"/>
  <c r="I75" i="17" s="1"/>
  <c r="L34" i="25" s="1"/>
  <c r="AB12" i="24" s="1"/>
  <c r="AG36" i="23"/>
  <c r="AH36" i="23" s="1"/>
  <c r="I74" i="17" s="1"/>
  <c r="L29" i="25" s="1"/>
  <c r="AH12" i="24" s="1"/>
  <c r="W39" i="23"/>
  <c r="AE17" i="24"/>
  <c r="I17" i="24" s="1"/>
  <c r="E37" i="23"/>
  <c r="F37" i="23" s="1"/>
  <c r="B75" i="17" s="1"/>
  <c r="E34" i="25" s="1"/>
  <c r="E33" i="25"/>
  <c r="B89" i="17"/>
  <c r="AG37" i="23"/>
  <c r="L17" i="24"/>
  <c r="AI17" i="24"/>
  <c r="M17" i="24" s="1"/>
  <c r="AO36" i="23"/>
  <c r="AP36" i="23" s="1"/>
  <c r="K74" i="17" s="1"/>
  <c r="N29" i="25" s="1"/>
  <c r="AH14" i="24" s="1"/>
  <c r="AC34" i="23"/>
  <c r="J37" i="23"/>
  <c r="C75" i="17" s="1"/>
  <c r="F34" i="25" s="1"/>
  <c r="AB6" i="24" s="1"/>
  <c r="Q20" i="25"/>
  <c r="AB17" i="24"/>
  <c r="F17" i="24" s="1"/>
  <c r="AS35" i="23"/>
  <c r="AT35" i="23" s="1"/>
  <c r="Q36" i="23"/>
  <c r="R36" i="23" s="1"/>
  <c r="E74" i="17" s="1"/>
  <c r="H29" i="25" s="1"/>
  <c r="E34" i="23"/>
  <c r="AI39" i="23"/>
  <c r="I37" i="23"/>
  <c r="AP37" i="23"/>
  <c r="K75" i="17" s="1"/>
  <c r="N34" i="25" s="1"/>
  <c r="N32" i="25" s="1"/>
  <c r="N23" i="25" s="1"/>
  <c r="N72" i="17"/>
  <c r="Q27" i="28" s="1"/>
  <c r="BE34" i="23"/>
  <c r="BE39" i="23" s="1"/>
  <c r="BD34" i="23"/>
  <c r="BD39" i="23" s="1"/>
  <c r="J16" i="24"/>
  <c r="AB28" i="28"/>
  <c r="AB29" i="28"/>
  <c r="M77" i="17"/>
  <c r="P29" i="25"/>
  <c r="AH16" i="24" s="1"/>
  <c r="AP16" i="24" s="1"/>
  <c r="U38" i="25"/>
  <c r="U40" i="25"/>
  <c r="U41" i="25" s="1"/>
  <c r="W24" i="25"/>
  <c r="W36" i="25"/>
  <c r="BB21" i="24"/>
  <c r="G21" i="24" s="1"/>
  <c r="F21" i="24"/>
  <c r="V24" i="25"/>
  <c r="V36" i="25"/>
  <c r="T40" i="25"/>
  <c r="T41" i="25" s="1"/>
  <c r="T38" i="25"/>
  <c r="X24" i="25"/>
  <c r="X36" i="25"/>
  <c r="R38" i="25"/>
  <c r="R40" i="25"/>
  <c r="R41" i="25" s="1"/>
  <c r="Y24" i="25"/>
  <c r="Y36" i="25"/>
  <c r="AE7" i="24"/>
  <c r="G19" i="25"/>
  <c r="N20" i="25"/>
  <c r="F20" i="24"/>
  <c r="BB20" i="24"/>
  <c r="G20" i="24" s="1"/>
  <c r="Z24" i="25"/>
  <c r="Z36" i="25"/>
  <c r="I32" i="25"/>
  <c r="I23" i="25" s="1"/>
  <c r="H24" i="25"/>
  <c r="S38" i="25"/>
  <c r="S40" i="25"/>
  <c r="S41" i="25" s="1"/>
  <c r="F20" i="25"/>
  <c r="G19" i="24"/>
  <c r="F19" i="24"/>
  <c r="AT34" i="23"/>
  <c r="AT36" i="23"/>
  <c r="BB39" i="23"/>
  <c r="R37" i="23"/>
  <c r="E75" i="17" s="1"/>
  <c r="H34" i="25" s="1"/>
  <c r="AB8" i="24" s="1"/>
  <c r="AP34" i="23"/>
  <c r="K72" i="17" s="1"/>
  <c r="N27" i="25" s="1"/>
  <c r="V36" i="23"/>
  <c r="F74" i="17" s="1"/>
  <c r="I29" i="25" s="1"/>
  <c r="AH9" i="24" s="1"/>
  <c r="Z34" i="23"/>
  <c r="G72" i="17" s="1"/>
  <c r="J27" i="25" s="1"/>
  <c r="AL37" i="23"/>
  <c r="J75" i="17" s="1"/>
  <c r="M34" i="25" s="1"/>
  <c r="AB13" i="24" s="1"/>
  <c r="M34" i="23"/>
  <c r="K39" i="23"/>
  <c r="M36" i="23"/>
  <c r="N36" i="23" s="1"/>
  <c r="D74" i="17" s="1"/>
  <c r="G29" i="25" s="1"/>
  <c r="AH7" i="24" s="1"/>
  <c r="J34" i="23"/>
  <c r="C72" i="17" s="1"/>
  <c r="F27" i="25" s="1"/>
  <c r="Y6" i="24" s="1"/>
  <c r="AD37" i="23"/>
  <c r="H75" i="17" s="1"/>
  <c r="K34" i="25" s="1"/>
  <c r="AB11" i="24" s="1"/>
  <c r="K12" i="23"/>
  <c r="K19" i="23" s="1"/>
  <c r="K27" i="23" s="1"/>
  <c r="F34" i="23"/>
  <c r="B72" i="17" s="1"/>
  <c r="E27" i="25" s="1"/>
  <c r="Y5" i="24" s="1"/>
  <c r="Q34" i="23"/>
  <c r="AL34" i="23"/>
  <c r="J72" i="17" s="1"/>
  <c r="M27" i="25" s="1"/>
  <c r="Y13" i="24" s="1"/>
  <c r="E35" i="23"/>
  <c r="AK35" i="23"/>
  <c r="AL35" i="23" s="1"/>
  <c r="J73" i="17" s="1"/>
  <c r="M28" i="25" s="1"/>
  <c r="Y36" i="23"/>
  <c r="Z36" i="23" s="1"/>
  <c r="G74" i="17" s="1"/>
  <c r="J29" i="25" s="1"/>
  <c r="G39" i="23"/>
  <c r="O39" i="23"/>
  <c r="AM39" i="23"/>
  <c r="R34" i="23"/>
  <c r="E72" i="17" s="1"/>
  <c r="H27" i="25" s="1"/>
  <c r="H18" i="25" s="1"/>
  <c r="Q35" i="23"/>
  <c r="R35" i="23" s="1"/>
  <c r="E73" i="17" s="1"/>
  <c r="H28" i="25" s="1"/>
  <c r="AE8" i="24" s="1"/>
  <c r="E36" i="23"/>
  <c r="F36" i="23" s="1"/>
  <c r="B74" i="17" s="1"/>
  <c r="E29" i="25" s="1"/>
  <c r="AH5" i="24" s="1"/>
  <c r="AK36" i="23"/>
  <c r="AL36" i="23" s="1"/>
  <c r="J74" i="17" s="1"/>
  <c r="M29" i="25" s="1"/>
  <c r="AH13" i="24" s="1"/>
  <c r="I34" i="23"/>
  <c r="AD34" i="23"/>
  <c r="H72" i="17" s="1"/>
  <c r="K27" i="25" s="1"/>
  <c r="K18" i="25" s="1"/>
  <c r="AO34" i="23"/>
  <c r="AC35" i="23"/>
  <c r="AD35" i="23" s="1"/>
  <c r="H73" i="17" s="1"/>
  <c r="K28" i="25" s="1"/>
  <c r="AE11" i="24" s="1"/>
  <c r="AS37" i="23"/>
  <c r="AS39" i="23" s="1"/>
  <c r="U34" i="23"/>
  <c r="I35" i="23"/>
  <c r="J35" i="23" s="1"/>
  <c r="C73" i="17" s="1"/>
  <c r="F28" i="25" s="1"/>
  <c r="F19" i="25" s="1"/>
  <c r="AO35" i="23"/>
  <c r="AP35" i="23" s="1"/>
  <c r="K73" i="17" s="1"/>
  <c r="N28" i="25" s="1"/>
  <c r="N19" i="25" s="1"/>
  <c r="AC36" i="23"/>
  <c r="AD36" i="23" s="1"/>
  <c r="H74" i="17" s="1"/>
  <c r="K29" i="25" s="1"/>
  <c r="M37" i="23"/>
  <c r="N37" i="23" s="1"/>
  <c r="D75" i="17" s="1"/>
  <c r="G34" i="25" s="1"/>
  <c r="G32" i="25" s="1"/>
  <c r="G23" i="25" s="1"/>
  <c r="U37" i="23"/>
  <c r="V37" i="23" s="1"/>
  <c r="F75" i="17" s="1"/>
  <c r="I34" i="25" s="1"/>
  <c r="I24" i="25" s="1"/>
  <c r="V34" i="23"/>
  <c r="F72" i="17" s="1"/>
  <c r="I27" i="25" s="1"/>
  <c r="I18" i="25" s="1"/>
  <c r="AG34" i="23"/>
  <c r="U35" i="23"/>
  <c r="V35" i="23" s="1"/>
  <c r="F73" i="17" s="1"/>
  <c r="I28" i="25" s="1"/>
  <c r="AE9" i="24" s="1"/>
  <c r="AQ39" i="23"/>
  <c r="Y35" i="23"/>
  <c r="Z35" i="23" s="1"/>
  <c r="G73" i="17" s="1"/>
  <c r="J28" i="25" s="1"/>
  <c r="J19" i="25" s="1"/>
  <c r="AG35" i="23"/>
  <c r="AH35" i="23" s="1"/>
  <c r="I73" i="17" s="1"/>
  <c r="L28" i="25" s="1"/>
  <c r="Y37" i="23"/>
  <c r="Z37" i="23" s="1"/>
  <c r="G75" i="17" s="1"/>
  <c r="J34" i="25" s="1"/>
  <c r="L20" i="25" l="1"/>
  <c r="AB27" i="28"/>
  <c r="Q30" i="28"/>
  <c r="L32" i="25"/>
  <c r="L23" i="25" s="1"/>
  <c r="L24" i="25"/>
  <c r="K19" i="25"/>
  <c r="AC17" i="24"/>
  <c r="G17" i="24" s="1"/>
  <c r="AF17" i="24"/>
  <c r="J17" i="24" s="1"/>
  <c r="AB36" i="25"/>
  <c r="AC36" i="25" s="1"/>
  <c r="G24" i="25"/>
  <c r="Y11" i="24"/>
  <c r="N30" i="25"/>
  <c r="N36" i="25" s="1"/>
  <c r="N40" i="25" s="1"/>
  <c r="N41" i="25" s="1"/>
  <c r="Y9" i="24"/>
  <c r="AP9" i="24" s="1"/>
  <c r="E18" i="25"/>
  <c r="AE10" i="24"/>
  <c r="AF10" i="24" s="1"/>
  <c r="M30" i="25"/>
  <c r="M36" i="25" s="1"/>
  <c r="H19" i="25"/>
  <c r="H32" i="25"/>
  <c r="H23" i="25" s="1"/>
  <c r="Y8" i="24"/>
  <c r="M24" i="25"/>
  <c r="AB5" i="24"/>
  <c r="F5" i="24" s="1"/>
  <c r="E24" i="25"/>
  <c r="E32" i="25"/>
  <c r="E23" i="25" s="1"/>
  <c r="J30" i="25"/>
  <c r="J36" i="25" s="1"/>
  <c r="AH8" i="24"/>
  <c r="H20" i="25"/>
  <c r="H30" i="25"/>
  <c r="H36" i="25" s="1"/>
  <c r="H40" i="25" s="1"/>
  <c r="H41" i="25" s="1"/>
  <c r="AH10" i="24"/>
  <c r="J20" i="25"/>
  <c r="J32" i="25"/>
  <c r="J23" i="25" s="1"/>
  <c r="AB10" i="24"/>
  <c r="F10" i="24" s="1"/>
  <c r="J24" i="25"/>
  <c r="AE12" i="24"/>
  <c r="I12" i="24" s="1"/>
  <c r="L19" i="25"/>
  <c r="AH11" i="24"/>
  <c r="K30" i="25"/>
  <c r="K36" i="25" s="1"/>
  <c r="K38" i="25" s="1"/>
  <c r="K20" i="25"/>
  <c r="L13" i="24"/>
  <c r="AI13" i="24"/>
  <c r="M13" i="24" s="1"/>
  <c r="AB14" i="24"/>
  <c r="AC14" i="24" s="1"/>
  <c r="G14" i="24" s="1"/>
  <c r="F30" i="25"/>
  <c r="F36" i="25" s="1"/>
  <c r="F38" i="25" s="1"/>
  <c r="AE13" i="24"/>
  <c r="AF13" i="24" s="1"/>
  <c r="M32" i="25"/>
  <c r="M23" i="25" s="1"/>
  <c r="L14" i="24"/>
  <c r="AI14" i="24"/>
  <c r="M14" i="24" s="1"/>
  <c r="L9" i="24"/>
  <c r="AI9" i="24"/>
  <c r="M9" i="24" s="1"/>
  <c r="I30" i="25"/>
  <c r="I36" i="25" s="1"/>
  <c r="I38" i="25" s="1"/>
  <c r="M39" i="23"/>
  <c r="N24" i="25"/>
  <c r="F18" i="25"/>
  <c r="N18" i="25"/>
  <c r="M20" i="25"/>
  <c r="L12" i="24"/>
  <c r="AI12" i="24"/>
  <c r="M12" i="24" s="1"/>
  <c r="Y10" i="24"/>
  <c r="C10" i="24" s="1"/>
  <c r="L72" i="17"/>
  <c r="O27" i="25" s="1"/>
  <c r="J18" i="25"/>
  <c r="M19" i="25"/>
  <c r="E39" i="23"/>
  <c r="L74" i="17"/>
  <c r="O29" i="25" s="1"/>
  <c r="AB7" i="24"/>
  <c r="AC7" i="24" s="1"/>
  <c r="G7" i="24" s="1"/>
  <c r="M18" i="25"/>
  <c r="F24" i="25"/>
  <c r="AE14" i="24"/>
  <c r="AE6" i="24"/>
  <c r="AP6" i="24" s="1"/>
  <c r="AB9" i="24"/>
  <c r="F9" i="24" s="1"/>
  <c r="I19" i="25"/>
  <c r="Y14" i="24"/>
  <c r="K32" i="25"/>
  <c r="K23" i="25" s="1"/>
  <c r="L73" i="17"/>
  <c r="O28" i="25" s="1"/>
  <c r="L16" i="24"/>
  <c r="AI16" i="24"/>
  <c r="M16" i="24" s="1"/>
  <c r="L7" i="24"/>
  <c r="AI7" i="24"/>
  <c r="M7" i="24" s="1"/>
  <c r="L5" i="24"/>
  <c r="AI5" i="24"/>
  <c r="M5" i="24" s="1"/>
  <c r="F32" i="25"/>
  <c r="F23" i="25" s="1"/>
  <c r="G20" i="25"/>
  <c r="I20" i="25"/>
  <c r="K24" i="25"/>
  <c r="E20" i="25"/>
  <c r="AC27" i="28"/>
  <c r="AD27" i="28"/>
  <c r="AD28" i="28"/>
  <c r="AC28" i="28"/>
  <c r="Q38" i="28"/>
  <c r="AB30" i="28"/>
  <c r="AD29" i="28"/>
  <c r="AC29" i="28"/>
  <c r="Q33" i="28"/>
  <c r="AF8" i="24"/>
  <c r="I8" i="24"/>
  <c r="X40" i="25"/>
  <c r="X41" i="25" s="1"/>
  <c r="X38" i="25"/>
  <c r="W40" i="25"/>
  <c r="W41" i="25" s="1"/>
  <c r="W38" i="25"/>
  <c r="P20" i="25"/>
  <c r="P30" i="25"/>
  <c r="P36" i="25" s="1"/>
  <c r="F24" i="24"/>
  <c r="BB24" i="24"/>
  <c r="G24" i="24" s="1"/>
  <c r="BB23" i="24"/>
  <c r="G23" i="24" s="1"/>
  <c r="F23" i="24"/>
  <c r="I7" i="24"/>
  <c r="AF7" i="24"/>
  <c r="BB22" i="24"/>
  <c r="G22" i="24" s="1"/>
  <c r="F22" i="24"/>
  <c r="P9" i="24"/>
  <c r="O9" i="24"/>
  <c r="T20" i="24"/>
  <c r="BP20" i="24"/>
  <c r="BQ20" i="24"/>
  <c r="O10" i="24"/>
  <c r="P10" i="24"/>
  <c r="V38" i="25"/>
  <c r="V40" i="25"/>
  <c r="V41" i="25" s="1"/>
  <c r="AC13" i="24"/>
  <c r="G13" i="24" s="1"/>
  <c r="F13" i="24"/>
  <c r="Z5" i="24"/>
  <c r="D5" i="24" s="1"/>
  <c r="C5" i="24"/>
  <c r="O7" i="24"/>
  <c r="P7" i="24"/>
  <c r="N77" i="17"/>
  <c r="Q27" i="25"/>
  <c r="Z38" i="25"/>
  <c r="Z40" i="25"/>
  <c r="Z41" i="25" s="1"/>
  <c r="O8" i="24"/>
  <c r="P8" i="24"/>
  <c r="Y38" i="25"/>
  <c r="Y40" i="25"/>
  <c r="Y41" i="25" s="1"/>
  <c r="C6" i="24"/>
  <c r="Z6" i="24"/>
  <c r="D6" i="24" s="1"/>
  <c r="O5" i="24"/>
  <c r="P5" i="24"/>
  <c r="C13" i="24"/>
  <c r="Z13" i="24"/>
  <c r="D13" i="24" s="1"/>
  <c r="O12" i="24"/>
  <c r="P12" i="24"/>
  <c r="I14" i="24"/>
  <c r="AF14" i="24"/>
  <c r="M40" i="25"/>
  <c r="M41" i="25" s="1"/>
  <c r="M38" i="25"/>
  <c r="I11" i="24"/>
  <c r="AF11" i="24"/>
  <c r="F8" i="24"/>
  <c r="AC8" i="24"/>
  <c r="G8" i="24" s="1"/>
  <c r="F26" i="24"/>
  <c r="BB26" i="24"/>
  <c r="G26" i="24" s="1"/>
  <c r="J38" i="25"/>
  <c r="J40" i="25"/>
  <c r="J41" i="25" s="1"/>
  <c r="BP21" i="24"/>
  <c r="T21" i="24"/>
  <c r="AC6" i="24"/>
  <c r="G6" i="24" s="1"/>
  <c r="F6" i="24"/>
  <c r="O11" i="24"/>
  <c r="P11" i="24"/>
  <c r="O6" i="24"/>
  <c r="P6" i="24"/>
  <c r="BB25" i="24"/>
  <c r="G25" i="24" s="1"/>
  <c r="F25" i="24"/>
  <c r="F12" i="24"/>
  <c r="AC12" i="24"/>
  <c r="G12" i="24" s="1"/>
  <c r="AF9" i="24"/>
  <c r="I9" i="24"/>
  <c r="F11" i="24"/>
  <c r="AC11" i="24"/>
  <c r="G11" i="24" s="1"/>
  <c r="AK39" i="23"/>
  <c r="AP39" i="23"/>
  <c r="J39" i="23"/>
  <c r="Z39" i="23"/>
  <c r="U39" i="23"/>
  <c r="AL39" i="23"/>
  <c r="F35" i="23"/>
  <c r="Y39" i="23"/>
  <c r="AH34" i="23"/>
  <c r="AG39" i="23"/>
  <c r="R39" i="23"/>
  <c r="Q39" i="23"/>
  <c r="AC39" i="23"/>
  <c r="AT37" i="23"/>
  <c r="L75" i="17" s="1"/>
  <c r="AO39" i="23"/>
  <c r="N34" i="23"/>
  <c r="V39" i="23"/>
  <c r="AD39" i="23"/>
  <c r="I39" i="23"/>
  <c r="N38" i="25" l="1"/>
  <c r="H38" i="25"/>
  <c r="AF12" i="24"/>
  <c r="I40" i="25"/>
  <c r="I41" i="25" s="1"/>
  <c r="AF6" i="24"/>
  <c r="I6" i="24"/>
  <c r="Z9" i="24"/>
  <c r="D9" i="24" s="1"/>
  <c r="AP14" i="24"/>
  <c r="AR14" i="24" s="1"/>
  <c r="I13" i="24"/>
  <c r="F14" i="24"/>
  <c r="C11" i="24"/>
  <c r="AP11" i="24"/>
  <c r="T11" i="24" s="1"/>
  <c r="C9" i="24"/>
  <c r="Z10" i="24"/>
  <c r="D10" i="24" s="1"/>
  <c r="AP10" i="24"/>
  <c r="AQ10" i="24" s="1"/>
  <c r="Z8" i="24"/>
  <c r="D8" i="24" s="1"/>
  <c r="AP8" i="24"/>
  <c r="AR8" i="24" s="1"/>
  <c r="C8" i="24"/>
  <c r="Z11" i="24"/>
  <c r="D11" i="24" s="1"/>
  <c r="AP13" i="24"/>
  <c r="AQ14" i="24" s="1"/>
  <c r="AC10" i="24"/>
  <c r="G10" i="24" s="1"/>
  <c r="I10" i="24"/>
  <c r="F7" i="24"/>
  <c r="C14" i="24"/>
  <c r="Z14" i="24"/>
  <c r="D14" i="24" s="1"/>
  <c r="AC9" i="24"/>
  <c r="G9" i="24" s="1"/>
  <c r="AC5" i="24"/>
  <c r="G5" i="24" s="1"/>
  <c r="AA41" i="25"/>
  <c r="AC41" i="25" s="1"/>
  <c r="AH15" i="24"/>
  <c r="AI15" i="24" s="1"/>
  <c r="M15" i="24" s="1"/>
  <c r="O20" i="25"/>
  <c r="AE15" i="24"/>
  <c r="O19" i="25"/>
  <c r="Y15" i="24"/>
  <c r="O30" i="25"/>
  <c r="O18" i="25"/>
  <c r="L10" i="24"/>
  <c r="AI10" i="24"/>
  <c r="M10" i="24" s="1"/>
  <c r="L11" i="24"/>
  <c r="AI11" i="24"/>
  <c r="M11" i="24" s="1"/>
  <c r="N39" i="23"/>
  <c r="D72" i="17"/>
  <c r="G27" i="25" s="1"/>
  <c r="F40" i="25"/>
  <c r="F41" i="25" s="1"/>
  <c r="AH39" i="23"/>
  <c r="I72" i="17"/>
  <c r="L27" i="25" s="1"/>
  <c r="F39" i="23"/>
  <c r="B73" i="17"/>
  <c r="E28" i="25" s="1"/>
  <c r="L8" i="24"/>
  <c r="AI8" i="24"/>
  <c r="M8" i="24" s="1"/>
  <c r="K40" i="25"/>
  <c r="K41" i="25" s="1"/>
  <c r="J10" i="24"/>
  <c r="J6" i="24"/>
  <c r="J12" i="24"/>
  <c r="J8" i="24"/>
  <c r="J11" i="24"/>
  <c r="J13" i="24"/>
  <c r="J7" i="24"/>
  <c r="J14" i="24"/>
  <c r="J9" i="24"/>
  <c r="AC30" i="28"/>
  <c r="AD30" i="28"/>
  <c r="Q42" i="28"/>
  <c r="U20" i="24"/>
  <c r="T24" i="24"/>
  <c r="BP24" i="24"/>
  <c r="T26" i="24"/>
  <c r="BP23" i="24"/>
  <c r="T23" i="24"/>
  <c r="P38" i="25"/>
  <c r="P40" i="25"/>
  <c r="P41" i="25" s="1"/>
  <c r="BP26" i="24"/>
  <c r="BP25" i="24"/>
  <c r="T25" i="24"/>
  <c r="U21" i="24"/>
  <c r="T8" i="24"/>
  <c r="T14" i="24"/>
  <c r="Y17" i="24"/>
  <c r="AP17" i="24" s="1"/>
  <c r="Q18" i="25"/>
  <c r="Q30" i="25"/>
  <c r="Q36" i="25" s="1"/>
  <c r="V21" i="24"/>
  <c r="BR21" i="24"/>
  <c r="T9" i="24"/>
  <c r="AR9" i="24"/>
  <c r="BR20" i="24"/>
  <c r="V20" i="24"/>
  <c r="T6" i="24"/>
  <c r="AR6" i="24"/>
  <c r="BP22" i="24"/>
  <c r="T22" i="24"/>
  <c r="AT39" i="23"/>
  <c r="O34" i="25"/>
  <c r="O36" i="25" s="1"/>
  <c r="AQ9" i="24" l="1"/>
  <c r="AR11" i="24"/>
  <c r="C15" i="24"/>
  <c r="AR10" i="24"/>
  <c r="V10" i="24" s="1"/>
  <c r="Z15" i="24"/>
  <c r="D15" i="24" s="1"/>
  <c r="AQ11" i="24"/>
  <c r="AR13" i="24"/>
  <c r="V13" i="24" s="1"/>
  <c r="T13" i="24"/>
  <c r="U14" i="24" s="1"/>
  <c r="L15" i="24"/>
  <c r="T10" i="24"/>
  <c r="U11" i="24" s="1"/>
  <c r="E19" i="25"/>
  <c r="AE5" i="24"/>
  <c r="AP5" i="24" s="1"/>
  <c r="AR5" i="24" s="1"/>
  <c r="E30" i="25"/>
  <c r="E36" i="25" s="1"/>
  <c r="L18" i="25"/>
  <c r="Y12" i="24"/>
  <c r="AP12" i="24" s="1"/>
  <c r="L30" i="25"/>
  <c r="L36" i="25" s="1"/>
  <c r="Y7" i="24"/>
  <c r="AP7" i="24" s="1"/>
  <c r="G18" i="25"/>
  <c r="G30" i="25"/>
  <c r="G36" i="25" s="1"/>
  <c r="I15" i="24"/>
  <c r="AF15" i="24"/>
  <c r="J15" i="24" s="1"/>
  <c r="U24" i="24"/>
  <c r="W21" i="24"/>
  <c r="U9" i="24"/>
  <c r="V8" i="24"/>
  <c r="C17" i="24"/>
  <c r="Z17" i="24"/>
  <c r="D17" i="24" s="1"/>
  <c r="U23" i="24"/>
  <c r="U22" i="24"/>
  <c r="V14" i="24"/>
  <c r="V22" i="24"/>
  <c r="BR22" i="24"/>
  <c r="T16" i="24"/>
  <c r="AR16" i="24"/>
  <c r="V11" i="24"/>
  <c r="U25" i="24"/>
  <c r="V23" i="24"/>
  <c r="BR23" i="24"/>
  <c r="W20" i="24"/>
  <c r="Q38" i="25"/>
  <c r="Q40" i="25"/>
  <c r="Q41" i="25" s="1"/>
  <c r="V25" i="24"/>
  <c r="BR25" i="24"/>
  <c r="U26" i="24"/>
  <c r="O38" i="25"/>
  <c r="O40" i="25"/>
  <c r="O41" i="25" s="1"/>
  <c r="V6" i="24"/>
  <c r="AB15" i="24"/>
  <c r="AP15" i="24" s="1"/>
  <c r="O24" i="25"/>
  <c r="O32" i="25"/>
  <c r="O23" i="25" s="1"/>
  <c r="V9" i="24"/>
  <c r="AS9" i="24"/>
  <c r="V26" i="24"/>
  <c r="BR26" i="24"/>
  <c r="V24" i="24"/>
  <c r="BR24" i="24"/>
  <c r="AS11" i="24" l="1"/>
  <c r="AS10" i="24"/>
  <c r="U10" i="24"/>
  <c r="AS14" i="24"/>
  <c r="L40" i="25"/>
  <c r="L41" i="25" s="1"/>
  <c r="L38" i="25"/>
  <c r="C12" i="24"/>
  <c r="Z12" i="24"/>
  <c r="D12" i="24" s="1"/>
  <c r="C7" i="24"/>
  <c r="Z7" i="24"/>
  <c r="D7" i="24" s="1"/>
  <c r="E40" i="25"/>
  <c r="E41" i="25" s="1"/>
  <c r="E38" i="25"/>
  <c r="AF5" i="24"/>
  <c r="J5" i="24" s="1"/>
  <c r="I5" i="24"/>
  <c r="G40" i="25"/>
  <c r="G41" i="25" s="1"/>
  <c r="G38" i="25"/>
  <c r="W14" i="24"/>
  <c r="W26" i="24"/>
  <c r="W24" i="24"/>
  <c r="W25" i="24"/>
  <c r="W10" i="24"/>
  <c r="W23" i="24"/>
  <c r="W22" i="24"/>
  <c r="V16" i="24"/>
  <c r="AC15" i="24"/>
  <c r="G15" i="24" s="1"/>
  <c r="F15" i="24"/>
  <c r="W11" i="24"/>
  <c r="W9" i="24"/>
  <c r="AR17" i="24"/>
  <c r="T17" i="24"/>
  <c r="AQ17" i="24"/>
  <c r="AR12" i="24" l="1"/>
  <c r="T12" i="24"/>
  <c r="AQ12" i="24"/>
  <c r="AQ13" i="24"/>
  <c r="AQ7" i="24"/>
  <c r="T7" i="24"/>
  <c r="AQ8" i="24"/>
  <c r="AR7" i="24"/>
  <c r="AQ6" i="24"/>
  <c r="T5" i="24"/>
  <c r="U6" i="24" s="1"/>
  <c r="AR15" i="24"/>
  <c r="AQ15" i="24"/>
  <c r="T15" i="24"/>
  <c r="AQ16" i="24"/>
  <c r="AS17" i="24"/>
  <c r="V17" i="24"/>
  <c r="U17" i="24"/>
  <c r="G305" i="16"/>
  <c r="F305" i="16"/>
  <c r="E305" i="16"/>
  <c r="G278" i="16"/>
  <c r="F278" i="16"/>
  <c r="E278" i="16"/>
  <c r="U13" i="24" l="1"/>
  <c r="U12" i="24"/>
  <c r="AS7" i="24"/>
  <c r="AS8" i="24"/>
  <c r="V7" i="24"/>
  <c r="U7" i="24"/>
  <c r="U8" i="24"/>
  <c r="V5" i="24"/>
  <c r="W6" i="24" s="1"/>
  <c r="AS6" i="24"/>
  <c r="AS12" i="24"/>
  <c r="AS13" i="24"/>
  <c r="V12" i="24"/>
  <c r="W17" i="24"/>
  <c r="U15" i="24"/>
  <c r="U16" i="24"/>
  <c r="V15" i="24"/>
  <c r="AS15" i="24"/>
  <c r="AS16" i="24"/>
  <c r="I299" i="16"/>
  <c r="E310" i="16" s="1"/>
  <c r="I302" i="16"/>
  <c r="I300" i="16"/>
  <c r="I301" i="16"/>
  <c r="I303" i="16"/>
  <c r="I304" i="16"/>
  <c r="I297" i="16"/>
  <c r="I298" i="16"/>
  <c r="E309" i="16" s="1"/>
  <c r="H271" i="16"/>
  <c r="I271" i="16" s="1"/>
  <c r="E282" i="16" s="1"/>
  <c r="M136" i="17" s="1"/>
  <c r="H272" i="16"/>
  <c r="I272" i="16" s="1"/>
  <c r="E283" i="16" s="1"/>
  <c r="M137" i="17" s="1"/>
  <c r="H273" i="16"/>
  <c r="I273" i="16" s="1"/>
  <c r="E284" i="16" s="1"/>
  <c r="M138" i="17" s="1"/>
  <c r="H274" i="16"/>
  <c r="I274" i="16" s="1"/>
  <c r="H277" i="16"/>
  <c r="I277" i="16" s="1"/>
  <c r="H275" i="16"/>
  <c r="I275" i="16" s="1"/>
  <c r="H276" i="16"/>
  <c r="I276" i="16" s="1"/>
  <c r="I270" i="16"/>
  <c r="W12" i="24" l="1"/>
  <c r="W13" i="24"/>
  <c r="W8" i="24"/>
  <c r="W7" i="24"/>
  <c r="N5" i="17"/>
  <c r="N6" i="17"/>
  <c r="N7" i="17"/>
  <c r="W15" i="24"/>
  <c r="W16" i="24"/>
  <c r="E311" i="16"/>
  <c r="I305" i="16"/>
  <c r="E281" i="16"/>
  <c r="H278" i="16"/>
  <c r="I278" i="16"/>
  <c r="E285" i="16"/>
  <c r="E289" i="16" s="1"/>
  <c r="N136" i="17" l="1"/>
  <c r="Q8" i="28"/>
  <c r="N137" i="17"/>
  <c r="Q9" i="28"/>
  <c r="N135" i="17"/>
  <c r="Q7" i="28"/>
  <c r="N8" i="17"/>
  <c r="E312" i="16"/>
  <c r="M12" i="17"/>
  <c r="M135" i="17"/>
  <c r="M140" i="17" s="1"/>
  <c r="P9" i="15"/>
  <c r="P10" i="15" s="1"/>
  <c r="O9" i="15"/>
  <c r="O10" i="15" s="1"/>
  <c r="P5" i="15"/>
  <c r="P6" i="15"/>
  <c r="P4" i="15"/>
  <c r="O5" i="15"/>
  <c r="O6" i="15"/>
  <c r="O4" i="15"/>
  <c r="O19" i="15"/>
  <c r="P19" i="15"/>
  <c r="O25" i="15"/>
  <c r="O36" i="15" s="1"/>
  <c r="M14" i="17" s="1"/>
  <c r="P25" i="15"/>
  <c r="O29" i="15"/>
  <c r="P29" i="15"/>
  <c r="O34" i="15"/>
  <c r="M16" i="17" s="1"/>
  <c r="P34" i="15"/>
  <c r="N16" i="17" s="1"/>
  <c r="AO19" i="14"/>
  <c r="AN19" i="14"/>
  <c r="AL19" i="14"/>
  <c r="AK19" i="14"/>
  <c r="AP18" i="14"/>
  <c r="BB47" i="23" s="1"/>
  <c r="N87" i="17" s="1"/>
  <c r="N89" i="17" s="1"/>
  <c r="AM18" i="14"/>
  <c r="AX47" i="23" s="1"/>
  <c r="M87" i="17" s="1"/>
  <c r="M89" i="17" s="1"/>
  <c r="AP17" i="14"/>
  <c r="BB46" i="23" s="1"/>
  <c r="N86" i="17" s="1"/>
  <c r="AM17" i="14"/>
  <c r="AX46" i="23" s="1"/>
  <c r="M86" i="17" s="1"/>
  <c r="AP16" i="14"/>
  <c r="BB45" i="23" s="1"/>
  <c r="N85" i="17" s="1"/>
  <c r="AM16" i="14"/>
  <c r="AX45" i="23" s="1"/>
  <c r="M85" i="17" s="1"/>
  <c r="AP15" i="14"/>
  <c r="AM15" i="14"/>
  <c r="AO13" i="14"/>
  <c r="AN13" i="14"/>
  <c r="AL13" i="14"/>
  <c r="AK13" i="14"/>
  <c r="AP12" i="14"/>
  <c r="AP13" i="14" s="1"/>
  <c r="N29" i="17" s="1"/>
  <c r="AM12" i="14"/>
  <c r="AM13" i="14" s="1"/>
  <c r="M29" i="17" s="1"/>
  <c r="AO10" i="14"/>
  <c r="AO21" i="14" s="1"/>
  <c r="AO22" i="14" s="1"/>
  <c r="AN10" i="14"/>
  <c r="AN21" i="14" s="1"/>
  <c r="AN22" i="14" s="1"/>
  <c r="AL10" i="14"/>
  <c r="AL21" i="14" s="1"/>
  <c r="AL22" i="14" s="1"/>
  <c r="AK10" i="14"/>
  <c r="AK21" i="14" s="1"/>
  <c r="AK22" i="14" s="1"/>
  <c r="AP9" i="14"/>
  <c r="N28" i="17" s="1"/>
  <c r="AM9" i="14"/>
  <c r="M28" i="17" s="1"/>
  <c r="AP8" i="14"/>
  <c r="N27" i="17" s="1"/>
  <c r="AM8" i="14"/>
  <c r="M27" i="17" s="1"/>
  <c r="AP7" i="14"/>
  <c r="AM7" i="14"/>
  <c r="N12" i="17" l="1"/>
  <c r="Q12" i="28"/>
  <c r="Q10" i="28"/>
  <c r="Q18" i="28"/>
  <c r="M148" i="17"/>
  <c r="Q20" i="28"/>
  <c r="Q19" i="28"/>
  <c r="N148" i="17"/>
  <c r="M146" i="17"/>
  <c r="N146" i="17"/>
  <c r="M147" i="17"/>
  <c r="N147" i="17"/>
  <c r="AM10" i="14"/>
  <c r="AM21" i="14" s="1"/>
  <c r="M24" i="17"/>
  <c r="M26" i="17" s="1"/>
  <c r="AP10" i="14"/>
  <c r="AP21" i="14" s="1"/>
  <c r="N24" i="17"/>
  <c r="N26" i="17" s="1"/>
  <c r="AX44" i="23"/>
  <c r="AM19" i="14"/>
  <c r="AX48" i="23" s="1"/>
  <c r="BB44" i="23"/>
  <c r="AP19" i="14"/>
  <c r="BB48" i="23" s="1"/>
  <c r="O7" i="15"/>
  <c r="M17" i="17"/>
  <c r="P36" i="15"/>
  <c r="N14" i="17" s="1"/>
  <c r="N17" i="17" s="1"/>
  <c r="N138" i="17"/>
  <c r="N140" i="17" s="1"/>
  <c r="P7" i="15"/>
  <c r="P12" i="15" s="1"/>
  <c r="O12" i="15"/>
  <c r="Q15" i="28" l="1"/>
  <c r="Q13" i="28"/>
  <c r="N82" i="17"/>
  <c r="N84" i="17" s="1"/>
  <c r="N91" i="17" s="1"/>
  <c r="BB49" i="23"/>
  <c r="M82" i="17"/>
  <c r="M84" i="17" s="1"/>
  <c r="M91" i="17" s="1"/>
  <c r="AX49" i="23"/>
  <c r="N145" i="17"/>
  <c r="N150" i="17" s="1"/>
  <c r="N31" i="17"/>
  <c r="AP22" i="14"/>
  <c r="M145" i="17"/>
  <c r="M150" i="17" s="1"/>
  <c r="M31" i="17"/>
  <c r="AM22" i="14"/>
  <c r="E19" i="14"/>
  <c r="D19" i="14"/>
  <c r="H19" i="14"/>
  <c r="G19" i="14"/>
  <c r="F18" i="14"/>
  <c r="F17" i="14"/>
  <c r="F16" i="14"/>
  <c r="F15" i="14"/>
  <c r="F12" i="14"/>
  <c r="F9" i="14"/>
  <c r="B28" i="17" s="1"/>
  <c r="F8" i="14"/>
  <c r="F7" i="14"/>
  <c r="I18" i="14"/>
  <c r="I17" i="14"/>
  <c r="I16" i="14"/>
  <c r="I15" i="14"/>
  <c r="I12" i="14"/>
  <c r="I9" i="14"/>
  <c r="I8" i="14"/>
  <c r="I7" i="14"/>
  <c r="D13" i="14"/>
  <c r="E13" i="14"/>
  <c r="G13" i="14"/>
  <c r="H13" i="14"/>
  <c r="D10" i="14"/>
  <c r="D21" i="14" s="1"/>
  <c r="D22" i="14" s="1"/>
  <c r="E10" i="14"/>
  <c r="E21" i="14" s="1"/>
  <c r="E22" i="14" s="1"/>
  <c r="G10" i="14"/>
  <c r="G21" i="14" s="1"/>
  <c r="G22" i="14" s="1"/>
  <c r="H10" i="14"/>
  <c r="H21" i="14" s="1"/>
  <c r="H22" i="14" s="1"/>
  <c r="Q41" i="28" l="1"/>
  <c r="Q34" i="28"/>
  <c r="Q40" i="28"/>
  <c r="Q24" i="28"/>
  <c r="Q23" i="28"/>
  <c r="E4" i="15"/>
  <c r="C24" i="17"/>
  <c r="I10" i="14"/>
  <c r="C27" i="17"/>
  <c r="C146" i="17" s="1"/>
  <c r="E5" i="15"/>
  <c r="E6" i="15"/>
  <c r="C28" i="17"/>
  <c r="C147" i="17" s="1"/>
  <c r="I13" i="14"/>
  <c r="C29" i="17"/>
  <c r="D4" i="15"/>
  <c r="B24" i="17"/>
  <c r="D5" i="15"/>
  <c r="B27" i="17"/>
  <c r="B146" i="17" s="1"/>
  <c r="D9" i="15"/>
  <c r="D10" i="15" s="1"/>
  <c r="B29" i="17"/>
  <c r="B148" i="17" s="1"/>
  <c r="B147" i="17"/>
  <c r="B91" i="17"/>
  <c r="C89" i="17"/>
  <c r="F10" i="14"/>
  <c r="D6" i="15"/>
  <c r="D7" i="15" s="1"/>
  <c r="D12" i="15" s="1"/>
  <c r="I19" i="14"/>
  <c r="F13" i="14"/>
  <c r="E9" i="15"/>
  <c r="E10" i="15" s="1"/>
  <c r="F19" i="14"/>
  <c r="Q43" i="28" l="1"/>
  <c r="C148" i="17"/>
  <c r="I21" i="14"/>
  <c r="I22" i="14" s="1"/>
  <c r="E7" i="15"/>
  <c r="E12" i="15" s="1"/>
  <c r="C91" i="17"/>
  <c r="F21" i="14"/>
  <c r="F22" i="14" s="1"/>
  <c r="H11" i="16"/>
  <c r="H8" i="16"/>
  <c r="H7" i="16"/>
  <c r="F15" i="16"/>
  <c r="E15" i="16"/>
  <c r="H14" i="16" s="1"/>
  <c r="G12" i="16"/>
  <c r="G15" i="16" s="1"/>
  <c r="B26" i="17" s="1"/>
  <c r="G35" i="16"/>
  <c r="B31" i="17" l="1"/>
  <c r="B145" i="17"/>
  <c r="B150" i="17" s="1"/>
  <c r="H10" i="16"/>
  <c r="H13" i="16"/>
  <c r="H9" i="16"/>
  <c r="I12" i="16"/>
  <c r="F38" i="16" l="1"/>
  <c r="E38" i="16"/>
  <c r="G38" i="16"/>
  <c r="C26" i="17" s="1"/>
  <c r="C31" i="17" l="1"/>
  <c r="C145" i="17"/>
  <c r="C150" i="17" s="1"/>
  <c r="I13" i="16"/>
  <c r="I8" i="16"/>
  <c r="E19" i="16" s="1"/>
  <c r="I14" i="16"/>
  <c r="I10" i="16"/>
  <c r="I9" i="16"/>
  <c r="E20" i="16" s="1"/>
  <c r="I11" i="16"/>
  <c r="H36" i="16"/>
  <c r="I36" i="16" s="1"/>
  <c r="H37" i="16"/>
  <c r="I37" i="16" s="1"/>
  <c r="H32" i="16"/>
  <c r="I32" i="16" s="1"/>
  <c r="E43" i="16" s="1"/>
  <c r="H30" i="16"/>
  <c r="I30" i="16" s="1"/>
  <c r="H34" i="16"/>
  <c r="I34" i="16" s="1"/>
  <c r="E41" i="16" s="1"/>
  <c r="H31" i="16"/>
  <c r="I31" i="16" s="1"/>
  <c r="E42" i="16" s="1"/>
  <c r="H33" i="16"/>
  <c r="I33" i="16" s="1"/>
  <c r="I35" i="16"/>
  <c r="E21" i="16" l="1"/>
  <c r="I7" i="16"/>
  <c r="H15" i="16"/>
  <c r="E44" i="16"/>
  <c r="I38" i="16"/>
  <c r="H38" i="16"/>
  <c r="E45" i="16" l="1"/>
  <c r="I15" i="16"/>
  <c r="E18" i="16"/>
  <c r="E22" i="16" l="1"/>
  <c r="C12" i="17"/>
  <c r="C17" i="17" s="1"/>
  <c r="B12" i="17" l="1"/>
  <c r="B17" i="17" s="1"/>
  <c r="L77" i="17" l="1"/>
  <c r="L7" i="14" l="1"/>
  <c r="D24" i="17" s="1"/>
  <c r="AJ18" i="14"/>
  <c r="AJ17" i="14"/>
  <c r="AJ16" i="14"/>
  <c r="AJ15" i="14"/>
  <c r="AJ12" i="14"/>
  <c r="AJ9" i="14"/>
  <c r="L28" i="17" s="1"/>
  <c r="AJ8" i="14"/>
  <c r="L27" i="17" s="1"/>
  <c r="AJ7" i="14"/>
  <c r="L24" i="17" s="1"/>
  <c r="L26" i="17" s="1"/>
  <c r="AG18" i="14"/>
  <c r="AG17" i="14"/>
  <c r="AG16" i="14"/>
  <c r="AG15" i="14"/>
  <c r="AG12" i="14"/>
  <c r="AG9" i="14"/>
  <c r="K28" i="17" s="1"/>
  <c r="AG8" i="14"/>
  <c r="K27" i="17" s="1"/>
  <c r="AG7" i="14"/>
  <c r="K24" i="17" s="1"/>
  <c r="K26" i="17" s="1"/>
  <c r="AD18" i="14"/>
  <c r="AD17" i="14"/>
  <c r="AD16" i="14"/>
  <c r="AD15" i="14"/>
  <c r="AD12" i="14"/>
  <c r="AD9" i="14"/>
  <c r="J28" i="17" s="1"/>
  <c r="AD8" i="14"/>
  <c r="J27" i="17" s="1"/>
  <c r="AD7" i="14"/>
  <c r="J24" i="17" s="1"/>
  <c r="J26" i="17" s="1"/>
  <c r="AA12" i="14"/>
  <c r="AA9" i="14"/>
  <c r="I28" i="17" s="1"/>
  <c r="AA8" i="14"/>
  <c r="I27" i="17" s="1"/>
  <c r="AA7" i="14"/>
  <c r="I24" i="17" s="1"/>
  <c r="I26" i="17" s="1"/>
  <c r="X18" i="14"/>
  <c r="X17" i="14"/>
  <c r="X16" i="14"/>
  <c r="X15" i="14"/>
  <c r="X12" i="14"/>
  <c r="X9" i="14"/>
  <c r="H28" i="17" s="1"/>
  <c r="X8" i="14"/>
  <c r="H27" i="17" s="1"/>
  <c r="X7" i="14"/>
  <c r="H24" i="17" s="1"/>
  <c r="U18" i="14"/>
  <c r="U17" i="14"/>
  <c r="U16" i="14"/>
  <c r="U15" i="14"/>
  <c r="U12" i="14"/>
  <c r="U9" i="14"/>
  <c r="G28" i="17" s="1"/>
  <c r="U8" i="14"/>
  <c r="G27" i="17" s="1"/>
  <c r="U7" i="14"/>
  <c r="G24" i="17" s="1"/>
  <c r="R17" i="14"/>
  <c r="R16" i="14"/>
  <c r="R15" i="14"/>
  <c r="R12" i="14"/>
  <c r="R9" i="14"/>
  <c r="F28" i="17" s="1"/>
  <c r="R8" i="14"/>
  <c r="F27" i="17" s="1"/>
  <c r="R7" i="14"/>
  <c r="F24" i="17" s="1"/>
  <c r="O17" i="14"/>
  <c r="O16" i="14"/>
  <c r="O15" i="14"/>
  <c r="O12" i="14"/>
  <c r="O9" i="14"/>
  <c r="E28" i="17" s="1"/>
  <c r="O8" i="14"/>
  <c r="E27" i="17" s="1"/>
  <c r="O7" i="14"/>
  <c r="E24" i="17" s="1"/>
  <c r="L18" i="14"/>
  <c r="L17" i="14"/>
  <c r="L16" i="14"/>
  <c r="L15" i="14"/>
  <c r="L12" i="14"/>
  <c r="L9" i="14"/>
  <c r="D28" i="17" s="1"/>
  <c r="L8" i="14"/>
  <c r="D27" i="17" s="1"/>
  <c r="L13" i="14" l="1"/>
  <c r="D29" i="17"/>
  <c r="D147" i="17"/>
  <c r="E29" i="17"/>
  <c r="O13" i="14"/>
  <c r="E146" i="17"/>
  <c r="E147" i="17"/>
  <c r="R13" i="14"/>
  <c r="F29" i="17"/>
  <c r="F146" i="17"/>
  <c r="F147" i="17"/>
  <c r="U13" i="14"/>
  <c r="G29" i="17"/>
  <c r="G146" i="17"/>
  <c r="G147" i="17"/>
  <c r="X13" i="14"/>
  <c r="H29" i="17"/>
  <c r="H146" i="17"/>
  <c r="H147" i="17"/>
  <c r="AA13" i="14"/>
  <c r="I29" i="17"/>
  <c r="AD13" i="14"/>
  <c r="J29" i="17"/>
  <c r="J31" i="17" s="1"/>
  <c r="J146" i="17"/>
  <c r="J147" i="17"/>
  <c r="AG13" i="14"/>
  <c r="K29" i="17"/>
  <c r="K31" i="17" s="1"/>
  <c r="K147" i="17"/>
  <c r="AJ13" i="14"/>
  <c r="L29" i="17"/>
  <c r="L31" i="17" s="1"/>
  <c r="R10" i="14"/>
  <c r="X10" i="14"/>
  <c r="X21" i="14" s="1"/>
  <c r="AA10" i="14"/>
  <c r="AA21" i="14" s="1"/>
  <c r="D146" i="17"/>
  <c r="L10" i="14"/>
  <c r="L21" i="14" s="1"/>
  <c r="U10" i="14"/>
  <c r="U21" i="14" s="1"/>
  <c r="AD10" i="14"/>
  <c r="AD21" i="14" s="1"/>
  <c r="AD19" i="14"/>
  <c r="AG10" i="14"/>
  <c r="AG21" i="14" s="1"/>
  <c r="U19" i="14"/>
  <c r="X19" i="14"/>
  <c r="L146" i="17"/>
  <c r="O10" i="14"/>
  <c r="O21" i="14" s="1"/>
  <c r="L147" i="17"/>
  <c r="D84" i="17"/>
  <c r="R21" i="14"/>
  <c r="AG19" i="14"/>
  <c r="L89" i="17"/>
  <c r="L19" i="14"/>
  <c r="L22" i="14" s="1"/>
  <c r="AJ10" i="14"/>
  <c r="AJ21" i="14" s="1"/>
  <c r="AJ19" i="14"/>
  <c r="E84" i="17"/>
  <c r="F84" i="17"/>
  <c r="G84" i="17"/>
  <c r="H84" i="17"/>
  <c r="J84" i="17"/>
  <c r="J145" i="17" s="1"/>
  <c r="K84" i="17"/>
  <c r="K145" i="17" s="1"/>
  <c r="J89" i="17"/>
  <c r="K146" i="17"/>
  <c r="I31" i="17"/>
  <c r="D89" i="17"/>
  <c r="H89" i="17"/>
  <c r="G89" i="17"/>
  <c r="K89" i="17"/>
  <c r="L148" i="17" l="1"/>
  <c r="AG22" i="14"/>
  <c r="U22" i="14"/>
  <c r="B136" i="17"/>
  <c r="X22" i="14"/>
  <c r="B138" i="17"/>
  <c r="C136" i="17"/>
  <c r="C138" i="17"/>
  <c r="C137" i="17"/>
  <c r="AD22" i="14"/>
  <c r="AJ22" i="14"/>
  <c r="L84" i="17"/>
  <c r="K148" i="17"/>
  <c r="K150" i="17" s="1"/>
  <c r="K91" i="17"/>
  <c r="H91" i="17"/>
  <c r="H148" i="17"/>
  <c r="D148" i="17"/>
  <c r="D91" i="17"/>
  <c r="G91" i="17"/>
  <c r="G148" i="17"/>
  <c r="J148" i="17"/>
  <c r="J150" i="17" s="1"/>
  <c r="J91" i="17"/>
  <c r="B137" i="17" l="1"/>
  <c r="B77" i="17"/>
  <c r="B135" i="17"/>
  <c r="L145" i="17"/>
  <c r="L150" i="17" s="1"/>
  <c r="L91" i="17"/>
  <c r="E77" i="17"/>
  <c r="K77" i="17"/>
  <c r="J77" i="17"/>
  <c r="B140" i="17" l="1"/>
  <c r="C77" i="17"/>
  <c r="C135" i="17"/>
  <c r="C140" i="17" s="1"/>
  <c r="G77" i="17"/>
  <c r="F77" i="17"/>
  <c r="I77" i="17"/>
  <c r="H77" i="17"/>
  <c r="D77" i="17"/>
  <c r="G251" i="16" l="1"/>
  <c r="F251" i="16"/>
  <c r="E251" i="16"/>
  <c r="H248" i="16" l="1"/>
  <c r="I248" i="16" s="1"/>
  <c r="H244" i="16"/>
  <c r="H247" i="16"/>
  <c r="I247" i="16" s="1"/>
  <c r="H243" i="16"/>
  <c r="I243" i="16" s="1"/>
  <c r="H250" i="16"/>
  <c r="I250" i="16" s="1"/>
  <c r="H246" i="16"/>
  <c r="H249" i="16"/>
  <c r="I249" i="16" s="1"/>
  <c r="H245" i="16"/>
  <c r="I245" i="16" s="1"/>
  <c r="E256" i="16" s="1"/>
  <c r="I244" i="16"/>
  <c r="E255" i="16" s="1"/>
  <c r="L135" i="17" l="1"/>
  <c r="L136" i="17"/>
  <c r="H251" i="16"/>
  <c r="I246" i="16"/>
  <c r="E257" i="16" s="1"/>
  <c r="L137" i="17" l="1"/>
  <c r="E258" i="16"/>
  <c r="E262" i="16" s="1"/>
  <c r="I251" i="16"/>
  <c r="L12" i="17"/>
  <c r="L138" i="17"/>
  <c r="H224" i="16"/>
  <c r="G224" i="16"/>
  <c r="F224" i="16"/>
  <c r="E224" i="16"/>
  <c r="I223" i="16"/>
  <c r="I222" i="16"/>
  <c r="I221" i="16"/>
  <c r="I220" i="16"/>
  <c r="I219" i="16"/>
  <c r="E230" i="16" s="1"/>
  <c r="I218" i="16"/>
  <c r="E229" i="16" s="1"/>
  <c r="I217" i="16"/>
  <c r="E228" i="16" s="1"/>
  <c r="I216" i="16"/>
  <c r="E207" i="16"/>
  <c r="L140" i="17" l="1"/>
  <c r="K136" i="17"/>
  <c r="K137" i="17"/>
  <c r="K138" i="17"/>
  <c r="E227" i="16"/>
  <c r="I224" i="16"/>
  <c r="K135" i="17" l="1"/>
  <c r="K140" i="17" s="1"/>
  <c r="K12" i="17"/>
  <c r="E231" i="16"/>
  <c r="E235" i="16" s="1"/>
  <c r="H198" i="16"/>
  <c r="F198" i="16"/>
  <c r="E198" i="16"/>
  <c r="I197" i="16"/>
  <c r="I196" i="16"/>
  <c r="G198" i="16"/>
  <c r="I194" i="16"/>
  <c r="I193" i="16"/>
  <c r="I192" i="16"/>
  <c r="E203" i="16" s="1"/>
  <c r="I191" i="16"/>
  <c r="E202" i="16" s="1"/>
  <c r="I190" i="16"/>
  <c r="E204" i="16" l="1"/>
  <c r="J138" i="17"/>
  <c r="E201" i="16"/>
  <c r="J136" i="17"/>
  <c r="J137" i="17"/>
  <c r="I195" i="16"/>
  <c r="I198" i="16" s="1"/>
  <c r="J12" i="17" l="1"/>
  <c r="J135" i="17"/>
  <c r="J140" i="17" s="1"/>
  <c r="E205" i="16"/>
  <c r="E209" i="16" s="1"/>
  <c r="F172" i="16"/>
  <c r="E172" i="16"/>
  <c r="I171" i="16"/>
  <c r="I170" i="16"/>
  <c r="G169" i="16"/>
  <c r="I169" i="16" s="1"/>
  <c r="I168" i="16"/>
  <c r="I167" i="16"/>
  <c r="I166" i="16"/>
  <c r="E177" i="16" s="1"/>
  <c r="I165" i="16"/>
  <c r="E176" i="16" s="1"/>
  <c r="G147" i="16"/>
  <c r="E178" i="16" l="1"/>
  <c r="I138" i="17" s="1"/>
  <c r="I136" i="17"/>
  <c r="I137" i="17"/>
  <c r="H172" i="16"/>
  <c r="I164" i="16"/>
  <c r="G172" i="16"/>
  <c r="E175" i="16" l="1"/>
  <c r="I172" i="16"/>
  <c r="E179" i="16" l="1"/>
  <c r="E183" i="16" s="1"/>
  <c r="F150" i="16"/>
  <c r="E150" i="16"/>
  <c r="I147" i="16"/>
  <c r="E119" i="16"/>
  <c r="E126" i="16" s="1"/>
  <c r="I135" i="17" l="1"/>
  <c r="I140" i="17" s="1"/>
  <c r="I12" i="17"/>
  <c r="H121" i="16"/>
  <c r="H125" i="16"/>
  <c r="H120" i="16"/>
  <c r="H124" i="16"/>
  <c r="H119" i="16"/>
  <c r="H122" i="16"/>
  <c r="H118" i="16"/>
  <c r="H146" i="16"/>
  <c r="I146" i="16" s="1"/>
  <c r="H142" i="16"/>
  <c r="I142" i="16" s="1"/>
  <c r="H145" i="16"/>
  <c r="I145" i="16" s="1"/>
  <c r="H149" i="16"/>
  <c r="I149" i="16" s="1"/>
  <c r="H144" i="16"/>
  <c r="I144" i="16" s="1"/>
  <c r="E155" i="16" s="1"/>
  <c r="H148" i="16"/>
  <c r="I148" i="16" s="1"/>
  <c r="H143" i="16"/>
  <c r="I143" i="16" s="1"/>
  <c r="E154" i="16" s="1"/>
  <c r="G150" i="16"/>
  <c r="H26" i="17" s="1"/>
  <c r="E153" i="16" l="1"/>
  <c r="H137" i="17"/>
  <c r="H135" i="17"/>
  <c r="H31" i="17"/>
  <c r="H145" i="17"/>
  <c r="H150" i="17" s="1"/>
  <c r="H136" i="17"/>
  <c r="E156" i="16"/>
  <c r="H150" i="16"/>
  <c r="I150" i="16"/>
  <c r="H138" i="17" l="1"/>
  <c r="H140" i="17" s="1"/>
  <c r="E157" i="16"/>
  <c r="H12" i="17"/>
  <c r="I119" i="16"/>
  <c r="E130" i="16" s="1"/>
  <c r="I118" i="16"/>
  <c r="I121" i="16"/>
  <c r="G123" i="16"/>
  <c r="I123" i="16" s="1"/>
  <c r="F126" i="16"/>
  <c r="I125" i="16"/>
  <c r="I124" i="16"/>
  <c r="I122" i="16"/>
  <c r="I120" i="16"/>
  <c r="E131" i="16" s="1"/>
  <c r="G137" i="17" l="1"/>
  <c r="G136" i="17"/>
  <c r="G126" i="16"/>
  <c r="G26" i="17" s="1"/>
  <c r="H126" i="16"/>
  <c r="E132" i="16"/>
  <c r="E129" i="16"/>
  <c r="I126" i="16"/>
  <c r="G31" i="17" l="1"/>
  <c r="G145" i="17"/>
  <c r="G150" i="17" s="1"/>
  <c r="G135" i="17"/>
  <c r="G12" i="17"/>
  <c r="G138" i="17"/>
  <c r="E133" i="16"/>
  <c r="G140" i="17" l="1"/>
  <c r="N34" i="15"/>
  <c r="M34" i="15"/>
  <c r="L34" i="15"/>
  <c r="K34" i="15"/>
  <c r="J34" i="15"/>
  <c r="I34" i="15"/>
  <c r="N29" i="15"/>
  <c r="M29" i="15"/>
  <c r="L29" i="15"/>
  <c r="K29" i="15"/>
  <c r="J29" i="15"/>
  <c r="I29" i="15"/>
  <c r="N25" i="15"/>
  <c r="M25" i="15"/>
  <c r="L25" i="15"/>
  <c r="K25" i="15"/>
  <c r="J25" i="15"/>
  <c r="I25" i="15"/>
  <c r="N19" i="15"/>
  <c r="M19" i="15"/>
  <c r="L19" i="15"/>
  <c r="L36" i="15" s="1"/>
  <c r="J17" i="17" s="1"/>
  <c r="K19" i="15"/>
  <c r="J19" i="15"/>
  <c r="I19" i="15"/>
  <c r="I36" i="15" l="1"/>
  <c r="G17" i="17" s="1"/>
  <c r="M36" i="15"/>
  <c r="K17" i="17" s="1"/>
  <c r="J36" i="15"/>
  <c r="H17" i="17" s="1"/>
  <c r="N36" i="15"/>
  <c r="L17" i="17" s="1"/>
  <c r="K36" i="15"/>
  <c r="I17" i="17" s="1"/>
  <c r="G57" i="16"/>
  <c r="G100" i="16" l="1"/>
  <c r="G103" i="16" s="1"/>
  <c r="F26" i="17" s="1"/>
  <c r="F103" i="16"/>
  <c r="E103" i="16"/>
  <c r="H98" i="16" s="1"/>
  <c r="I98" i="16" s="1"/>
  <c r="G78" i="16"/>
  <c r="G81" i="16" s="1"/>
  <c r="E26" i="17" s="1"/>
  <c r="F81" i="16"/>
  <c r="E81" i="16"/>
  <c r="H75" i="16" s="1"/>
  <c r="I75" i="16" s="1"/>
  <c r="E86" i="16" s="1"/>
  <c r="I57" i="16"/>
  <c r="F60" i="16"/>
  <c r="E60" i="16"/>
  <c r="H52" i="16" s="1"/>
  <c r="E137" i="17" l="1"/>
  <c r="H77" i="16"/>
  <c r="I77" i="16" s="1"/>
  <c r="H76" i="16"/>
  <c r="I76" i="16" s="1"/>
  <c r="E31" i="17"/>
  <c r="E145" i="17"/>
  <c r="F145" i="17"/>
  <c r="F31" i="17"/>
  <c r="H56" i="16"/>
  <c r="H55" i="16"/>
  <c r="I55" i="16" s="1"/>
  <c r="H59" i="16"/>
  <c r="I59" i="16" s="1"/>
  <c r="H54" i="16"/>
  <c r="I54" i="16" s="1"/>
  <c r="E65" i="16" s="1"/>
  <c r="H58" i="16"/>
  <c r="I58" i="16" s="1"/>
  <c r="H53" i="16"/>
  <c r="H80" i="16"/>
  <c r="I80" i="16" s="1"/>
  <c r="H95" i="16"/>
  <c r="I95" i="16" s="1"/>
  <c r="I56" i="16"/>
  <c r="I52" i="16"/>
  <c r="H96" i="16"/>
  <c r="I96" i="16" s="1"/>
  <c r="E107" i="16" s="1"/>
  <c r="H101" i="16"/>
  <c r="I101" i="16" s="1"/>
  <c r="H99" i="16"/>
  <c r="I99" i="16" s="1"/>
  <c r="H97" i="16"/>
  <c r="I97" i="16" s="1"/>
  <c r="E108" i="16" s="1"/>
  <c r="H102" i="16"/>
  <c r="I102" i="16" s="1"/>
  <c r="E109" i="16" s="1"/>
  <c r="I78" i="16"/>
  <c r="I100" i="16"/>
  <c r="G60" i="16"/>
  <c r="D26" i="17" s="1"/>
  <c r="H74" i="16"/>
  <c r="I74" i="16" s="1"/>
  <c r="E85" i="16" s="1"/>
  <c r="H79" i="16"/>
  <c r="I79" i="16" s="1"/>
  <c r="H73" i="16"/>
  <c r="I73" i="16" s="1"/>
  <c r="I53" i="16"/>
  <c r="E64" i="16" s="1"/>
  <c r="E87" i="16" l="1"/>
  <c r="E63" i="16"/>
  <c r="E138" i="17"/>
  <c r="H81" i="16"/>
  <c r="F138" i="17"/>
  <c r="F137" i="17"/>
  <c r="D135" i="17"/>
  <c r="E66" i="16"/>
  <c r="D137" i="17"/>
  <c r="E136" i="17"/>
  <c r="F136" i="17"/>
  <c r="D136" i="17"/>
  <c r="D31" i="17"/>
  <c r="D145" i="17"/>
  <c r="D150" i="17" s="1"/>
  <c r="I103" i="16"/>
  <c r="H103" i="16"/>
  <c r="E106" i="16"/>
  <c r="I81" i="16"/>
  <c r="E84" i="16"/>
  <c r="I60" i="16"/>
  <c r="H60" i="16"/>
  <c r="E110" i="16" l="1"/>
  <c r="E88" i="16"/>
  <c r="D138" i="17"/>
  <c r="D140" i="17" s="1"/>
  <c r="D12" i="17"/>
  <c r="E67" i="16"/>
  <c r="H34" i="15"/>
  <c r="G34" i="15"/>
  <c r="F34" i="15"/>
  <c r="E34" i="15"/>
  <c r="D34" i="15"/>
  <c r="H29" i="15"/>
  <c r="G29" i="15"/>
  <c r="F29" i="15"/>
  <c r="E29" i="15"/>
  <c r="D29" i="15"/>
  <c r="H25" i="15"/>
  <c r="G25" i="15"/>
  <c r="F25" i="15"/>
  <c r="E25" i="15"/>
  <c r="D25" i="15"/>
  <c r="H19" i="15"/>
  <c r="G19" i="15"/>
  <c r="F19" i="15"/>
  <c r="E19" i="15"/>
  <c r="D19" i="15"/>
  <c r="N9" i="15"/>
  <c r="N10" i="15" s="1"/>
  <c r="M9" i="15"/>
  <c r="M10" i="15" s="1"/>
  <c r="L9" i="15"/>
  <c r="L10" i="15" s="1"/>
  <c r="K9" i="15"/>
  <c r="K10" i="15" s="1"/>
  <c r="J9" i="15"/>
  <c r="J10" i="15" s="1"/>
  <c r="I9" i="15"/>
  <c r="I10" i="15" s="1"/>
  <c r="H9" i="15"/>
  <c r="H10" i="15" s="1"/>
  <c r="G9" i="15"/>
  <c r="G10" i="15" s="1"/>
  <c r="F9" i="15"/>
  <c r="N6" i="15"/>
  <c r="M6" i="15"/>
  <c r="L6" i="15"/>
  <c r="K6" i="15"/>
  <c r="J6" i="15"/>
  <c r="I6" i="15"/>
  <c r="H6" i="15"/>
  <c r="G6" i="15"/>
  <c r="F6" i="15"/>
  <c r="N5" i="15"/>
  <c r="M5" i="15"/>
  <c r="L5" i="15"/>
  <c r="K5" i="15"/>
  <c r="J5" i="15"/>
  <c r="I5" i="15"/>
  <c r="H5" i="15"/>
  <c r="G5" i="15"/>
  <c r="F5" i="15"/>
  <c r="N4" i="15"/>
  <c r="M4" i="15"/>
  <c r="L4" i="15"/>
  <c r="K4" i="15"/>
  <c r="J4" i="15"/>
  <c r="I4" i="15"/>
  <c r="H4" i="15"/>
  <c r="G4" i="15"/>
  <c r="F4" i="15"/>
  <c r="F12" i="17" l="1"/>
  <c r="F135" i="17"/>
  <c r="F140" i="17" s="1"/>
  <c r="E12" i="17"/>
  <c r="E135" i="17"/>
  <c r="E140" i="17" s="1"/>
  <c r="E36" i="15"/>
  <c r="F30" i="15"/>
  <c r="F10" i="15"/>
  <c r="G36" i="15"/>
  <c r="D36" i="15"/>
  <c r="F36" i="15"/>
  <c r="D17" i="17" s="1"/>
  <c r="H36" i="15"/>
  <c r="F7" i="15"/>
  <c r="I7" i="15"/>
  <c r="I12" i="15" s="1"/>
  <c r="M7" i="15"/>
  <c r="M12" i="15" s="1"/>
  <c r="J7" i="15"/>
  <c r="J12" i="15" s="1"/>
  <c r="N7" i="15"/>
  <c r="N12" i="15" s="1"/>
  <c r="G7" i="15"/>
  <c r="G12" i="15" s="1"/>
  <c r="K7" i="15"/>
  <c r="K12" i="15" s="1"/>
  <c r="H7" i="15"/>
  <c r="H12" i="15" s="1"/>
  <c r="L7" i="15"/>
  <c r="L12" i="15" s="1"/>
  <c r="F17" i="17" l="1"/>
  <c r="E17" i="17"/>
  <c r="F12" i="15"/>
  <c r="AI19" i="14"/>
  <c r="AH19" i="14"/>
  <c r="AF19" i="14"/>
  <c r="AE19" i="14"/>
  <c r="AC19" i="14"/>
  <c r="AB19" i="14"/>
  <c r="Z19" i="14"/>
  <c r="W19" i="14"/>
  <c r="V19" i="14"/>
  <c r="T19" i="14"/>
  <c r="S19" i="14"/>
  <c r="Q19" i="14"/>
  <c r="M19" i="14"/>
  <c r="K19" i="14"/>
  <c r="J19" i="14"/>
  <c r="Y18" i="14"/>
  <c r="AA18" i="14" s="1"/>
  <c r="I89" i="17" s="1"/>
  <c r="I148" i="17" s="1"/>
  <c r="P18" i="14"/>
  <c r="N18" i="14"/>
  <c r="Y17" i="14"/>
  <c r="AA17" i="14" s="1"/>
  <c r="I147" i="17" s="1"/>
  <c r="Y16" i="14"/>
  <c r="AA16" i="14" s="1"/>
  <c r="I146" i="17" s="1"/>
  <c r="Y15" i="14"/>
  <c r="AE14" i="14"/>
  <c r="AC14" i="14"/>
  <c r="Z14" i="14"/>
  <c r="Y14" i="14"/>
  <c r="W14" i="14"/>
  <c r="V14" i="14"/>
  <c r="T14" i="14"/>
  <c r="S14" i="14"/>
  <c r="Q14" i="14"/>
  <c r="P14" i="14"/>
  <c r="N14" i="14"/>
  <c r="M14" i="14"/>
  <c r="K14" i="14"/>
  <c r="J14" i="14"/>
  <c r="AI13" i="14"/>
  <c r="AH13" i="14"/>
  <c r="AF13" i="14"/>
  <c r="AE13" i="14"/>
  <c r="AC13" i="14"/>
  <c r="AB13" i="14"/>
  <c r="Z13" i="14"/>
  <c r="Y13" i="14"/>
  <c r="W13" i="14"/>
  <c r="V13" i="14"/>
  <c r="T13" i="14"/>
  <c r="S13" i="14"/>
  <c r="Q13" i="14"/>
  <c r="P13" i="14"/>
  <c r="N13" i="14"/>
  <c r="M13" i="14"/>
  <c r="K13" i="14"/>
  <c r="J13" i="14"/>
  <c r="AE11" i="14"/>
  <c r="AC11" i="14"/>
  <c r="Z11" i="14"/>
  <c r="Y11" i="14"/>
  <c r="W11" i="14"/>
  <c r="V11" i="14"/>
  <c r="T11" i="14"/>
  <c r="S11" i="14"/>
  <c r="Q11" i="14"/>
  <c r="P11" i="14"/>
  <c r="N11" i="14"/>
  <c r="M11" i="14"/>
  <c r="K11" i="14"/>
  <c r="J11" i="14"/>
  <c r="AI10" i="14"/>
  <c r="AI21" i="14" s="1"/>
  <c r="AI22" i="14" s="1"/>
  <c r="AH10" i="14"/>
  <c r="AH21" i="14" s="1"/>
  <c r="AH22" i="14" s="1"/>
  <c r="AF10" i="14"/>
  <c r="AF21" i="14" s="1"/>
  <c r="AE10" i="14"/>
  <c r="AE21" i="14" s="1"/>
  <c r="AE22" i="14" s="1"/>
  <c r="AC10" i="14"/>
  <c r="AC21" i="14" s="1"/>
  <c r="AC22" i="14" s="1"/>
  <c r="AB10" i="14"/>
  <c r="AB21" i="14" s="1"/>
  <c r="AB22" i="14" s="1"/>
  <c r="Z10" i="14"/>
  <c r="Z21" i="14" s="1"/>
  <c r="Y10" i="14"/>
  <c r="Y21" i="14" s="1"/>
  <c r="W10" i="14"/>
  <c r="W21" i="14" s="1"/>
  <c r="W22" i="14" s="1"/>
  <c r="V10" i="14"/>
  <c r="V21" i="14" s="1"/>
  <c r="V22" i="14" s="1"/>
  <c r="T10" i="14"/>
  <c r="T21" i="14" s="1"/>
  <c r="T22" i="14" s="1"/>
  <c r="S10" i="14"/>
  <c r="S21" i="14" s="1"/>
  <c r="S22" i="14" s="1"/>
  <c r="Q10" i="14"/>
  <c r="Q21" i="14" s="1"/>
  <c r="Q22" i="14" s="1"/>
  <c r="P10" i="14"/>
  <c r="P21" i="14" s="1"/>
  <c r="N10" i="14"/>
  <c r="N21" i="14" s="1"/>
  <c r="M10" i="14"/>
  <c r="M21" i="14" s="1"/>
  <c r="M22" i="14" s="1"/>
  <c r="K10" i="14"/>
  <c r="K21" i="14" s="1"/>
  <c r="K22" i="14" s="1"/>
  <c r="J10" i="14"/>
  <c r="J21" i="14" s="1"/>
  <c r="AE6" i="14"/>
  <c r="AC6" i="14"/>
  <c r="Z6" i="14"/>
  <c r="Y6" i="14"/>
  <c r="W6" i="14"/>
  <c r="V6" i="14"/>
  <c r="T6" i="14"/>
  <c r="S6" i="14"/>
  <c r="Q6" i="14"/>
  <c r="P6" i="14"/>
  <c r="N6" i="14"/>
  <c r="M6" i="14"/>
  <c r="K6" i="14"/>
  <c r="J6" i="14"/>
  <c r="V5" i="14"/>
  <c r="S5" i="14"/>
  <c r="P5" i="14"/>
  <c r="M5" i="14"/>
  <c r="K3" i="14"/>
  <c r="Z22" i="14" l="1"/>
  <c r="AF22" i="14"/>
  <c r="N19" i="14"/>
  <c r="O18" i="14"/>
  <c r="J22" i="14"/>
  <c r="Y19" i="14"/>
  <c r="Y22" i="14" s="1"/>
  <c r="AA15" i="14"/>
  <c r="P19" i="14"/>
  <c r="P22" i="14" s="1"/>
  <c r="R18" i="14"/>
  <c r="N22" i="14"/>
  <c r="AA19" i="14" l="1"/>
  <c r="AA22" i="14" s="1"/>
  <c r="O19" i="14"/>
  <c r="O22" i="14" s="1"/>
  <c r="R19" i="14"/>
  <c r="R22" i="14" s="1"/>
  <c r="F89" i="17" l="1"/>
  <c r="E89" i="17"/>
  <c r="I145" i="17" l="1"/>
  <c r="I150" i="17" s="1"/>
  <c r="I91" i="17"/>
  <c r="F91" i="17"/>
  <c r="F148" i="17"/>
  <c r="F150" i="17" s="1"/>
  <c r="E91" i="17"/>
  <c r="E148" i="17"/>
  <c r="E150" i="17" s="1"/>
  <c r="I327" i="16"/>
  <c r="I325" i="16"/>
  <c r="E336" i="16" s="1"/>
  <c r="O6" i="17" s="1"/>
  <c r="I329" i="16"/>
  <c r="I328" i="16"/>
  <c r="I330" i="16"/>
  <c r="E335" i="16" s="1"/>
  <c r="I331" i="16"/>
  <c r="E338" i="16" s="1"/>
  <c r="O8" i="17" s="1"/>
  <c r="I324" i="16"/>
  <c r="I326" i="16"/>
  <c r="E337" i="16" s="1"/>
  <c r="O7" i="17" s="1"/>
  <c r="R9" i="28" l="1"/>
  <c r="O137" i="17"/>
  <c r="R12" i="28"/>
  <c r="O138" i="17"/>
  <c r="R8" i="28"/>
  <c r="O136" i="17"/>
  <c r="E339" i="16"/>
  <c r="E343" i="16" s="1"/>
  <c r="O5" i="17"/>
  <c r="I332" i="16"/>
  <c r="AI24" i="28"/>
  <c r="AM24" i="28"/>
  <c r="AH24" i="28"/>
  <c r="AJ24" i="28"/>
  <c r="AF24" i="28"/>
  <c r="AK24" i="28"/>
  <c r="AE24" i="28"/>
  <c r="AL24" i="28"/>
  <c r="AG24" i="28"/>
  <c r="AN24" i="28"/>
  <c r="R13" i="28" l="1"/>
  <c r="AB12" i="28"/>
  <c r="O12" i="17"/>
  <c r="O17" i="17" s="1"/>
  <c r="R7" i="28"/>
  <c r="O135" i="17"/>
  <c r="O140" i="17" s="1"/>
  <c r="R19" i="28"/>
  <c r="AB8" i="28"/>
  <c r="R20" i="28"/>
  <c r="AB9" i="28"/>
  <c r="AN38" i="28"/>
  <c r="AG38" i="28"/>
  <c r="AL38" i="28"/>
  <c r="AE38" i="28"/>
  <c r="AK38" i="28"/>
  <c r="AF38" i="28"/>
  <c r="AJ38" i="28"/>
  <c r="AH38" i="28"/>
  <c r="AM38" i="28"/>
  <c r="AI38" i="28"/>
  <c r="AD8" i="28" l="1"/>
  <c r="AC8" i="28"/>
  <c r="R10" i="28"/>
  <c r="R18" i="28"/>
  <c r="AB7" i="28"/>
  <c r="AC9" i="28"/>
  <c r="AD9" i="28"/>
  <c r="AD12" i="28"/>
  <c r="AC12" i="28"/>
  <c r="R23" i="28"/>
  <c r="R24" i="28"/>
  <c r="AB13" i="28"/>
  <c r="AI42" i="28"/>
  <c r="AI43" i="28" s="1"/>
  <c r="AI40" i="28"/>
  <c r="AG40" i="28"/>
  <c r="AG42" i="28"/>
  <c r="AG43" i="28" s="1"/>
  <c r="AH42" i="28"/>
  <c r="AH43" i="28" s="1"/>
  <c r="AH40" i="28"/>
  <c r="AF42" i="28"/>
  <c r="AF43" i="28" s="1"/>
  <c r="AF40" i="28"/>
  <c r="AE42" i="28"/>
  <c r="AE43" i="28" s="1"/>
  <c r="AE40" i="28"/>
  <c r="AM42" i="28"/>
  <c r="AM43" i="28" s="1"/>
  <c r="AM40" i="28"/>
  <c r="AJ42" i="28"/>
  <c r="AJ43" i="28" s="1"/>
  <c r="AJ40" i="28"/>
  <c r="AK42" i="28"/>
  <c r="AK43" i="28" s="1"/>
  <c r="AK40" i="28"/>
  <c r="AL40" i="28"/>
  <c r="AL42" i="28"/>
  <c r="AL43" i="28" s="1"/>
  <c r="AN40" i="28"/>
  <c r="AN42" i="28"/>
  <c r="AN43" i="28" s="1"/>
  <c r="AB36" i="28"/>
  <c r="AC36" i="28" s="1"/>
  <c r="R33" i="28"/>
  <c r="R38" i="28"/>
  <c r="R42" i="28" s="1"/>
  <c r="AB32" i="28"/>
  <c r="AD13" i="28" l="1"/>
  <c r="AC13" i="28"/>
  <c r="AD7" i="28"/>
  <c r="AC7" i="28"/>
  <c r="R15" i="28"/>
  <c r="AB10" i="28"/>
  <c r="F18" i="24"/>
  <c r="AB33" i="28"/>
  <c r="AD33" i="28" s="1"/>
  <c r="AD32" i="28"/>
  <c r="AC32" i="28"/>
  <c r="AB42" i="28"/>
  <c r="AD36" i="28"/>
  <c r="G18" i="24"/>
  <c r="R40" i="28"/>
  <c r="AB38" i="28"/>
  <c r="AD10" i="28" l="1"/>
  <c r="AC10" i="28"/>
  <c r="R41" i="28"/>
  <c r="AB15" i="28"/>
  <c r="R34" i="28"/>
  <c r="AB34" i="28" s="1"/>
  <c r="AQ18" i="24"/>
  <c r="AR18" i="24"/>
  <c r="V18" i="24" s="1"/>
  <c r="AC33" i="28"/>
  <c r="U19" i="24"/>
  <c r="U18" i="24"/>
  <c r="AD42" i="28"/>
  <c r="AC42" i="28"/>
  <c r="AC38" i="28"/>
  <c r="AD38" i="28"/>
  <c r="AD34" i="28" l="1"/>
  <c r="AC34" i="28"/>
  <c r="AD15" i="28"/>
  <c r="AC15" i="28"/>
  <c r="AB41" i="28"/>
  <c r="R43" i="28"/>
  <c r="AB43" i="28" s="1"/>
  <c r="AS18" i="24"/>
  <c r="AS19" i="24"/>
  <c r="AC43" i="28" l="1"/>
  <c r="AD43" i="28"/>
  <c r="AD41" i="28"/>
  <c r="AC41" i="28"/>
  <c r="W18" i="24"/>
  <c r="W1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tc={CB28F48F-ED7B-45AE-9E4E-74C1666257D6}</author>
    <author>tc={30817497-DEFA-49E1-B730-DE23B81188B7}</author>
    <author>tc={008A4E70-AA15-4CDD-ACE2-03675605675C}</author>
    <author>tc={ED9028CF-5D43-4D29-8CED-886376F7A9E6}</author>
    <author>tc={74476F47-038A-4173-9D60-31DA7A2D4E4B}</author>
  </authors>
  <commentList>
    <comment ref="I6" authorId="0" shapeId="0" xr:uid="{CB28F48F-ED7B-45AE-9E4E-74C1666257D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S17 EG expenditure for 2015-20 only</t>
      </text>
    </comment>
    <comment ref="J6" authorId="1" shapeId="0" xr:uid="{30817497-DEFA-49E1-B730-DE23B81188B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S17 EG expenditure for 2015-20 only</t>
      </text>
    </comment>
    <comment ref="K6" authorId="2" shapeId="0" xr:uid="{008A4E70-AA15-4CDD-ACE2-03675605675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S17 EG expenditure for 2015-20 only</t>
      </text>
    </comment>
    <comment ref="L6" authorId="3" shapeId="0" xr:uid="{ED9028CF-5D43-4D29-8CED-886376F7A9E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S17 EG expenditure for 2015-20 only</t>
      </text>
    </comment>
    <comment ref="M6" authorId="4" shapeId="0" xr:uid="{74476F47-038A-4173-9D60-31DA7A2D4E4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S17 EG expenditure for 2015-20 only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tc={2480B341-3943-4235-A582-B7B7174442AE}</author>
  </authors>
  <commentList>
    <comment ref="Q38" authorId="0" shapeId="0" xr:uid="{2480B341-3943-4235-A582-B7B7174442AE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Expenditure only, not split between Small/Large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jollsb</author>
  </authors>
  <commentList>
    <comment ref="AF7" authorId="0" shapeId="0" xr:uid="{615065C7-DBEC-4F08-8417-E1CD543638DC}">
      <text>
        <r>
          <rPr>
            <b/>
            <sz val="9"/>
            <color indexed="81"/>
            <rFont val="Tahoma"/>
            <family val="2"/>
          </rPr>
          <t>jollsb:</t>
        </r>
        <r>
          <rPr>
            <sz val="9"/>
            <color indexed="81"/>
            <rFont val="Tahoma"/>
            <family val="2"/>
          </rPr>
          <t xml:space="preserve">
Metering Contestability impacting Minor from April 2018  Aproximately $4m a year less exp as SAPN no longer fit meters from that time</t>
        </r>
      </text>
    </comment>
    <comment ref="AF16" authorId="0" shapeId="0" xr:uid="{EB1AB8C9-7D86-4961-978B-CF9D81A2DE4B}">
      <text>
        <r>
          <rPr>
            <b/>
            <sz val="9"/>
            <color indexed="81"/>
            <rFont val="Tahoma"/>
            <family val="2"/>
          </rPr>
          <t>jollsb:</t>
        </r>
        <r>
          <rPr>
            <sz val="9"/>
            <color indexed="81"/>
            <rFont val="Tahoma"/>
            <family val="2"/>
          </rPr>
          <t xml:space="preserve">
Metering Contestability impacting Minor from April 2018  Aproximately $2m a year less contribution as SAPN no longer fit meters from that time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tc={7952CA57-FD5F-4063-82F2-B82934D7215B}</author>
  </authors>
  <commentList>
    <comment ref="H294" authorId="0" shapeId="0" xr:uid="{7952CA57-FD5F-4063-82F2-B82934D7215B}">
      <text>
        <t>[Threaded comment]
Your version of Excel allows you to read this threaded comment; however, any edits to it will get removed if the file is opened in a newer version of Excel. Learn more: https://go.microsoft.com/fwlink/?linkid=870924
Comment:
    Less amount reclass as ACS Opex, -$2,277,583.20
Less write-back of over-recoveries vs capital works, -$933,397.08
Add amount reclassified as Connections from Repex, +$19,101.92</t>
      </text>
    </comment>
  </commentList>
</comments>
</file>

<file path=xl/sharedStrings.xml><?xml version="1.0" encoding="utf-8"?>
<sst xmlns="http://schemas.openxmlformats.org/spreadsheetml/2006/main" count="1142" uniqueCount="318">
  <si>
    <t>Minor connections</t>
  </si>
  <si>
    <t>URD</t>
  </si>
  <si>
    <t>Medium connections</t>
  </si>
  <si>
    <t>Major connections</t>
  </si>
  <si>
    <t>Year Ended June</t>
  </si>
  <si>
    <t>Minor Customer Contribution</t>
  </si>
  <si>
    <r>
      <rPr>
        <b/>
        <sz val="8"/>
        <rFont val="Calibri"/>
        <family val="2"/>
        <scheme val="minor"/>
      </rPr>
      <t>Minor Net Capital
Expenditure</t>
    </r>
  </si>
  <si>
    <t>Minor Gross Expenditure</t>
  </si>
  <si>
    <t>URD
Customer Contribution</t>
  </si>
  <si>
    <r>
      <rPr>
        <b/>
        <sz val="8"/>
        <rFont val="Calibri"/>
        <family val="2"/>
        <scheme val="minor"/>
      </rPr>
      <t>URD
Net Capital
Expenditure</t>
    </r>
  </si>
  <si>
    <t>URD Gross Expenditure</t>
  </si>
  <si>
    <t>Medium Customer Contribution</t>
  </si>
  <si>
    <r>
      <rPr>
        <b/>
        <sz val="8"/>
        <rFont val="Calibri"/>
        <family val="2"/>
        <scheme val="minor"/>
      </rPr>
      <t>Medium Net Capital
Expenditure</t>
    </r>
  </si>
  <si>
    <t>Medium Gross Expenditure</t>
  </si>
  <si>
    <t>Major Customer Contribution</t>
  </si>
  <si>
    <r>
      <rPr>
        <b/>
        <sz val="8"/>
        <rFont val="Calibri"/>
        <family val="2"/>
        <scheme val="minor"/>
      </rPr>
      <t>Major Net Capital
Expenditure</t>
    </r>
  </si>
  <si>
    <t>Major Gross Expenditure</t>
  </si>
  <si>
    <r>
      <rPr>
        <b/>
        <sz val="8"/>
        <rFont val="Calibri"/>
        <family val="2"/>
        <scheme val="minor"/>
      </rPr>
      <t>Total Customer
Connect Expenditure
All Projects</t>
    </r>
  </si>
  <si>
    <t>Total Customer Contribution
All Projects</t>
  </si>
  <si>
    <r>
      <rPr>
        <b/>
        <sz val="8"/>
        <rFont val="Calibri"/>
        <family val="2"/>
        <scheme val="minor"/>
      </rPr>
      <t>Total Net Capital
Expenditure</t>
    </r>
  </si>
  <si>
    <r>
      <rPr>
        <sz val="8"/>
        <rFont val="Calibri"/>
        <family val="2"/>
        <scheme val="minor"/>
      </rPr>
      <t>Minor Net Capital
Expenditure</t>
    </r>
  </si>
  <si>
    <t>URD
Net Capital
Expenditure</t>
  </si>
  <si>
    <r>
      <rPr>
        <sz val="8"/>
        <rFont val="Calibri"/>
        <family val="2"/>
        <scheme val="minor"/>
      </rPr>
      <t>Medium Net Capital
Expenditure</t>
    </r>
  </si>
  <si>
    <t>Major Net Capital
Expenditure</t>
  </si>
  <si>
    <r>
      <rPr>
        <sz val="8"/>
        <rFont val="Calibri"/>
        <family val="2"/>
        <scheme val="minor"/>
      </rPr>
      <t>Total Customer
Connect Expenditure
All Projects</t>
    </r>
  </si>
  <si>
    <t>SAPN Net Capital
Expenditure (actual)</t>
  </si>
  <si>
    <t>AER allowance
Net</t>
  </si>
  <si>
    <r>
      <rPr>
        <sz val="8"/>
        <rFont val="Calibri"/>
        <family val="2"/>
        <scheme val="minor"/>
      </rPr>
      <t>URD
Net Capital
Expenditure</t>
    </r>
  </si>
  <si>
    <r>
      <rPr>
        <sz val="8"/>
        <rFont val="Calibri"/>
        <family val="2"/>
        <scheme val="minor"/>
      </rPr>
      <t>Major Net Capital
Expenditure</t>
    </r>
  </si>
  <si>
    <t>SAPN Net Capital
Expenditure (forecast)</t>
  </si>
  <si>
    <t>($'000)</t>
  </si>
  <si>
    <t>%CH</t>
  </si>
  <si>
    <t>($'000, 17/18)</t>
  </si>
  <si>
    <t>($'000, nom)</t>
  </si>
  <si>
    <t>actuals</t>
  </si>
  <si>
    <t>forecast</t>
  </si>
  <si>
    <t>Minor</t>
  </si>
  <si>
    <t>Medium</t>
  </si>
  <si>
    <t>Major</t>
  </si>
  <si>
    <t>2005-10 RCP</t>
  </si>
  <si>
    <t>2010-15 RCP</t>
  </si>
  <si>
    <t>2015-20 RCP</t>
  </si>
  <si>
    <t>2020-25 RCP</t>
  </si>
  <si>
    <t>2025-30 RCP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</si>
  <si>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</si>
  <si>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</si>
  <si>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</si>
  <si>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</si>
  <si>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</si>
  <si>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</si>
  <si>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</si>
  <si>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</si>
  <si>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</si>
  <si>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</si>
  <si>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</si>
  <si>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</si>
  <si>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</si>
  <si>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2023/24
(Forecast)</t>
  </si>
  <si>
    <t>2024/25
(Forecast)</t>
  </si>
  <si>
    <t>2025/26
(Forecast)</t>
  </si>
  <si>
    <t>2026/27
(Forecast)</t>
  </si>
  <si>
    <t>2027/28
(Forecast)</t>
  </si>
  <si>
    <t>2028/29
(Forecast)</t>
  </si>
  <si>
    <t>2029/30
(Forecast)</t>
  </si>
  <si>
    <t>Category / Description</t>
  </si>
  <si>
    <t>Jul-Jun</t>
  </si>
  <si>
    <t>Customer Connect (gross)</t>
  </si>
  <si>
    <t/>
  </si>
  <si>
    <t>CUSTOMER CONNECTION WORKS &lt; $30k</t>
  </si>
  <si>
    <t>CUSTOMER PROJECTS &gt;$30&lt;$100k</t>
  </si>
  <si>
    <t>CUSTOMER PROJECTS &gt;$100k</t>
  </si>
  <si>
    <t>Customer Connect (subtotal)</t>
  </si>
  <si>
    <t>URDs (gross)</t>
  </si>
  <si>
    <t>REAL ESTATE DEVELOPMENT (URDs)</t>
  </si>
  <si>
    <t>Gross URDs (subtotal)</t>
  </si>
  <si>
    <t>Gross Expenditure (total)</t>
  </si>
  <si>
    <t>Customer Contributions %</t>
  </si>
  <si>
    <t>%CUSTOMER CONNECTION WORKS &lt; $30k</t>
  </si>
  <si>
    <t>%CUSTOMER PROJECTS &gt;$30&lt;$100k</t>
  </si>
  <si>
    <t>%CUSTOMER PROJECTS &gt;$100k</t>
  </si>
  <si>
    <t>REAL ESTATE DEVELOPMENT</t>
  </si>
  <si>
    <t>%URDs - GROSS
(excludes Asset Rebates)</t>
  </si>
  <si>
    <t>%URDs - CALCULATED NET
(includes Asset Rebates)</t>
  </si>
  <si>
    <t>Customer Connect Contributions</t>
  </si>
  <si>
    <t>Customer Contribution Connect (subtotal)</t>
  </si>
  <si>
    <t>URDs (contributions)</t>
  </si>
  <si>
    <t>REAL ESTATE DEVELOPMENT
(URDs, before Asset Rebates)</t>
  </si>
  <si>
    <t>ASSET REBATES</t>
  </si>
  <si>
    <t>Net Contributions URDs, includes Asset Rebates (subtotal)</t>
  </si>
  <si>
    <t>Customer Contributions (total)</t>
  </si>
  <si>
    <t>Connections - Summary total</t>
  </si>
  <si>
    <t>Total %Contribution</t>
  </si>
  <si>
    <t>Total (gross)</t>
  </si>
  <si>
    <t>Total (contribution)</t>
  </si>
  <si>
    <t>Total (net)</t>
  </si>
  <si>
    <t>Contributions impact (due to anticipated change of pre-tax WACC for 2025-30)</t>
  </si>
  <si>
    <t>Next RCP pre-tax return impact adj factor due to change in WACC (from x.xx% to x.xx%) - MEDIUM &amp; MAJOR (ie rows 25 &amp; 26, decrease by x.xx%):</t>
  </si>
  <si>
    <t>Next RCP pre-tax return impact adj factor due to change in WACC (from x.xx% to x.xx%) - ASSET REBATES (ie row 30, increase by xx.xx%):</t>
  </si>
  <si>
    <t>Total Gross 2025/30</t>
  </si>
  <si>
    <t>Total Gross 2020/25</t>
  </si>
  <si>
    <t>Difference RCP $  2025/30 to 2020/25</t>
  </si>
  <si>
    <t>Difference RCP % 2025/30 to 2020/25</t>
  </si>
  <si>
    <t>Jul-Dec</t>
  </si>
  <si>
    <t>Jan-Jun</t>
  </si>
  <si>
    <t>Total Connections and Real Estate Developments contributions  before rebates</t>
  </si>
  <si>
    <t>Net Total before Asset Rebates</t>
  </si>
  <si>
    <t>Year 
Ended 
June</t>
  </si>
  <si>
    <t>Minor Customer</t>
  </si>
  <si>
    <t xml:space="preserve">URD </t>
  </si>
  <si>
    <t>Medium Customer</t>
  </si>
  <si>
    <t>Major Customer</t>
  </si>
  <si>
    <t>Total Customer</t>
  </si>
  <si>
    <t>Connect Expenditure</t>
  </si>
  <si>
    <t>Customer Connect</t>
  </si>
  <si>
    <t>Total Expenditure</t>
  </si>
  <si>
    <t>(Projects &lt;$30k)</t>
  </si>
  <si>
    <t>Calendar Year</t>
  </si>
  <si>
    <t>Expenditure</t>
  </si>
  <si>
    <t>(Projects $30k-$100k)</t>
  </si>
  <si>
    <t>(Projects &gt;$100k)</t>
  </si>
  <si>
    <t>All Projects</t>
  </si>
  <si>
    <t>EXPENDITURE, real $2018/19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</si>
  <si>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</si>
  <si>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</si>
  <si>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</si>
  <si>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</si>
  <si>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</si>
  <si>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</si>
  <si>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</si>
  <si>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</si>
  <si>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</si>
  <si>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</si>
  <si>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</si>
  <si>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</si>
  <si>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</si>
  <si>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</si>
  <si>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Minor (RIN functional area)</t>
  </si>
  <si>
    <t>Medium (RIN functional area)</t>
  </si>
  <si>
    <t>Major (RIN functional area)</t>
  </si>
  <si>
    <t>URDs (RIN functional area)</t>
  </si>
  <si>
    <t>EG recorded under S17</t>
  </si>
  <si>
    <t>Total (RIN)</t>
  </si>
  <si>
    <t>RIN Total (RIN sheet, cross check)</t>
  </si>
  <si>
    <t>RIN (EG)</t>
  </si>
  <si>
    <t>Rounding, Total (RIN) vs RIN Total</t>
  </si>
  <si>
    <t>Gifted Assets (FYI only)</t>
  </si>
  <si>
    <t>Per IM reporting</t>
  </si>
  <si>
    <t>Minor (IM)</t>
  </si>
  <si>
    <t>Less: metering (IM)</t>
  </si>
  <si>
    <t>Medium (IM)</t>
  </si>
  <si>
    <t>Major (IM)</t>
  </si>
  <si>
    <t>URDs (IM)</t>
  </si>
  <si>
    <t>TOTAL (IM)</t>
  </si>
  <si>
    <t>Customer Connect (contribution)</t>
  </si>
  <si>
    <t>TOTAL (RIN)</t>
  </si>
  <si>
    <t>Less: metering</t>
  </si>
  <si>
    <t>Less: rebate (IM)</t>
  </si>
  <si>
    <t>Customer Connect (net)</t>
  </si>
  <si>
    <t>2021/22</t>
  </si>
  <si>
    <t>Gross Customer Connect (total)</t>
  </si>
  <si>
    <t>URDs</t>
  </si>
  <si>
    <t>URDs (total)</t>
  </si>
  <si>
    <t>TOTAL</t>
  </si>
  <si>
    <t>Data from AER CA RINs</t>
  </si>
  <si>
    <t>RESIDENTIAL</t>
  </si>
  <si>
    <t>SIMPLE CONNECTION LV ($000'S)</t>
  </si>
  <si>
    <t>COMPLEX CONNECTION LV ($000'S)</t>
  </si>
  <si>
    <t>COMPLEX CONNECTION HV ($000'S)</t>
  </si>
  <si>
    <t>COMMERCIAL/INDUSTRIAL</t>
  </si>
  <si>
    <t>COMPLEX CONNECTION HV (CUSTOMER CONNECTED AT LV, MINOR HV WORKS) ($000'S)</t>
  </si>
  <si>
    <t>COMPLEX CONNECTION HV (CUSTOMER CONNECTED AT LV, UPSTREAM ASSET WORKS) ($000'S)</t>
  </si>
  <si>
    <t>COMPLEX CONNECTION HV (CUSTOMER CONNECTED AT HV) ($000'S)</t>
  </si>
  <si>
    <t>COMPLEX CONNECTION SUB-TRANSMISSION ($000'S)</t>
  </si>
  <si>
    <t>SUBDIVISION</t>
  </si>
  <si>
    <t>COMPLEX CONNECTION HV (NO UPSTREAM ASSET WORKS) ($000'S)</t>
  </si>
  <si>
    <t>COMPLEX CONNECTION HV (WITH UPSTREAM ASSET WORKS) ($000'S)</t>
  </si>
  <si>
    <t>EMBEDDED GENERATION</t>
  </si>
  <si>
    <t>COMPLEX CONNECTION HV (SMALL CAPACITY) ($000'S)</t>
  </si>
  <si>
    <t>COMPLEX CONNECTION HV (LARGE CAPACITY) ($000'S)</t>
  </si>
  <si>
    <t>Actual Expenditure ($'000 s)</t>
  </si>
  <si>
    <t>22/23</t>
  </si>
  <si>
    <t>Actual</t>
  </si>
  <si>
    <t>Customer Contributions</t>
  </si>
  <si>
    <t>Network</t>
  </si>
  <si>
    <t>Embedded Generation (minus SEG)</t>
  </si>
  <si>
    <t>EG Gross</t>
  </si>
  <si>
    <t>EG Contribution</t>
  </si>
  <si>
    <t xml:space="preserve">EG Net </t>
  </si>
  <si>
    <t xml:space="preserve">Minor </t>
  </si>
  <si>
    <t>L01, L05, L08, L32</t>
  </si>
  <si>
    <t>L02</t>
  </si>
  <si>
    <t>Large</t>
  </si>
  <si>
    <t>L03</t>
  </si>
  <si>
    <t xml:space="preserve">LEG </t>
  </si>
  <si>
    <t>S17</t>
  </si>
  <si>
    <t>minus SEG meter pre metering contestability</t>
  </si>
  <si>
    <t>Revenue AU$k
Activity Breakdown</t>
  </si>
  <si>
    <t>FY 08-09</t>
  </si>
  <si>
    <t>FY 09-10</t>
  </si>
  <si>
    <t>FY 10-11</t>
  </si>
  <si>
    <t>FY 11-12</t>
  </si>
  <si>
    <t>FY 12-13</t>
  </si>
  <si>
    <t>FY 13-14</t>
  </si>
  <si>
    <t>FY 14-15</t>
  </si>
  <si>
    <t>FY 15-16</t>
  </si>
  <si>
    <t>FY 16-17</t>
  </si>
  <si>
    <t>FY 17-18</t>
  </si>
  <si>
    <t>FY 18-19</t>
  </si>
  <si>
    <t>FY 19-20</t>
  </si>
  <si>
    <t>FY 20-21</t>
  </si>
  <si>
    <t>L01</t>
  </si>
  <si>
    <t>L01 Minor Customer Connection</t>
  </si>
  <si>
    <t>L02 Customer Projects</t>
  </si>
  <si>
    <t>L03 Major Customer Projects</t>
  </si>
  <si>
    <t>L04</t>
  </si>
  <si>
    <t>L04 URD Connection / Augmentation</t>
  </si>
  <si>
    <t>L05</t>
  </si>
  <si>
    <t>L05 New Service Connection</t>
  </si>
  <si>
    <t>L08</t>
  </si>
  <si>
    <t>L08 New Meter Installation</t>
  </si>
  <si>
    <t>L32</t>
  </si>
  <si>
    <t>L32 Service Upgrade</t>
  </si>
  <si>
    <t>L43</t>
  </si>
  <si>
    <t>L43 URD Construction</t>
  </si>
  <si>
    <t>Total</t>
  </si>
  <si>
    <t>Embedded Generation</t>
  </si>
  <si>
    <t>Less: EG projects - NC7005 &amp; NC6914</t>
  </si>
  <si>
    <t>Total excl. EG</t>
  </si>
  <si>
    <t>Rebates</t>
  </si>
  <si>
    <t>Reg margin &amp; Corp OH adjustment</t>
  </si>
  <si>
    <t>Less: Reportable Amount vs Capitalised Network Overheads</t>
  </si>
  <si>
    <t>Total reg adjustments</t>
  </si>
  <si>
    <t>Contributions net of rebates</t>
  </si>
  <si>
    <t>CONTRIBUTIONS</t>
  </si>
  <si>
    <t>Reg adj.</t>
  </si>
  <si>
    <t>Per BEX report</t>
  </si>
  <si>
    <t>Proj Supp Costs</t>
  </si>
  <si>
    <t>L08 Adj</t>
  </si>
  <si>
    <t>Adj</t>
  </si>
  <si>
    <t>L01   Minor Customer Projects</t>
  </si>
  <si>
    <t>L02   Customer Projects</t>
  </si>
  <si>
    <t>L03   Major Customer Projects</t>
  </si>
  <si>
    <t>L04   URD Connection/Augmentation</t>
  </si>
  <si>
    <t>L05   New Service Connection</t>
  </si>
  <si>
    <t>L08   New Meter Installation</t>
  </si>
  <si>
    <t>L32   Service Upgrade</t>
  </si>
  <si>
    <t>L43   URD Construction</t>
  </si>
  <si>
    <t>Per Craig Field</t>
  </si>
  <si>
    <t>Add: EG</t>
  </si>
  <si>
    <t>Recorded under S17</t>
  </si>
  <si>
    <t>Over-recoveries adjustment</t>
  </si>
  <si>
    <t>2020/21 - Indicative RIN values updated, as of 20 Sep 2021</t>
  </si>
  <si>
    <t>As per C.Field - Not audited &amp; not final</t>
  </si>
  <si>
    <t>Recorded under S17 - N/A for 2020-25 RCP, $8,339,791.81</t>
  </si>
  <si>
    <t>Consumer Price Index - Headline Inflation</t>
  </si>
  <si>
    <t>fc: 22/9/21</t>
  </si>
  <si>
    <t>CPI</t>
  </si>
  <si>
    <t xml:space="preserve">annual </t>
  </si>
  <si>
    <t>deflator</t>
  </si>
  <si>
    <t>Annual Avg</t>
  </si>
  <si>
    <t>Year Ended</t>
  </si>
  <si>
    <t>A%ch</t>
  </si>
  <si>
    <t>Convert and update actuals</t>
  </si>
  <si>
    <t>Constant 2020/21 Prices</t>
  </si>
  <si>
    <t>2020/21 =100</t>
  </si>
  <si>
    <t xml:space="preserve">Numbers provided by </t>
  </si>
  <si>
    <t>2021/22 - Indicative RIN values updated,  (actuals for 2021/2022  full year)</t>
  </si>
  <si>
    <t>Jul-Dec21</t>
  </si>
  <si>
    <t>Jan-Jun22</t>
  </si>
  <si>
    <t>Contributins from PBI</t>
  </si>
  <si>
    <t>Rebates from PBI</t>
  </si>
  <si>
    <t>From Katie's Connections Working File</t>
  </si>
  <si>
    <t>Real $2020/21 (CPI Escalation)</t>
  </si>
  <si>
    <t xml:space="preserve">2021/22
</t>
  </si>
  <si>
    <r>
      <t>Real $2020/21 '000</t>
    </r>
    <r>
      <rPr>
        <sz val="11"/>
        <color rgb="FFFF0000"/>
        <rFont val="Calibri"/>
        <family val="2"/>
      </rPr>
      <t xml:space="preserve"> - (Constant 2020/21 Prices - BISOE March 2023) TBC (NB: Estimated &amp; reconciled to reported values within the AER's RINs)</t>
    </r>
  </si>
  <si>
    <t>Expenditures based on BIS Oxford Economics forecast &amp; Contributions by SA Power Networks, dated 23 March 2023</t>
  </si>
  <si>
    <t>FY 21-22</t>
  </si>
  <si>
    <t>Updated March 2023</t>
  </si>
  <si>
    <t xml:space="preserve">Constant 2020/2021 $,000 </t>
  </si>
  <si>
    <t>CONTRIBUTIONS, real $2020/21</t>
  </si>
  <si>
    <t>Expenditures based on BIS Oxford Economics forecast &amp; Contributions by SA Power Networks, dated March 2023</t>
  </si>
  <si>
    <t>Commercial IRR Change</t>
  </si>
  <si>
    <t>Average %</t>
  </si>
  <si>
    <t>Max %</t>
  </si>
  <si>
    <t>Min %</t>
  </si>
  <si>
    <t>Developer IRR Change</t>
  </si>
  <si>
    <t>Embedded Generation Contribution</t>
  </si>
  <si>
    <t>Embedded Generation Capital
Expenditure</t>
  </si>
  <si>
    <t>WACC 2.44 to 3.72</t>
  </si>
  <si>
    <t xml:space="preserve">Embedded Generation Connection  </t>
  </si>
  <si>
    <t>2022/23 
Actual</t>
  </si>
  <si>
    <t>Note. BISOE  reviewed on 19 October 2023</t>
  </si>
  <si>
    <r>
      <t>Customer Gross Connect Expenditure (Actual &amp; Forecast)</t>
    </r>
    <r>
      <rPr>
        <b/>
        <sz val="12"/>
        <color theme="8"/>
        <rFont val="Arial"/>
        <family val="2"/>
      </rPr>
      <t xml:space="preserve"> - October 2023</t>
    </r>
  </si>
  <si>
    <t>2022/23</t>
  </si>
  <si>
    <t>EG</t>
  </si>
  <si>
    <t>Note EG not reported as part of Connections for the 21/22 &amp; 22/23 RIN (figures for EG inclusive of overheads and not adjusted to align with RIN)</t>
  </si>
  <si>
    <t>Jan-Dec22</t>
  </si>
  <si>
    <t>Jan-Jun23</t>
  </si>
  <si>
    <t>Jul-Dec22</t>
  </si>
  <si>
    <t>FY 22-23</t>
  </si>
  <si>
    <t>Per CAT RIN Reconciliation 22/23</t>
  </si>
  <si>
    <t>Per 22/23 RIN</t>
  </si>
  <si>
    <t>Net, real $2020/21</t>
  </si>
  <si>
    <t xml:space="preserve">2022/23
</t>
  </si>
  <si>
    <t>before</t>
  </si>
  <si>
    <t>as at 24 October 2023</t>
  </si>
  <si>
    <r>
      <t xml:space="preserve">for a </t>
    </r>
    <r>
      <rPr>
        <b/>
        <sz val="11"/>
        <color rgb="FF000000"/>
        <rFont val="Calibri"/>
        <family val="2"/>
      </rPr>
      <t>higher</t>
    </r>
    <r>
      <rPr>
        <sz val="11"/>
        <color rgb="FF000000"/>
        <rFont val="Calibri"/>
        <family val="2"/>
      </rPr>
      <t xml:space="preserve"> WACC parameter, compared to our current period WACC, it is expected that:</t>
    </r>
  </si>
  <si>
    <r>
      <t>§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the Incremental Revenue Rebate (IRR) component will decrease;</t>
    </r>
  </si>
  <si>
    <r>
      <t>§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which will result in an increase in Customer Contributions (for non-residential connections – specifically, Medium and Major categories); and</t>
    </r>
  </si>
  <si>
    <r>
      <t>§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thus, the Net Connection expenditure will decrease.</t>
    </r>
  </si>
  <si>
    <t>plus 3% URD's</t>
  </si>
  <si>
    <t xml:space="preserve">plus 2% medium, major </t>
  </si>
  <si>
    <t>no impact minor or embedded generation</t>
  </si>
  <si>
    <r>
      <t xml:space="preserve">WACC increases as at </t>
    </r>
    <r>
      <rPr>
        <b/>
        <u/>
        <sz val="11"/>
        <color rgb="FFFF0000"/>
        <rFont val="Calibri"/>
        <family val="2"/>
      </rPr>
      <t>30th Oct 2023</t>
    </r>
    <r>
      <rPr>
        <b/>
        <sz val="11"/>
        <color rgb="FFFF0000"/>
        <rFont val="Calibri"/>
        <family val="2"/>
      </rPr>
      <t xml:space="preserve"> from WACC value 4.05%</t>
    </r>
  </si>
  <si>
    <t>for 2025 to 2030 period</t>
  </si>
  <si>
    <t>Impact of WACC increasing  iteration 4 March 2023</t>
  </si>
  <si>
    <t>Embedded Generation Capex Gross</t>
  </si>
  <si>
    <t>Embedded Generation Capex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</si>
</sst>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_-;\(* #,##0\);_-* &quot;-&quot;_-;_-@_-"/>
    <numFmt numFmtId="166" formatCode="_-* #,##0.0_-;\-* #,##0.0_-;_-* &quot;-&quot;_-;_-@_-"/>
    <numFmt numFmtId="167" formatCode="_-&quot;$&quot;* #,##0_-;\-&quot;$&quot;* #,##0_-;_-&quot;$&quot;* &quot;-&quot;??_-;_-@_-"/>
    <numFmt numFmtId="168" formatCode="_-* #,##0.0_-;\-* #,##0.0_-;_-* &quot;-&quot;??_-;_-@_-"/>
    <numFmt numFmtId="169" formatCode="_-* #,##0_-;[Red]\(#,##0\)_-;_-* &quot;-&quot;??_-;_-@_-"/>
    <numFmt numFmtId="170" formatCode="###0;###0"/>
    <numFmt numFmtId="171" formatCode="#,##0;#,##0"/>
    <numFmt numFmtId="172" formatCode="0.0%"/>
    <numFmt numFmtId="173" formatCode="###0.0"/>
    <numFmt numFmtId="174" formatCode="###0.0;###0.0"/>
    <numFmt numFmtId="175" formatCode="###0"/>
    <numFmt numFmtId="176" formatCode="0.000000"/>
    <numFmt numFmtId="177" formatCode="0.0"/>
    <numFmt numFmtId="178" formatCode="0.000"/>
    <numFmt numFmtId="179" formatCode="0.0_)"/>
    <numFmt numFmtId="180" formatCode="&quot;$&quot;#,##0"/>
  </numFmts>
  <fonts count="94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indexed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FFFFFF"/>
      <name val="Calibri"/>
      <family val="2"/>
      <scheme val="minor"/>
    </font>
    <font>
      <b/>
      <sz val="11"/>
      <name val="Calibri"/>
      <family val="2"/>
    </font>
    <font>
      <b/>
      <i/>
      <sz val="11"/>
      <color rgb="FF000000"/>
      <name val="Calibri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</font>
    <font>
      <sz val="10"/>
      <color rgb="FF000000"/>
      <name val="Arial"/>
      <family val="2"/>
    </font>
    <font>
      <i/>
      <sz val="11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rgb="FF7030A0"/>
      <name val="Calibri"/>
      <family val="2"/>
    </font>
    <font>
      <b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sz val="10"/>
      <color rgb="FFFF0000"/>
      <name val="Calibri"/>
      <family val="2"/>
    </font>
    <font>
      <b/>
      <sz val="12"/>
      <color theme="0"/>
      <name val="Arial"/>
      <family val="2"/>
    </font>
    <font>
      <b/>
      <sz val="12"/>
      <color theme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sz val="9"/>
      <color rgb="FF0000FF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0" tint="-0.34998626667073579"/>
      <name val="Calibri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8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2"/>
      <name val="Arial MT"/>
    </font>
    <font>
      <b/>
      <sz val="12"/>
      <color theme="1"/>
      <name val="Calibri"/>
      <family val="2"/>
    </font>
    <font>
      <sz val="11"/>
      <color theme="1" tint="0.249977111117893"/>
      <name val="Calibri"/>
      <family val="2"/>
    </font>
    <font>
      <i/>
      <sz val="8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1"/>
      <color rgb="FF000000"/>
      <name val="Wingdings"/>
      <charset val="2"/>
    </font>
    <font>
      <sz val="7"/>
      <color rgb="FF000000"/>
      <name val="Times New Roman"/>
      <family val="1"/>
    </font>
    <font>
      <b/>
      <u/>
      <sz val="11"/>
      <color rgb="FFFF0000"/>
      <name val="Calibri"/>
      <family val="2"/>
    </font>
    <font>
      <sz val="10"/>
      <color rgb="FF0000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BFBFBF"/>
      </right>
      <top style="thin">
        <color rgb="FF000000"/>
      </top>
      <bottom/>
      <diagonal/>
    </border>
    <border>
      <left style="thin">
        <color rgb="FFBFBFB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/>
      <bottom style="thin">
        <color rgb="FF000000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 style="thin">
        <color indexed="64"/>
      </bottom>
      <diagonal/>
    </border>
    <border>
      <left style="thin">
        <color rgb="FFBFBFBF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8" fillId="0" borderId="0"/>
    <xf numFmtId="44" fontId="24" fillId="0" borderId="0" applyFont="0" applyFill="0" applyBorder="0" applyAlignment="0" applyProtection="0"/>
    <xf numFmtId="0" fontId="28" fillId="12" borderId="0">
      <alignment vertical="center"/>
      <protection locked="0"/>
    </xf>
    <xf numFmtId="49" fontId="11" fillId="13" borderId="26">
      <alignment horizontal="center" vertical="center" wrapText="1"/>
    </xf>
    <xf numFmtId="0" fontId="13" fillId="0" borderId="0"/>
    <xf numFmtId="0" fontId="13" fillId="0" borderId="0"/>
    <xf numFmtId="0" fontId="14" fillId="0" borderId="0"/>
    <xf numFmtId="0" fontId="31" fillId="17" borderId="0">
      <alignment horizontal="left" vertical="center"/>
      <protection locked="0"/>
    </xf>
    <xf numFmtId="0" fontId="13" fillId="0" borderId="0"/>
    <xf numFmtId="0" fontId="32" fillId="6" borderId="0">
      <alignment vertical="center"/>
      <protection locked="0"/>
    </xf>
    <xf numFmtId="43" fontId="14" fillId="0" borderId="0" applyFont="0" applyFill="0" applyBorder="0" applyAlignment="0" applyProtection="0"/>
    <xf numFmtId="169" fontId="14" fillId="14" borderId="27" applyFont="0" applyFill="0" applyBorder="0" applyAlignment="0">
      <alignment horizontal="right" vertical="top" wrapText="1"/>
      <protection locked="0"/>
    </xf>
    <xf numFmtId="44" fontId="14" fillId="0" borderId="0" applyFont="0" applyFill="0" applyBorder="0" applyAlignment="0" applyProtection="0"/>
    <xf numFmtId="169" fontId="14" fillId="14" borderId="27" applyFont="0" applyFill="0" applyBorder="0" applyAlignment="0">
      <alignment horizontal="right" vertical="top" wrapText="1"/>
      <protection locked="0"/>
    </xf>
    <xf numFmtId="0" fontId="13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/>
    <xf numFmtId="169" fontId="4" fillId="14" borderId="27" applyFont="0" applyFill="0" applyBorder="0" applyAlignment="0">
      <alignment horizontal="right" vertical="top" wrapText="1"/>
      <protection locked="0"/>
    </xf>
    <xf numFmtId="169" fontId="4" fillId="14" borderId="27" applyFont="0" applyFill="0" applyBorder="0" applyAlignment="0">
      <alignment horizontal="right" vertical="top" wrapText="1"/>
      <protection locked="0"/>
    </xf>
    <xf numFmtId="9" fontId="5" fillId="0" borderId="0" applyFont="0" applyFill="0" applyBorder="0" applyAlignment="0" applyProtection="0"/>
    <xf numFmtId="0" fontId="34" fillId="0" borderId="0"/>
    <xf numFmtId="0" fontId="5" fillId="0" borderId="0"/>
    <xf numFmtId="9" fontId="5" fillId="0" borderId="0" applyFont="0" applyFill="0" applyBorder="0" applyAlignment="0" applyProtection="0"/>
    <xf numFmtId="1" fontId="76" fillId="0" borderId="0" applyFill="0" applyBorder="0" applyProtection="0">
      <alignment horizontal="right"/>
    </xf>
    <xf numFmtId="0" fontId="69" fillId="0" borderId="0"/>
    <xf numFmtId="0" fontId="2" fillId="0" borderId="0"/>
    <xf numFmtId="179" fontId="85" fillId="0" borderId="0"/>
    <xf numFmtId="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5">
    <xf numFmtId="0" fontId="0" fillId="0" borderId="0" xfId="0" applyAlignment="1">
      <alignment horizontal="left" vertical="top"/>
    </xf>
    <xf numFmtId="0" fontId="19" fillId="4" borderId="7" xfId="14" applyFont="1" applyFill="1" applyBorder="1" applyAlignment="1">
      <alignment horizontal="center" vertical="center"/>
    </xf>
    <xf numFmtId="0" fontId="20" fillId="4" borderId="8" xfId="14" applyFont="1" applyFill="1" applyBorder="1" applyAlignment="1">
      <alignment horizontal="left" vertical="center"/>
    </xf>
    <xf numFmtId="0" fontId="20" fillId="4" borderId="8" xfId="14" applyFont="1" applyFill="1" applyBorder="1" applyAlignment="1">
      <alignment horizontal="center" vertical="center"/>
    </xf>
    <xf numFmtId="0" fontId="19" fillId="4" borderId="8" xfId="14" applyFont="1" applyFill="1" applyBorder="1" applyAlignment="1">
      <alignment vertical="center"/>
    </xf>
    <xf numFmtId="0" fontId="20" fillId="4" borderId="8" xfId="14" applyFont="1" applyFill="1" applyBorder="1" applyAlignment="1">
      <alignment horizontal="right" vertical="center"/>
    </xf>
    <xf numFmtId="0" fontId="21" fillId="0" borderId="0" xfId="0" applyFont="1" applyAlignment="1">
      <alignment horizontal="left" vertical="top"/>
    </xf>
    <xf numFmtId="0" fontId="20" fillId="4" borderId="4" xfId="14" applyFont="1" applyFill="1" applyBorder="1" applyAlignment="1">
      <alignment horizontal="left" vertical="center"/>
    </xf>
    <xf numFmtId="0" fontId="19" fillId="4" borderId="0" xfId="14" applyFont="1" applyFill="1" applyAlignment="1">
      <alignment horizontal="left" vertical="center"/>
    </xf>
    <xf numFmtId="15" fontId="20" fillId="4" borderId="0" xfId="14" applyNumberFormat="1" applyFont="1" applyFill="1" applyAlignment="1">
      <alignment horizontal="left" vertical="center"/>
    </xf>
    <xf numFmtId="0" fontId="20" fillId="4" borderId="0" xfId="14" applyFont="1" applyFill="1" applyAlignment="1">
      <alignment horizontal="center" vertical="center"/>
    </xf>
    <xf numFmtId="0" fontId="20" fillId="4" borderId="9" xfId="14" applyFont="1" applyFill="1" applyBorder="1" applyAlignment="1">
      <alignment horizontal="left" vertical="center"/>
    </xf>
    <xf numFmtId="0" fontId="20" fillId="4" borderId="2" xfId="14" applyFont="1" applyFill="1" applyBorder="1" applyAlignment="1">
      <alignment horizontal="left" vertical="center"/>
    </xf>
    <xf numFmtId="0" fontId="20" fillId="4" borderId="10" xfId="14" applyFont="1" applyFill="1" applyBorder="1" applyAlignment="1">
      <alignment horizontal="left" vertical="center"/>
    </xf>
    <xf numFmtId="0" fontId="20" fillId="5" borderId="13" xfId="14" applyFont="1" applyFill="1" applyBorder="1" applyAlignment="1">
      <alignment horizontal="center" vertical="center"/>
    </xf>
    <xf numFmtId="0" fontId="20" fillId="5" borderId="12" xfId="14" applyFont="1" applyFill="1" applyBorder="1" applyAlignment="1">
      <alignment horizontal="center" vertical="center"/>
    </xf>
    <xf numFmtId="0" fontId="20" fillId="4" borderId="13" xfId="14" applyFont="1" applyFill="1" applyBorder="1" applyAlignment="1">
      <alignment horizontal="center" vertical="center"/>
    </xf>
    <xf numFmtId="0" fontId="20" fillId="4" borderId="12" xfId="14" applyFont="1" applyFill="1" applyBorder="1" applyAlignment="1">
      <alignment horizontal="center" vertical="center"/>
    </xf>
    <xf numFmtId="0" fontId="20" fillId="4" borderId="11" xfId="14" applyFont="1" applyFill="1" applyBorder="1" applyAlignment="1">
      <alignment horizontal="center" vertical="center"/>
    </xf>
    <xf numFmtId="0" fontId="20" fillId="4" borderId="22" xfId="14" applyFont="1" applyFill="1" applyBorder="1" applyAlignment="1">
      <alignment horizontal="center" vertical="center"/>
    </xf>
    <xf numFmtId="0" fontId="20" fillId="5" borderId="25" xfId="14" applyFont="1" applyFill="1" applyBorder="1" applyAlignment="1">
      <alignment horizontal="center" vertical="center"/>
    </xf>
    <xf numFmtId="0" fontId="20" fillId="4" borderId="0" xfId="14" applyFont="1" applyFill="1" applyAlignment="1">
      <alignment horizontal="left" vertical="center"/>
    </xf>
    <xf numFmtId="0" fontId="20" fillId="4" borderId="3" xfId="14" applyFont="1" applyFill="1" applyBorder="1" applyAlignment="1">
      <alignment horizontal="left" vertical="center"/>
    </xf>
    <xf numFmtId="0" fontId="19" fillId="5" borderId="15" xfId="14" applyFont="1" applyFill="1" applyBorder="1" applyAlignment="1">
      <alignment horizontal="center" vertical="center" wrapText="1"/>
    </xf>
    <xf numFmtId="0" fontId="19" fillId="4" borderId="15" xfId="14" applyFont="1" applyFill="1" applyBorder="1" applyAlignment="1">
      <alignment horizontal="center" vertical="center" wrapText="1"/>
    </xf>
    <xf numFmtId="0" fontId="20" fillId="4" borderId="5" xfId="14" applyFont="1" applyFill="1" applyBorder="1" applyAlignment="1">
      <alignment horizontal="left" vertical="center"/>
    </xf>
    <xf numFmtId="0" fontId="20" fillId="4" borderId="1" xfId="14" applyFont="1" applyFill="1" applyBorder="1" applyAlignment="1">
      <alignment horizontal="left" vertical="center"/>
    </xf>
    <xf numFmtId="0" fontId="20" fillId="4" borderId="6" xfId="14" applyFont="1" applyFill="1" applyBorder="1" applyAlignment="1">
      <alignment horizontal="left" vertical="center"/>
    </xf>
    <xf numFmtId="0" fontId="20" fillId="4" borderId="3" xfId="14" applyFont="1" applyFill="1" applyBorder="1" applyAlignment="1">
      <alignment horizontal="left" vertical="center" wrapText="1"/>
    </xf>
    <xf numFmtId="41" fontId="19" fillId="0" borderId="14" xfId="14" applyNumberFormat="1" applyFont="1" applyBorder="1" applyAlignment="1">
      <alignment vertical="center"/>
    </xf>
    <xf numFmtId="0" fontId="19" fillId="4" borderId="4" xfId="14" applyFont="1" applyFill="1" applyBorder="1" applyAlignment="1">
      <alignment horizontal="right" vertical="center"/>
    </xf>
    <xf numFmtId="0" fontId="19" fillId="4" borderId="0" xfId="14" applyFont="1" applyFill="1" applyAlignment="1">
      <alignment horizontal="right" vertical="center"/>
    </xf>
    <xf numFmtId="0" fontId="19" fillId="4" borderId="3" xfId="14" applyFont="1" applyFill="1" applyBorder="1" applyAlignment="1">
      <alignment horizontal="left" vertical="center" wrapText="1"/>
    </xf>
    <xf numFmtId="41" fontId="19" fillId="2" borderId="14" xfId="14" applyNumberFormat="1" applyFont="1" applyFill="1" applyBorder="1" applyAlignment="1">
      <alignment vertical="center"/>
    </xf>
    <xf numFmtId="166" fontId="19" fillId="0" borderId="14" xfId="14" applyNumberFormat="1" applyFont="1" applyBorder="1" applyAlignment="1">
      <alignment vertical="center"/>
    </xf>
    <xf numFmtId="0" fontId="20" fillId="4" borderId="5" xfId="14" applyFont="1" applyFill="1" applyBorder="1" applyAlignment="1">
      <alignment horizontal="right" vertical="center"/>
    </xf>
    <xf numFmtId="0" fontId="20" fillId="4" borderId="1" xfId="14" applyFont="1" applyFill="1" applyBorder="1" applyAlignment="1">
      <alignment horizontal="right" vertical="center"/>
    </xf>
    <xf numFmtId="0" fontId="20" fillId="4" borderId="6" xfId="14" applyFont="1" applyFill="1" applyBorder="1" applyAlignment="1">
      <alignment horizontal="left" vertical="center" wrapText="1"/>
    </xf>
    <xf numFmtId="0" fontId="20" fillId="4" borderId="9" xfId="14" applyFont="1" applyFill="1" applyBorder="1" applyAlignment="1">
      <alignment vertical="center"/>
    </xf>
    <xf numFmtId="0" fontId="20" fillId="4" borderId="2" xfId="14" applyFont="1" applyFill="1" applyBorder="1" applyAlignment="1">
      <alignment vertical="center"/>
    </xf>
    <xf numFmtId="0" fontId="20" fillId="4" borderId="10" xfId="14" applyFont="1" applyFill="1" applyBorder="1" applyAlignment="1">
      <alignment horizontal="left" vertical="center" wrapText="1"/>
    </xf>
    <xf numFmtId="0" fontId="20" fillId="4" borderId="16" xfId="14" applyFont="1" applyFill="1" applyBorder="1" applyAlignment="1">
      <alignment vertical="center"/>
    </xf>
    <xf numFmtId="0" fontId="19" fillId="4" borderId="17" xfId="14" applyFont="1" applyFill="1" applyBorder="1" applyAlignment="1">
      <alignment horizontal="right" vertical="center"/>
    </xf>
    <xf numFmtId="165" fontId="19" fillId="2" borderId="14" xfId="14" applyNumberFormat="1" applyFont="1" applyFill="1" applyBorder="1" applyAlignment="1">
      <alignment vertical="center"/>
    </xf>
    <xf numFmtId="165" fontId="19" fillId="0" borderId="14" xfId="14" applyNumberFormat="1" applyFont="1" applyBorder="1" applyAlignment="1">
      <alignment vertical="center"/>
    </xf>
    <xf numFmtId="0" fontId="20" fillId="4" borderId="18" xfId="14" applyFont="1" applyFill="1" applyBorder="1" applyAlignment="1">
      <alignment horizontal="right" vertical="center"/>
    </xf>
    <xf numFmtId="0" fontId="20" fillId="4" borderId="17" xfId="14" applyFont="1" applyFill="1" applyBorder="1" applyAlignment="1">
      <alignment horizontal="right" vertical="center"/>
    </xf>
    <xf numFmtId="0" fontId="20" fillId="4" borderId="0" xfId="14" applyFont="1" applyFill="1" applyAlignment="1">
      <alignment horizontal="right" vertical="center"/>
    </xf>
    <xf numFmtId="0" fontId="20" fillId="4" borderId="19" xfId="14" applyFont="1" applyFill="1" applyBorder="1" applyAlignment="1">
      <alignment horizontal="right" vertical="center"/>
    </xf>
    <xf numFmtId="0" fontId="20" fillId="4" borderId="20" xfId="14" applyFont="1" applyFill="1" applyBorder="1" applyAlignment="1">
      <alignment horizontal="right" vertical="center"/>
    </xf>
    <xf numFmtId="0" fontId="20" fillId="4" borderId="21" xfId="14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5" fillId="8" borderId="0" xfId="0" applyFont="1" applyFill="1" applyAlignment="1">
      <alignment horizontal="left" vertical="top"/>
    </xf>
    <xf numFmtId="164" fontId="21" fillId="0" borderId="0" xfId="6" applyNumberFormat="1" applyFont="1" applyAlignment="1">
      <alignment horizontal="left" vertical="top"/>
    </xf>
    <xf numFmtId="164" fontId="25" fillId="8" borderId="0" xfId="6" applyNumberFormat="1" applyFont="1" applyFill="1" applyAlignment="1">
      <alignment horizontal="left" vertical="top"/>
    </xf>
    <xf numFmtId="0" fontId="0" fillId="8" borderId="0" xfId="0" applyFill="1" applyAlignment="1">
      <alignment horizontal="left" vertical="top"/>
    </xf>
    <xf numFmtId="164" fontId="0" fillId="0" borderId="0" xfId="6" applyNumberFormat="1" applyFont="1" applyFill="1" applyBorder="1" applyAlignment="1">
      <alignment horizontal="left" vertical="top"/>
    </xf>
    <xf numFmtId="164" fontId="21" fillId="0" borderId="0" xfId="6" applyNumberFormat="1" applyFont="1" applyFill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8" borderId="0" xfId="0" applyFont="1" applyFill="1" applyAlignment="1">
      <alignment horizontal="left" vertical="top"/>
    </xf>
    <xf numFmtId="164" fontId="25" fillId="8" borderId="0" xfId="6" applyNumberFormat="1" applyFont="1" applyFill="1" applyBorder="1" applyAlignment="1">
      <alignment horizontal="left" vertical="top"/>
    </xf>
    <xf numFmtId="0" fontId="26" fillId="9" borderId="0" xfId="0" applyFont="1" applyFill="1" applyAlignment="1">
      <alignment horizontal="left" vertical="top"/>
    </xf>
    <xf numFmtId="0" fontId="25" fillId="9" borderId="0" xfId="0" applyFont="1" applyFill="1" applyAlignment="1">
      <alignment horizontal="left" vertical="top"/>
    </xf>
    <xf numFmtId="164" fontId="25" fillId="9" borderId="0" xfId="0" applyNumberFormat="1" applyFont="1" applyFill="1" applyAlignment="1">
      <alignment horizontal="left" vertical="top"/>
    </xf>
    <xf numFmtId="0" fontId="0" fillId="9" borderId="0" xfId="0" applyFill="1" applyAlignment="1">
      <alignment horizontal="left" vertical="top"/>
    </xf>
    <xf numFmtId="0" fontId="21" fillId="9" borderId="0" xfId="0" applyFont="1" applyFill="1" applyAlignment="1">
      <alignment horizontal="left" vertical="top"/>
    </xf>
    <xf numFmtId="164" fontId="21" fillId="9" borderId="0" xfId="0" applyNumberFormat="1" applyFont="1" applyFill="1" applyAlignment="1">
      <alignment horizontal="left" vertical="top"/>
    </xf>
    <xf numFmtId="164" fontId="25" fillId="9" borderId="0" xfId="6" applyNumberFormat="1" applyFont="1" applyFill="1" applyBorder="1" applyAlignment="1">
      <alignment horizontal="left" vertical="top"/>
    </xf>
    <xf numFmtId="9" fontId="0" fillId="0" borderId="0" xfId="7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164" fontId="0" fillId="0" borderId="0" xfId="0" applyNumberFormat="1" applyAlignment="1">
      <alignment horizontal="left" vertical="top"/>
    </xf>
    <xf numFmtId="167" fontId="0" fillId="0" borderId="0" xfId="15" applyNumberFormat="1" applyFont="1" applyFill="1" applyBorder="1" applyAlignment="1">
      <alignment horizontal="left" vertical="top"/>
    </xf>
    <xf numFmtId="167" fontId="26" fillId="0" borderId="0" xfId="15" applyNumberFormat="1" applyFont="1" applyFill="1" applyBorder="1" applyAlignment="1">
      <alignment horizontal="left" vertical="top"/>
    </xf>
    <xf numFmtId="44" fontId="0" fillId="0" borderId="0" xfId="15" applyFont="1" applyFill="1" applyBorder="1" applyAlignment="1">
      <alignment horizontal="right" vertical="top"/>
    </xf>
    <xf numFmtId="167" fontId="0" fillId="10" borderId="0" xfId="15" applyNumberFormat="1" applyFont="1" applyFill="1" applyBorder="1" applyAlignment="1">
      <alignment horizontal="left" vertical="top"/>
    </xf>
    <xf numFmtId="167" fontId="0" fillId="0" borderId="0" xfId="0" applyNumberFormat="1" applyAlignment="1">
      <alignment horizontal="left" vertical="top"/>
    </xf>
    <xf numFmtId="167" fontId="26" fillId="0" borderId="0" xfId="0" applyNumberFormat="1" applyFont="1" applyAlignment="1">
      <alignment horizontal="left" vertical="top"/>
    </xf>
    <xf numFmtId="167" fontId="0" fillId="11" borderId="0" xfId="15" applyNumberFormat="1" applyFont="1" applyFill="1" applyBorder="1" applyAlignment="1">
      <alignment horizontal="left" vertical="top"/>
    </xf>
    <xf numFmtId="0" fontId="26" fillId="0" borderId="0" xfId="0" applyFont="1" applyAlignment="1">
      <alignment horizontal="right" vertical="top"/>
    </xf>
    <xf numFmtId="164" fontId="26" fillId="0" borderId="0" xfId="6" applyNumberFormat="1" applyFont="1" applyFill="1" applyBorder="1" applyAlignment="1">
      <alignment horizontal="left" vertical="top"/>
    </xf>
    <xf numFmtId="164" fontId="0" fillId="8" borderId="0" xfId="6" applyNumberFormat="1" applyFont="1" applyFill="1" applyBorder="1" applyAlignment="1">
      <alignment horizontal="left" vertical="top"/>
    </xf>
    <xf numFmtId="168" fontId="0" fillId="0" borderId="0" xfId="6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right" vertical="top"/>
    </xf>
    <xf numFmtId="164" fontId="26" fillId="8" borderId="0" xfId="6" applyNumberFormat="1" applyFont="1" applyFill="1" applyBorder="1" applyAlignment="1">
      <alignment horizontal="left" vertical="top"/>
    </xf>
    <xf numFmtId="164" fontId="26" fillId="9" borderId="0" xfId="6" applyNumberFormat="1" applyFont="1" applyFill="1" applyBorder="1" applyAlignment="1">
      <alignment horizontal="left" vertical="top"/>
    </xf>
    <xf numFmtId="0" fontId="26" fillId="3" borderId="0" xfId="0" applyFont="1" applyFill="1" applyAlignment="1">
      <alignment horizontal="left" vertical="top"/>
    </xf>
    <xf numFmtId="16" fontId="26" fillId="0" borderId="0" xfId="0" quotePrefix="1" applyNumberFormat="1" applyFont="1" applyAlignment="1">
      <alignment horizontal="right" vertical="top"/>
    </xf>
    <xf numFmtId="0" fontId="26" fillId="0" borderId="0" xfId="0" quotePrefix="1" applyFont="1" applyAlignment="1">
      <alignment horizontal="right" vertical="top"/>
    </xf>
    <xf numFmtId="0" fontId="0" fillId="0" borderId="0" xfId="0"/>
    <xf numFmtId="0" fontId="0" fillId="15" borderId="29" xfId="0" applyFill="1" applyBorder="1"/>
    <xf numFmtId="0" fontId="0" fillId="0" borderId="30" xfId="0" applyBorder="1"/>
    <xf numFmtId="164" fontId="10" fillId="10" borderId="30" xfId="6" applyNumberFormat="1" applyFont="1" applyFill="1" applyBorder="1" applyAlignment="1">
      <alignment horizontal="center"/>
    </xf>
    <xf numFmtId="164" fontId="0" fillId="0" borderId="0" xfId="0" applyNumberFormat="1"/>
    <xf numFmtId="43" fontId="10" fillId="0" borderId="0" xfId="6" applyFont="1"/>
    <xf numFmtId="164" fontId="10" fillId="0" borderId="0" xfId="6" applyNumberFormat="1" applyFont="1"/>
    <xf numFmtId="43" fontId="0" fillId="0" borderId="0" xfId="6" applyFont="1"/>
    <xf numFmtId="164" fontId="0" fillId="0" borderId="0" xfId="6" applyNumberFormat="1" applyFont="1"/>
    <xf numFmtId="0" fontId="10" fillId="0" borderId="0" xfId="0" applyFont="1"/>
    <xf numFmtId="164" fontId="10" fillId="0" borderId="0" xfId="6" applyNumberFormat="1" applyFont="1" applyFill="1"/>
    <xf numFmtId="164" fontId="0" fillId="0" borderId="0" xfId="6" applyNumberFormat="1" applyFont="1" applyFill="1"/>
    <xf numFmtId="164" fontId="10" fillId="16" borderId="0" xfId="6" applyNumberFormat="1" applyFont="1" applyFill="1"/>
    <xf numFmtId="43" fontId="10" fillId="0" borderId="0" xfId="6" applyFont="1" applyFill="1"/>
    <xf numFmtId="164" fontId="0" fillId="0" borderId="30" xfId="6" applyNumberFormat="1" applyFont="1" applyFill="1" applyBorder="1" applyAlignment="1">
      <alignment horizontal="center"/>
    </xf>
    <xf numFmtId="164" fontId="10" fillId="8" borderId="30" xfId="6" applyNumberFormat="1" applyFont="1" applyFill="1" applyBorder="1" applyAlignment="1">
      <alignment horizontal="center"/>
    </xf>
    <xf numFmtId="164" fontId="10" fillId="8" borderId="0" xfId="6" applyNumberFormat="1" applyFont="1" applyFill="1"/>
    <xf numFmtId="164" fontId="26" fillId="9" borderId="0" xfId="0" applyNumberFormat="1" applyFont="1" applyFill="1" applyAlignment="1">
      <alignment horizontal="left" vertical="top"/>
    </xf>
    <xf numFmtId="165" fontId="23" fillId="7" borderId="15" xfId="14" applyNumberFormat="1" applyFont="1" applyFill="1" applyBorder="1" applyAlignment="1">
      <alignment vertical="center"/>
    </xf>
    <xf numFmtId="0" fontId="19" fillId="9" borderId="15" xfId="14" applyFont="1" applyFill="1" applyBorder="1" applyAlignment="1">
      <alignment horizontal="center" vertical="center" wrapText="1"/>
    </xf>
    <xf numFmtId="41" fontId="19" fillId="9" borderId="14" xfId="14" applyNumberFormat="1" applyFont="1" applyFill="1" applyBorder="1" applyAlignment="1">
      <alignment vertical="center"/>
    </xf>
    <xf numFmtId="41" fontId="19" fillId="9" borderId="34" xfId="14" applyNumberFormat="1" applyFont="1" applyFill="1" applyBorder="1" applyAlignment="1">
      <alignment vertical="center"/>
    </xf>
    <xf numFmtId="165" fontId="19" fillId="9" borderId="14" xfId="14" applyNumberFormat="1" applyFont="1" applyFill="1" applyBorder="1" applyAlignment="1">
      <alignment vertical="center"/>
    </xf>
    <xf numFmtId="166" fontId="19" fillId="9" borderId="34" xfId="14" applyNumberFormat="1" applyFont="1" applyFill="1" applyBorder="1" applyAlignment="1">
      <alignment vertical="center"/>
    </xf>
    <xf numFmtId="41" fontId="22" fillId="7" borderId="35" xfId="14" applyNumberFormat="1" applyFont="1" applyFill="1" applyBorder="1" applyAlignment="1">
      <alignment vertical="center"/>
    </xf>
    <xf numFmtId="165" fontId="22" fillId="7" borderId="35" xfId="14" applyNumberFormat="1" applyFont="1" applyFill="1" applyBorder="1" applyAlignment="1">
      <alignment vertical="center"/>
    </xf>
    <xf numFmtId="0" fontId="20" fillId="9" borderId="22" xfId="14" quotePrefix="1" applyFont="1" applyFill="1" applyBorder="1" applyAlignment="1">
      <alignment horizontal="center" vertical="center"/>
    </xf>
    <xf numFmtId="0" fontId="20" fillId="9" borderId="26" xfId="14" quotePrefix="1" applyFont="1" applyFill="1" applyBorder="1" applyAlignment="1">
      <alignment horizontal="center" vertical="center"/>
    </xf>
    <xf numFmtId="0" fontId="20" fillId="9" borderId="13" xfId="14" quotePrefix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/>
    </xf>
    <xf numFmtId="16" fontId="20" fillId="9" borderId="22" xfId="14" quotePrefix="1" applyNumberFormat="1" applyFont="1" applyFill="1" applyBorder="1" applyAlignment="1">
      <alignment horizontal="center" vertical="center"/>
    </xf>
    <xf numFmtId="41" fontId="21" fillId="0" borderId="0" xfId="0" applyNumberFormat="1" applyFont="1" applyAlignment="1">
      <alignment horizontal="left" vertical="top"/>
    </xf>
    <xf numFmtId="41" fontId="19" fillId="19" borderId="14" xfId="14" applyNumberFormat="1" applyFont="1" applyFill="1" applyBorder="1" applyAlignment="1">
      <alignment vertical="center"/>
    </xf>
    <xf numFmtId="166" fontId="19" fillId="0" borderId="34" xfId="14" applyNumberFormat="1" applyFont="1" applyBorder="1" applyAlignment="1">
      <alignment vertical="center"/>
    </xf>
    <xf numFmtId="165" fontId="19" fillId="19" borderId="14" xfId="14" applyNumberFormat="1" applyFont="1" applyFill="1" applyBorder="1" applyAlignment="1">
      <alignment vertical="center"/>
    </xf>
    <xf numFmtId="41" fontId="19" fillId="0" borderId="34" xfId="14" applyNumberFormat="1" applyFont="1" applyBorder="1" applyAlignment="1">
      <alignment vertical="center"/>
    </xf>
    <xf numFmtId="17" fontId="29" fillId="0" borderId="36" xfId="0" applyNumberFormat="1" applyFont="1" applyBorder="1" applyAlignment="1">
      <alignment horizontal="center" vertical="center"/>
    </xf>
    <xf numFmtId="0" fontId="0" fillId="0" borderId="29" xfId="0" applyBorder="1"/>
    <xf numFmtId="16" fontId="26" fillId="0" borderId="0" xfId="0" applyNumberFormat="1" applyFont="1" applyAlignment="1">
      <alignment horizontal="right" vertical="top"/>
    </xf>
    <xf numFmtId="0" fontId="26" fillId="8" borderId="0" xfId="0" applyFont="1" applyFill="1" applyAlignment="1">
      <alignment horizontal="right" vertical="top"/>
    </xf>
    <xf numFmtId="16" fontId="26" fillId="8" borderId="0" xfId="0" quotePrefix="1" applyNumberFormat="1" applyFont="1" applyFill="1" applyAlignment="1">
      <alignment horizontal="right" vertical="top"/>
    </xf>
    <xf numFmtId="16" fontId="26" fillId="8" borderId="0" xfId="0" applyNumberFormat="1" applyFont="1" applyFill="1" applyAlignment="1">
      <alignment horizontal="right" vertical="top"/>
    </xf>
    <xf numFmtId="164" fontId="0" fillId="8" borderId="0" xfId="0" applyNumberFormat="1" applyFill="1" applyAlignment="1">
      <alignment horizontal="left" vertical="top"/>
    </xf>
    <xf numFmtId="17" fontId="29" fillId="18" borderId="36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164" fontId="35" fillId="0" borderId="0" xfId="6" applyNumberFormat="1" applyFont="1" applyFill="1" applyBorder="1" applyAlignment="1">
      <alignment horizontal="left" vertical="top"/>
    </xf>
    <xf numFmtId="0" fontId="36" fillId="0" borderId="0" xfId="0" applyFont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7" fillId="0" borderId="39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top" wrapText="1"/>
    </xf>
    <xf numFmtId="0" fontId="37" fillId="0" borderId="43" xfId="0" applyFont="1" applyBorder="1" applyAlignment="1">
      <alignment horizontal="center" vertical="top" wrapText="1"/>
    </xf>
    <xf numFmtId="0" fontId="36" fillId="9" borderId="0" xfId="0" applyFont="1" applyFill="1" applyAlignment="1">
      <alignment horizontal="center" vertical="top"/>
    </xf>
    <xf numFmtId="0" fontId="39" fillId="0" borderId="39" xfId="0" applyFont="1" applyBorder="1" applyAlignment="1">
      <alignment horizontal="center" vertical="top" wrapText="1"/>
    </xf>
    <xf numFmtId="0" fontId="39" fillId="3" borderId="40" xfId="0" applyFont="1" applyFill="1" applyBorder="1" applyAlignment="1">
      <alignment horizontal="center" vertical="top" wrapText="1"/>
    </xf>
    <xf numFmtId="0" fontId="39" fillId="9" borderId="40" xfId="0" applyFont="1" applyFill="1" applyBorder="1" applyAlignment="1">
      <alignment horizontal="center" vertical="top" wrapText="1"/>
    </xf>
    <xf numFmtId="170" fontId="36" fillId="0" borderId="46" xfId="0" applyNumberFormat="1" applyFont="1" applyBorder="1" applyAlignment="1">
      <alignment horizontal="center" vertical="top" wrapText="1"/>
    </xf>
    <xf numFmtId="171" fontId="36" fillId="0" borderId="47" xfId="0" applyNumberFormat="1" applyFont="1" applyBorder="1" applyAlignment="1">
      <alignment horizontal="center" vertical="top" wrapText="1"/>
    </xf>
    <xf numFmtId="171" fontId="36" fillId="0" borderId="0" xfId="0" applyNumberFormat="1" applyFont="1" applyAlignment="1">
      <alignment horizontal="center" vertical="top" wrapText="1"/>
    </xf>
    <xf numFmtId="171" fontId="36" fillId="0" borderId="0" xfId="0" applyNumberFormat="1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top" wrapText="1"/>
    </xf>
    <xf numFmtId="171" fontId="36" fillId="0" borderId="4" xfId="0" applyNumberFormat="1" applyFont="1" applyBorder="1" applyAlignment="1">
      <alignment horizontal="center" vertical="top" wrapText="1"/>
    </xf>
    <xf numFmtId="172" fontId="36" fillId="0" borderId="0" xfId="7" applyNumberFormat="1" applyFont="1" applyFill="1" applyBorder="1" applyAlignment="1">
      <alignment horizontal="center" vertical="top" wrapText="1"/>
    </xf>
    <xf numFmtId="172" fontId="36" fillId="0" borderId="3" xfId="7" applyNumberFormat="1" applyFont="1" applyFill="1" applyBorder="1" applyAlignment="1">
      <alignment horizontal="center" vertical="top" wrapText="1"/>
    </xf>
    <xf numFmtId="3" fontId="36" fillId="0" borderId="47" xfId="0" applyNumberFormat="1" applyFont="1" applyBorder="1" applyAlignment="1">
      <alignment horizontal="center" vertical="top" wrapText="1"/>
    </xf>
    <xf numFmtId="171" fontId="36" fillId="3" borderId="0" xfId="0" applyNumberFormat="1" applyFont="1" applyFill="1" applyAlignment="1">
      <alignment horizontal="center" vertical="top" wrapText="1"/>
    </xf>
    <xf numFmtId="173" fontId="36" fillId="0" borderId="0" xfId="0" applyNumberFormat="1" applyFont="1" applyAlignment="1">
      <alignment horizontal="center" vertical="top" wrapText="1"/>
    </xf>
    <xf numFmtId="174" fontId="36" fillId="0" borderId="0" xfId="0" applyNumberFormat="1" applyFont="1" applyAlignment="1">
      <alignment horizontal="center" vertical="top" wrapText="1"/>
    </xf>
    <xf numFmtId="174" fontId="36" fillId="9" borderId="0" xfId="0" applyNumberFormat="1" applyFont="1" applyFill="1" applyAlignment="1">
      <alignment horizontal="center" vertical="top" wrapText="1"/>
    </xf>
    <xf numFmtId="0" fontId="36" fillId="0" borderId="1" xfId="0" applyFont="1" applyBorder="1" applyAlignment="1">
      <alignment horizontal="center"/>
    </xf>
    <xf numFmtId="170" fontId="36" fillId="0" borderId="48" xfId="0" applyNumberFormat="1" applyFont="1" applyBorder="1" applyAlignment="1">
      <alignment horizontal="center" vertical="top" wrapText="1"/>
    </xf>
    <xf numFmtId="171" fontId="36" fillId="0" borderId="49" xfId="0" applyNumberFormat="1" applyFont="1" applyBorder="1" applyAlignment="1">
      <alignment horizontal="center" vertical="top" wrapText="1"/>
    </xf>
    <xf numFmtId="171" fontId="36" fillId="0" borderId="1" xfId="0" applyNumberFormat="1" applyFont="1" applyBorder="1" applyAlignment="1">
      <alignment horizontal="center" vertical="top" wrapText="1"/>
    </xf>
    <xf numFmtId="171" fontId="36" fillId="0" borderId="1" xfId="0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top" wrapText="1"/>
    </xf>
    <xf numFmtId="171" fontId="36" fillId="0" borderId="5" xfId="0" applyNumberFormat="1" applyFont="1" applyBorder="1" applyAlignment="1">
      <alignment horizontal="center" vertical="top" wrapText="1"/>
    </xf>
    <xf numFmtId="172" fontId="36" fillId="0" borderId="1" xfId="7" applyNumberFormat="1" applyFont="1" applyFill="1" applyBorder="1" applyAlignment="1">
      <alignment horizontal="center" vertical="top" wrapText="1"/>
    </xf>
    <xf numFmtId="172" fontId="36" fillId="0" borderId="6" xfId="7" applyNumberFormat="1" applyFont="1" applyFill="1" applyBorder="1" applyAlignment="1">
      <alignment horizontal="center" vertical="top" wrapText="1"/>
    </xf>
    <xf numFmtId="0" fontId="36" fillId="9" borderId="1" xfId="0" applyFont="1" applyFill="1" applyBorder="1" applyAlignment="1">
      <alignment horizontal="center" vertical="top"/>
    </xf>
    <xf numFmtId="3" fontId="36" fillId="0" borderId="49" xfId="0" applyNumberFormat="1" applyFont="1" applyBorder="1" applyAlignment="1">
      <alignment horizontal="center" vertical="top" wrapText="1"/>
    </xf>
    <xf numFmtId="171" fontId="36" fillId="3" borderId="1" xfId="0" applyNumberFormat="1" applyFont="1" applyFill="1" applyBorder="1" applyAlignment="1">
      <alignment horizontal="center" vertical="top" wrapText="1"/>
    </xf>
    <xf numFmtId="173" fontId="36" fillId="0" borderId="1" xfId="0" applyNumberFormat="1" applyFont="1" applyBorder="1" applyAlignment="1">
      <alignment horizontal="center" vertical="top" wrapText="1"/>
    </xf>
    <xf numFmtId="174" fontId="36" fillId="0" borderId="1" xfId="0" applyNumberFormat="1" applyFont="1" applyBorder="1" applyAlignment="1">
      <alignment horizontal="center" vertical="top" wrapText="1"/>
    </xf>
    <xf numFmtId="174" fontId="36" fillId="9" borderId="1" xfId="0" applyNumberFormat="1" applyFont="1" applyFill="1" applyBorder="1" applyAlignment="1">
      <alignment horizontal="center" vertical="top" wrapText="1"/>
    </xf>
    <xf numFmtId="175" fontId="36" fillId="0" borderId="0" xfId="0" applyNumberFormat="1" applyFont="1" applyAlignment="1">
      <alignment horizontal="center" vertical="top" wrapText="1"/>
    </xf>
    <xf numFmtId="171" fontId="36" fillId="0" borderId="48" xfId="0" applyNumberFormat="1" applyFont="1" applyBorder="1" applyAlignment="1">
      <alignment horizontal="center" vertical="top" wrapText="1"/>
    </xf>
    <xf numFmtId="3" fontId="36" fillId="0" borderId="48" xfId="0" applyNumberFormat="1" applyFont="1" applyBorder="1" applyAlignment="1">
      <alignment horizontal="center" vertical="top" wrapText="1"/>
    </xf>
    <xf numFmtId="171" fontId="36" fillId="0" borderId="46" xfId="0" applyNumberFormat="1" applyFont="1" applyBorder="1" applyAlignment="1">
      <alignment horizontal="center" vertical="top" wrapText="1"/>
    </xf>
    <xf numFmtId="3" fontId="36" fillId="0" borderId="46" xfId="0" applyNumberFormat="1" applyFont="1" applyBorder="1" applyAlignment="1">
      <alignment horizontal="center" vertical="top" wrapText="1"/>
    </xf>
    <xf numFmtId="173" fontId="36" fillId="9" borderId="0" xfId="0" applyNumberFormat="1" applyFont="1" applyFill="1" applyAlignment="1">
      <alignment horizontal="center" vertical="top" wrapText="1"/>
    </xf>
    <xf numFmtId="171" fontId="40" fillId="0" borderId="0" xfId="0" applyNumberFormat="1" applyFont="1" applyAlignment="1">
      <alignment horizontal="center" vertical="top" wrapText="1"/>
    </xf>
    <xf numFmtId="172" fontId="36" fillId="9" borderId="0" xfId="7" applyNumberFormat="1" applyFont="1" applyFill="1" applyBorder="1" applyAlignment="1">
      <alignment horizontal="center" vertical="top" wrapText="1"/>
    </xf>
    <xf numFmtId="171" fontId="40" fillId="0" borderId="1" xfId="0" applyNumberFormat="1" applyFont="1" applyBorder="1" applyAlignment="1">
      <alignment horizontal="center" vertical="top" wrapText="1"/>
    </xf>
    <xf numFmtId="172" fontId="36" fillId="9" borderId="1" xfId="7" applyNumberFormat="1" applyFont="1" applyFill="1" applyBorder="1" applyAlignment="1">
      <alignment horizontal="center" vertical="top" wrapText="1"/>
    </xf>
    <xf numFmtId="0" fontId="41" fillId="8" borderId="0" xfId="0" applyFont="1" applyFill="1" applyAlignment="1">
      <alignment horizontal="center" vertical="top"/>
    </xf>
    <xf numFmtId="0" fontId="41" fillId="9" borderId="0" xfId="0" applyFont="1" applyFill="1" applyAlignment="1">
      <alignment horizontal="center" vertical="top"/>
    </xf>
    <xf numFmtId="171" fontId="41" fillId="3" borderId="0" xfId="0" applyNumberFormat="1" applyFont="1" applyFill="1" applyAlignment="1">
      <alignment horizontal="center" vertical="top" wrapText="1"/>
    </xf>
    <xf numFmtId="172" fontId="41" fillId="9" borderId="0" xfId="7" applyNumberFormat="1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top"/>
    </xf>
    <xf numFmtId="0" fontId="41" fillId="9" borderId="1" xfId="0" applyFont="1" applyFill="1" applyBorder="1" applyAlignment="1">
      <alignment horizontal="center" vertical="top"/>
    </xf>
    <xf numFmtId="172" fontId="41" fillId="9" borderId="1" xfId="7" applyNumberFormat="1" applyFont="1" applyFill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42" fillId="0" borderId="0" xfId="37" applyFont="1" applyAlignment="1" applyProtection="1">
      <alignment horizontal="center" vertical="center"/>
      <protection locked="0"/>
    </xf>
    <xf numFmtId="0" fontId="5" fillId="0" borderId="0" xfId="37" applyProtection="1">
      <protection locked="0"/>
    </xf>
    <xf numFmtId="0" fontId="11" fillId="20" borderId="35" xfId="37" applyFont="1" applyFill="1" applyBorder="1" applyAlignment="1" applyProtection="1">
      <alignment horizontal="left" vertical="center"/>
      <protection locked="0"/>
    </xf>
    <xf numFmtId="0" fontId="42" fillId="20" borderId="35" xfId="37" applyFont="1" applyFill="1" applyBorder="1" applyAlignment="1" applyProtection="1">
      <alignment horizontal="right" vertical="center"/>
      <protection locked="0"/>
    </xf>
    <xf numFmtId="0" fontId="11" fillId="20" borderId="35" xfId="37" applyFont="1" applyFill="1" applyBorder="1" applyAlignment="1" applyProtection="1">
      <alignment horizontal="right" vertical="center"/>
      <protection locked="0"/>
    </xf>
    <xf numFmtId="0" fontId="11" fillId="20" borderId="35" xfId="37" applyFont="1" applyFill="1" applyBorder="1" applyAlignment="1" applyProtection="1">
      <alignment vertical="center"/>
      <protection locked="0"/>
    </xf>
    <xf numFmtId="0" fontId="11" fillId="23" borderId="35" xfId="37" applyFont="1" applyFill="1" applyBorder="1" applyAlignment="1" applyProtection="1">
      <alignment vertical="center"/>
      <protection locked="0"/>
    </xf>
    <xf numFmtId="0" fontId="11" fillId="23" borderId="35" xfId="37" applyFont="1" applyFill="1" applyBorder="1" applyAlignment="1" applyProtection="1">
      <alignment horizontal="right" vertical="center"/>
      <protection locked="0"/>
    </xf>
    <xf numFmtId="0" fontId="11" fillId="24" borderId="35" xfId="37" applyFont="1" applyFill="1" applyBorder="1" applyAlignment="1" applyProtection="1">
      <alignment vertical="center"/>
      <protection locked="0"/>
    </xf>
    <xf numFmtId="0" fontId="42" fillId="24" borderId="35" xfId="37" applyFont="1" applyFill="1" applyBorder="1" applyAlignment="1" applyProtection="1">
      <alignment horizontal="right" vertical="center"/>
      <protection locked="0"/>
    </xf>
    <xf numFmtId="0" fontId="11" fillId="24" borderId="35" xfId="37" applyFont="1" applyFill="1" applyBorder="1" applyAlignment="1" applyProtection="1">
      <alignment horizontal="left" vertical="center"/>
      <protection locked="0"/>
    </xf>
    <xf numFmtId="0" fontId="11" fillId="24" borderId="35" xfId="37" applyFont="1" applyFill="1" applyBorder="1" applyAlignment="1" applyProtection="1">
      <alignment horizontal="right" vertical="center"/>
      <protection locked="0"/>
    </xf>
    <xf numFmtId="0" fontId="64" fillId="0" borderId="0" xfId="37" applyFont="1" applyProtection="1">
      <protection locked="0"/>
    </xf>
    <xf numFmtId="0" fontId="11" fillId="0" borderId="0" xfId="37" applyFont="1" applyAlignment="1" applyProtection="1">
      <alignment horizontal="right" vertical="center"/>
      <protection locked="0"/>
    </xf>
    <xf numFmtId="0" fontId="11" fillId="0" borderId="0" xfId="37" applyFont="1" applyAlignment="1" applyProtection="1">
      <alignment horizontal="right"/>
      <protection locked="0"/>
    </xf>
    <xf numFmtId="0" fontId="5" fillId="0" borderId="0" xfId="37" applyAlignment="1" applyProtection="1">
      <alignment vertical="center"/>
      <protection locked="0"/>
    </xf>
    <xf numFmtId="0" fontId="69" fillId="2" borderId="0" xfId="0" applyFont="1" applyFill="1" applyAlignment="1">
      <alignment horizontal="left"/>
    </xf>
    <xf numFmtId="0" fontId="69" fillId="2" borderId="0" xfId="0" applyFont="1" applyFill="1"/>
    <xf numFmtId="0" fontId="70" fillId="2" borderId="0" xfId="0" applyFont="1" applyFill="1"/>
    <xf numFmtId="0" fontId="70" fillId="26" borderId="58" xfId="0" quotePrefix="1" applyFont="1" applyFill="1" applyBorder="1" applyAlignment="1">
      <alignment horizontal="center"/>
    </xf>
    <xf numFmtId="0" fontId="70" fillId="2" borderId="54" xfId="0" applyFont="1" applyFill="1" applyBorder="1" applyAlignment="1">
      <alignment horizontal="center"/>
    </xf>
    <xf numFmtId="172" fontId="70" fillId="2" borderId="0" xfId="7" applyNumberFormat="1" applyFont="1" applyFill="1" applyBorder="1" applyAlignment="1" applyProtection="1">
      <alignment horizontal="right"/>
    </xf>
    <xf numFmtId="177" fontId="70" fillId="2" borderId="0" xfId="0" applyNumberFormat="1" applyFont="1" applyFill="1" applyAlignment="1">
      <alignment horizontal="right"/>
    </xf>
    <xf numFmtId="164" fontId="70" fillId="7" borderId="0" xfId="6" applyNumberFormat="1" applyFont="1" applyFill="1" applyBorder="1" applyAlignment="1" applyProtection="1">
      <alignment horizontal="right"/>
    </xf>
    <xf numFmtId="177" fontId="70" fillId="7" borderId="0" xfId="0" applyNumberFormat="1" applyFont="1" applyFill="1" applyAlignment="1">
      <alignment horizontal="right"/>
    </xf>
    <xf numFmtId="3" fontId="70" fillId="2" borderId="0" xfId="0" applyNumberFormat="1" applyFont="1" applyFill="1" applyAlignment="1">
      <alignment horizontal="center"/>
    </xf>
    <xf numFmtId="172" fontId="70" fillId="2" borderId="0" xfId="0" applyNumberFormat="1" applyFont="1" applyFill="1" applyAlignment="1">
      <alignment horizontal="right"/>
    </xf>
    <xf numFmtId="164" fontId="70" fillId="7" borderId="0" xfId="0" applyNumberFormat="1" applyFont="1" applyFill="1" applyAlignment="1">
      <alignment horizontal="right"/>
    </xf>
    <xf numFmtId="177" fontId="70" fillId="7" borderId="0" xfId="0" applyNumberFormat="1" applyFont="1" applyFill="1"/>
    <xf numFmtId="0" fontId="70" fillId="7" borderId="0" xfId="0" applyFont="1" applyFill="1"/>
    <xf numFmtId="0" fontId="70" fillId="2" borderId="54" xfId="0" quotePrefix="1" applyFont="1" applyFill="1" applyBorder="1" applyAlignment="1">
      <alignment horizontal="center"/>
    </xf>
    <xf numFmtId="172" fontId="70" fillId="7" borderId="0" xfId="7" applyNumberFormat="1" applyFont="1" applyFill="1" applyBorder="1" applyAlignment="1" applyProtection="1">
      <alignment horizontal="right"/>
    </xf>
    <xf numFmtId="172" fontId="70" fillId="7" borderId="0" xfId="0" applyNumberFormat="1" applyFont="1" applyFill="1" applyAlignment="1">
      <alignment horizontal="right"/>
    </xf>
    <xf numFmtId="172" fontId="70" fillId="7" borderId="0" xfId="0" applyNumberFormat="1" applyFont="1" applyFill="1"/>
    <xf numFmtId="0" fontId="70" fillId="2" borderId="54" xfId="0" quotePrefix="1" applyFont="1" applyFill="1" applyBorder="1" applyAlignment="1">
      <alignment horizontal="center" wrapText="1"/>
    </xf>
    <xf numFmtId="172" fontId="72" fillId="2" borderId="0" xfId="7" applyNumberFormat="1" applyFont="1" applyFill="1" applyBorder="1" applyAlignment="1" applyProtection="1">
      <alignment horizontal="right"/>
    </xf>
    <xf numFmtId="177" fontId="72" fillId="2" borderId="0" xfId="0" applyNumberFormat="1" applyFont="1" applyFill="1" applyAlignment="1">
      <alignment horizontal="right"/>
    </xf>
    <xf numFmtId="164" fontId="72" fillId="7" borderId="0" xfId="6" applyNumberFormat="1" applyFont="1" applyFill="1" applyBorder="1" applyAlignment="1" applyProtection="1">
      <alignment horizontal="right"/>
    </xf>
    <xf numFmtId="172" fontId="72" fillId="7" borderId="0" xfId="7" applyNumberFormat="1" applyFont="1" applyFill="1" applyBorder="1" applyAlignment="1" applyProtection="1">
      <alignment horizontal="right"/>
    </xf>
    <xf numFmtId="177" fontId="72" fillId="7" borderId="0" xfId="0" applyNumberFormat="1" applyFont="1" applyFill="1" applyAlignment="1">
      <alignment horizontal="right"/>
    </xf>
    <xf numFmtId="3" fontId="72" fillId="2" borderId="0" xfId="0" applyNumberFormat="1" applyFont="1" applyFill="1" applyAlignment="1">
      <alignment horizontal="center"/>
    </xf>
    <xf numFmtId="172" fontId="72" fillId="2" borderId="0" xfId="0" applyNumberFormat="1" applyFont="1" applyFill="1" applyAlignment="1">
      <alignment horizontal="right"/>
    </xf>
    <xf numFmtId="164" fontId="72" fillId="7" borderId="0" xfId="0" applyNumberFormat="1" applyFont="1" applyFill="1" applyAlignment="1">
      <alignment horizontal="right"/>
    </xf>
    <xf numFmtId="172" fontId="72" fillId="7" borderId="0" xfId="0" applyNumberFormat="1" applyFont="1" applyFill="1"/>
    <xf numFmtId="0" fontId="72" fillId="7" borderId="0" xfId="0" applyFont="1" applyFill="1"/>
    <xf numFmtId="0" fontId="72" fillId="2" borderId="0" xfId="0" quotePrefix="1" applyFont="1" applyFill="1" applyAlignment="1">
      <alignment horizontal="center"/>
    </xf>
    <xf numFmtId="0" fontId="70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49" fontId="13" fillId="2" borderId="0" xfId="0" applyNumberFormat="1" applyFont="1" applyFill="1" applyAlignment="1">
      <alignment horizontal="right"/>
    </xf>
    <xf numFmtId="0" fontId="35" fillId="0" borderId="0" xfId="0" applyFont="1" applyAlignment="1">
      <alignment horizontal="right" vertical="top"/>
    </xf>
    <xf numFmtId="0" fontId="73" fillId="0" borderId="0" xfId="18" applyFont="1"/>
    <xf numFmtId="0" fontId="13" fillId="0" borderId="0" xfId="18"/>
    <xf numFmtId="0" fontId="74" fillId="0" borderId="0" xfId="18" applyFont="1"/>
    <xf numFmtId="0" fontId="13" fillId="0" borderId="0" xfId="18" applyAlignment="1">
      <alignment horizontal="center" wrapText="1"/>
    </xf>
    <xf numFmtId="0" fontId="13" fillId="0" borderId="0" xfId="18" applyAlignment="1">
      <alignment horizontal="center"/>
    </xf>
    <xf numFmtId="0" fontId="75" fillId="0" borderId="0" xfId="18" applyFont="1" applyAlignment="1">
      <alignment horizontal="center" wrapText="1"/>
    </xf>
    <xf numFmtId="2" fontId="35" fillId="0" borderId="0" xfId="0" applyNumberFormat="1" applyFont="1" applyAlignment="1">
      <alignment horizontal="right" vertical="top"/>
    </xf>
    <xf numFmtId="0" fontId="77" fillId="0" borderId="0" xfId="0" applyFont="1" applyAlignment="1">
      <alignment horizontal="left" vertical="top"/>
    </xf>
    <xf numFmtId="164" fontId="77" fillId="0" borderId="0" xfId="6" applyNumberFormat="1" applyFont="1" applyFill="1" applyBorder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0" fontId="39" fillId="0" borderId="40" xfId="0" applyFont="1" applyBorder="1" applyAlignment="1">
      <alignment horizontal="center" vertical="top" wrapText="1"/>
    </xf>
    <xf numFmtId="0" fontId="70" fillId="26" borderId="44" xfId="0" quotePrefix="1" applyFont="1" applyFill="1" applyBorder="1" applyAlignment="1">
      <alignment horizontal="center"/>
    </xf>
    <xf numFmtId="0" fontId="71" fillId="26" borderId="44" xfId="0" quotePrefix="1" applyFont="1" applyFill="1" applyBorder="1" applyAlignment="1">
      <alignment horizontal="center"/>
    </xf>
    <xf numFmtId="1" fontId="0" fillId="0" borderId="0" xfId="0" applyNumberFormat="1" applyAlignment="1">
      <alignment horizontal="left" vertical="top"/>
    </xf>
    <xf numFmtId="0" fontId="78" fillId="2" borderId="0" xfId="0" applyFont="1" applyFill="1"/>
    <xf numFmtId="0" fontId="80" fillId="0" borderId="0" xfId="18" applyFont="1"/>
    <xf numFmtId="0" fontId="0" fillId="0" borderId="0" xfId="0" applyAlignment="1">
      <alignment horizontal="left" vertical="top" indent="1"/>
    </xf>
    <xf numFmtId="0" fontId="0" fillId="11" borderId="0" xfId="0" applyFill="1" applyAlignment="1">
      <alignment horizontal="left" vertical="top"/>
    </xf>
    <xf numFmtId="0" fontId="26" fillId="11" borderId="0" xfId="0" applyFont="1" applyFill="1" applyAlignment="1">
      <alignment horizontal="left" vertical="top"/>
    </xf>
    <xf numFmtId="1" fontId="0" fillId="11" borderId="0" xfId="0" applyNumberFormat="1" applyFill="1" applyAlignment="1">
      <alignment horizontal="left" vertical="top"/>
    </xf>
    <xf numFmtId="1" fontId="26" fillId="11" borderId="0" xfId="0" applyNumberFormat="1" applyFont="1" applyFill="1" applyAlignment="1">
      <alignment horizontal="left" vertical="top"/>
    </xf>
    <xf numFmtId="0" fontId="81" fillId="2" borderId="54" xfId="0" quotePrefix="1" applyFont="1" applyFill="1" applyBorder="1" applyAlignment="1">
      <alignment horizontal="center"/>
    </xf>
    <xf numFmtId="172" fontId="81" fillId="2" borderId="0" xfId="7" applyNumberFormat="1" applyFont="1" applyFill="1" applyBorder="1" applyAlignment="1" applyProtection="1">
      <alignment horizontal="right"/>
    </xf>
    <xf numFmtId="177" fontId="81" fillId="2" borderId="0" xfId="0" applyNumberFormat="1" applyFont="1" applyFill="1" applyAlignment="1">
      <alignment horizontal="right"/>
    </xf>
    <xf numFmtId="164" fontId="81" fillId="7" borderId="0" xfId="6" applyNumberFormat="1" applyFont="1" applyFill="1" applyBorder="1" applyAlignment="1" applyProtection="1">
      <alignment horizontal="right"/>
    </xf>
    <xf numFmtId="172" fontId="81" fillId="7" borderId="0" xfId="7" applyNumberFormat="1" applyFont="1" applyFill="1" applyBorder="1" applyAlignment="1" applyProtection="1">
      <alignment horizontal="right"/>
    </xf>
    <xf numFmtId="177" fontId="81" fillId="7" borderId="0" xfId="0" applyNumberFormat="1" applyFont="1" applyFill="1" applyAlignment="1">
      <alignment horizontal="right"/>
    </xf>
    <xf numFmtId="3" fontId="81" fillId="2" borderId="0" xfId="0" applyNumberFormat="1" applyFont="1" applyFill="1" applyAlignment="1">
      <alignment horizontal="center"/>
    </xf>
    <xf numFmtId="172" fontId="81" fillId="2" borderId="0" xfId="0" applyNumberFormat="1" applyFont="1" applyFill="1" applyAlignment="1">
      <alignment horizontal="right"/>
    </xf>
    <xf numFmtId="164" fontId="81" fillId="7" borderId="0" xfId="0" applyNumberFormat="1" applyFont="1" applyFill="1" applyAlignment="1">
      <alignment horizontal="right"/>
    </xf>
    <xf numFmtId="172" fontId="81" fillId="7" borderId="0" xfId="0" applyNumberFormat="1" applyFont="1" applyFill="1" applyAlignment="1">
      <alignment horizontal="right"/>
    </xf>
    <xf numFmtId="0" fontId="81" fillId="2" borderId="0" xfId="0" quotePrefix="1" applyFont="1" applyFill="1" applyAlignment="1">
      <alignment horizontal="center"/>
    </xf>
    <xf numFmtId="0" fontId="11" fillId="27" borderId="35" xfId="37" applyFont="1" applyFill="1" applyBorder="1" applyAlignment="1" applyProtection="1">
      <alignment horizontal="right" vertical="center"/>
      <protection locked="0"/>
    </xf>
    <xf numFmtId="0" fontId="0" fillId="27" borderId="0" xfId="0" applyFill="1" applyAlignment="1">
      <alignment horizontal="left" vertical="top"/>
    </xf>
    <xf numFmtId="2" fontId="13" fillId="0" borderId="0" xfId="18" applyNumberFormat="1" applyAlignment="1">
      <alignment horizontal="center"/>
    </xf>
    <xf numFmtId="0" fontId="79" fillId="0" borderId="0" xfId="18" applyFont="1"/>
    <xf numFmtId="0" fontId="21" fillId="28" borderId="0" xfId="0" applyFont="1" applyFill="1" applyAlignment="1">
      <alignment horizontal="left" vertical="top"/>
    </xf>
    <xf numFmtId="0" fontId="21" fillId="28" borderId="59" xfId="0" applyFont="1" applyFill="1" applyBorder="1" applyAlignment="1">
      <alignment horizontal="left" vertical="top" wrapText="1"/>
    </xf>
    <xf numFmtId="0" fontId="21" fillId="28" borderId="59" xfId="0" applyFont="1" applyFill="1" applyBorder="1" applyAlignment="1">
      <alignment horizontal="left" vertical="top"/>
    </xf>
    <xf numFmtId="0" fontId="21" fillId="29" borderId="59" xfId="0" applyFont="1" applyFill="1" applyBorder="1" applyAlignment="1">
      <alignment horizontal="left" vertical="top"/>
    </xf>
    <xf numFmtId="0" fontId="21" fillId="29" borderId="0" xfId="0" applyFont="1" applyFill="1" applyAlignment="1">
      <alignment horizontal="left" vertical="top"/>
    </xf>
    <xf numFmtId="0" fontId="21" fillId="29" borderId="60" xfId="0" applyFont="1" applyFill="1" applyBorder="1" applyAlignment="1">
      <alignment horizontal="left" vertical="top"/>
    </xf>
    <xf numFmtId="0" fontId="21" fillId="28" borderId="60" xfId="0" applyFont="1" applyFill="1" applyBorder="1" applyAlignment="1">
      <alignment horizontal="left" vertical="top"/>
    </xf>
    <xf numFmtId="171" fontId="41" fillId="18" borderId="0" xfId="0" applyNumberFormat="1" applyFont="1" applyFill="1" applyAlignment="1">
      <alignment horizontal="center" vertical="top" wrapText="1"/>
    </xf>
    <xf numFmtId="3" fontId="21" fillId="28" borderId="59" xfId="0" applyNumberFormat="1" applyFont="1" applyFill="1" applyBorder="1" applyAlignment="1">
      <alignment horizontal="left" vertical="top"/>
    </xf>
    <xf numFmtId="0" fontId="21" fillId="27" borderId="59" xfId="0" applyFont="1" applyFill="1" applyBorder="1" applyAlignment="1">
      <alignment horizontal="left" vertical="top"/>
    </xf>
    <xf numFmtId="0" fontId="21" fillId="27" borderId="60" xfId="0" applyFont="1" applyFill="1" applyBorder="1" applyAlignment="1">
      <alignment horizontal="left" vertical="top"/>
    </xf>
    <xf numFmtId="3" fontId="21" fillId="27" borderId="59" xfId="0" applyNumberFormat="1" applyFont="1" applyFill="1" applyBorder="1" applyAlignment="1">
      <alignment horizontal="left" vertical="top"/>
    </xf>
    <xf numFmtId="0" fontId="82" fillId="0" borderId="0" xfId="18" applyFont="1"/>
    <xf numFmtId="178" fontId="35" fillId="0" borderId="0" xfId="0" applyNumberFormat="1" applyFont="1" applyAlignment="1">
      <alignment horizontal="right" vertical="top"/>
    </xf>
    <xf numFmtId="3" fontId="70" fillId="2" borderId="55" xfId="40" applyNumberFormat="1" applyFont="1" applyFill="1" applyBorder="1" applyAlignment="1">
      <alignment horizontal="right"/>
    </xf>
    <xf numFmtId="3" fontId="70" fillId="2" borderId="55" xfId="40" applyNumberFormat="1" applyFont="1" applyFill="1" applyBorder="1" applyAlignment="1">
      <alignment horizontal="center"/>
    </xf>
    <xf numFmtId="3" fontId="70" fillId="2" borderId="61" xfId="40" applyNumberFormat="1" applyFont="1" applyFill="1" applyBorder="1" applyAlignment="1">
      <alignment horizontal="right"/>
    </xf>
    <xf numFmtId="3" fontId="81" fillId="2" borderId="0" xfId="0" applyNumberFormat="1" applyFont="1" applyFill="1" applyAlignment="1">
      <alignment horizontal="right"/>
    </xf>
    <xf numFmtId="3" fontId="83" fillId="2" borderId="55" xfId="40" applyNumberFormat="1" applyFont="1" applyFill="1" applyBorder="1" applyAlignment="1">
      <alignment horizontal="center"/>
    </xf>
    <xf numFmtId="3" fontId="83" fillId="2" borderId="55" xfId="40" applyNumberFormat="1" applyFont="1" applyFill="1" applyBorder="1" applyAlignment="1">
      <alignment horizontal="right"/>
    </xf>
    <xf numFmtId="172" fontId="83" fillId="2" borderId="0" xfId="7" applyNumberFormat="1" applyFont="1" applyFill="1" applyBorder="1" applyAlignment="1" applyProtection="1">
      <alignment horizontal="right"/>
    </xf>
    <xf numFmtId="177" fontId="83" fillId="2" borderId="0" xfId="0" applyNumberFormat="1" applyFont="1" applyFill="1" applyAlignment="1">
      <alignment horizontal="right"/>
    </xf>
    <xf numFmtId="164" fontId="83" fillId="7" borderId="0" xfId="6" applyNumberFormat="1" applyFont="1" applyFill="1" applyBorder="1" applyAlignment="1" applyProtection="1">
      <alignment horizontal="right"/>
    </xf>
    <xf numFmtId="172" fontId="83" fillId="7" borderId="0" xfId="7" applyNumberFormat="1" applyFont="1" applyFill="1" applyBorder="1" applyAlignment="1" applyProtection="1">
      <alignment horizontal="right"/>
    </xf>
    <xf numFmtId="177" fontId="83" fillId="7" borderId="0" xfId="0" applyNumberFormat="1" applyFont="1" applyFill="1" applyAlignment="1">
      <alignment horizontal="right"/>
    </xf>
    <xf numFmtId="172" fontId="83" fillId="2" borderId="0" xfId="0" applyNumberFormat="1" applyFont="1" applyFill="1" applyAlignment="1">
      <alignment horizontal="right"/>
    </xf>
    <xf numFmtId="164" fontId="83" fillId="7" borderId="0" xfId="0" applyNumberFormat="1" applyFont="1" applyFill="1" applyAlignment="1">
      <alignment horizontal="right"/>
    </xf>
    <xf numFmtId="172" fontId="83" fillId="7" borderId="0" xfId="0" applyNumberFormat="1" applyFont="1" applyFill="1" applyAlignment="1">
      <alignment horizontal="right"/>
    </xf>
    <xf numFmtId="3" fontId="83" fillId="2" borderId="0" xfId="0" applyNumberFormat="1" applyFont="1" applyFill="1" applyAlignment="1">
      <alignment horizontal="center"/>
    </xf>
    <xf numFmtId="0" fontId="84" fillId="2" borderId="0" xfId="0" applyFont="1" applyFill="1"/>
    <xf numFmtId="0" fontId="21" fillId="0" borderId="0" xfId="0" applyFont="1" applyAlignment="1">
      <alignment horizontal="center" vertical="top"/>
    </xf>
    <xf numFmtId="164" fontId="21" fillId="0" borderId="0" xfId="6" applyNumberFormat="1" applyFont="1" applyFill="1" applyBorder="1" applyAlignment="1">
      <alignment horizontal="center" vertical="top"/>
    </xf>
    <xf numFmtId="164" fontId="25" fillId="8" borderId="0" xfId="6" applyNumberFormat="1" applyFont="1" applyFill="1" applyBorder="1" applyAlignment="1">
      <alignment horizontal="center" vertical="top"/>
    </xf>
    <xf numFmtId="164" fontId="0" fillId="21" borderId="0" xfId="6" applyNumberFormat="1" applyFont="1" applyFill="1" applyBorder="1" applyAlignment="1">
      <alignment horizontal="left" vertical="top"/>
    </xf>
    <xf numFmtId="1" fontId="0" fillId="21" borderId="0" xfId="0" applyNumberFormat="1" applyFill="1" applyAlignment="1">
      <alignment horizontal="left" vertical="top"/>
    </xf>
    <xf numFmtId="0" fontId="26" fillId="0" borderId="0" xfId="0" applyFont="1" applyAlignment="1">
      <alignment vertical="top"/>
    </xf>
    <xf numFmtId="164" fontId="0" fillId="21" borderId="0" xfId="6" applyNumberFormat="1" applyFont="1" applyFill="1" applyBorder="1" applyAlignment="1">
      <alignment vertical="top"/>
    </xf>
    <xf numFmtId="0" fontId="26" fillId="21" borderId="0" xfId="0" applyFont="1" applyFill="1" applyAlignment="1">
      <alignment horizontal="left" vertical="top"/>
    </xf>
    <xf numFmtId="0" fontId="0" fillId="21" borderId="0" xfId="0" applyFill="1" applyAlignment="1">
      <alignment horizontal="left" vertical="top"/>
    </xf>
    <xf numFmtId="167" fontId="21" fillId="0" borderId="0" xfId="15" applyNumberFormat="1" applyFont="1" applyFill="1" applyBorder="1" applyAlignment="1">
      <alignment horizontal="left" vertical="top"/>
    </xf>
    <xf numFmtId="167" fontId="0" fillId="0" borderId="62" xfId="15" applyNumberFormat="1" applyFont="1" applyBorder="1"/>
    <xf numFmtId="167" fontId="0" fillId="0" borderId="0" xfId="15" applyNumberFormat="1" applyFont="1" applyAlignment="1">
      <alignment horizontal="left" vertical="top"/>
    </xf>
    <xf numFmtId="167" fontId="0" fillId="0" borderId="63" xfId="15" applyNumberFormat="1" applyFont="1" applyBorder="1"/>
    <xf numFmtId="0" fontId="0" fillId="2" borderId="0" xfId="0" applyFill="1" applyAlignment="1">
      <alignment horizontal="left" vertical="top"/>
    </xf>
    <xf numFmtId="0" fontId="25" fillId="2" borderId="0" xfId="0" applyFont="1" applyFill="1" applyAlignment="1">
      <alignment horizontal="center" vertical="top"/>
    </xf>
    <xf numFmtId="1" fontId="0" fillId="0" borderId="0" xfId="0" applyNumberFormat="1" applyAlignment="1">
      <alignment horizontal="left" vertical="top" indent="1"/>
    </xf>
    <xf numFmtId="1" fontId="35" fillId="0" borderId="0" xfId="0" applyNumberFormat="1" applyFont="1" applyAlignment="1">
      <alignment horizontal="left" vertical="top" indent="1"/>
    </xf>
    <xf numFmtId="178" fontId="5" fillId="0" borderId="0" xfId="0" applyNumberFormat="1" applyFont="1" applyAlignment="1">
      <alignment horizontal="left" vertical="top" indent="1"/>
    </xf>
    <xf numFmtId="0" fontId="5" fillId="3" borderId="0" xfId="0" applyFont="1" applyFill="1" applyAlignment="1">
      <alignment horizontal="left" vertical="top" indent="1"/>
    </xf>
    <xf numFmtId="0" fontId="10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 indent="1"/>
    </xf>
    <xf numFmtId="1" fontId="5" fillId="0" borderId="0" xfId="0" applyNumberFormat="1" applyFont="1" applyAlignment="1">
      <alignment horizontal="left" vertical="top" indent="1"/>
    </xf>
    <xf numFmtId="164" fontId="0" fillId="2" borderId="0" xfId="6" applyNumberFormat="1" applyFont="1" applyFill="1" applyBorder="1" applyAlignment="1">
      <alignment horizontal="left" vertical="top"/>
    </xf>
    <xf numFmtId="164" fontId="26" fillId="2" borderId="0" xfId="0" applyNumberFormat="1" applyFont="1" applyFill="1" applyAlignment="1">
      <alignment horizontal="left" vertical="top"/>
    </xf>
    <xf numFmtId="1" fontId="10" fillId="9" borderId="0" xfId="0" applyNumberFormat="1" applyFont="1" applyFill="1" applyAlignment="1">
      <alignment horizontal="left" vertical="top" indent="1"/>
    </xf>
    <xf numFmtId="164" fontId="35" fillId="0" borderId="0" xfId="6" applyNumberFormat="1" applyFont="1" applyFill="1" applyBorder="1" applyAlignment="1">
      <alignment horizontal="center" vertical="top"/>
    </xf>
    <xf numFmtId="0" fontId="11" fillId="2" borderId="0" xfId="37" applyFont="1" applyFill="1" applyAlignment="1" applyProtection="1">
      <alignment horizontal="left" vertical="center"/>
      <protection locked="0"/>
    </xf>
    <xf numFmtId="171" fontId="41" fillId="2" borderId="0" xfId="0" applyNumberFormat="1" applyFont="1" applyFill="1" applyAlignment="1">
      <alignment horizontal="center" vertical="top" wrapText="1"/>
    </xf>
    <xf numFmtId="171" fontId="41" fillId="2" borderId="47" xfId="0" applyNumberFormat="1" applyFont="1" applyFill="1" applyBorder="1" applyAlignment="1">
      <alignment horizontal="center" vertical="top" wrapText="1"/>
    </xf>
    <xf numFmtId="170" fontId="41" fillId="2" borderId="46" xfId="0" applyNumberFormat="1" applyFont="1" applyFill="1" applyBorder="1" applyAlignment="1">
      <alignment horizontal="center" vertical="top" wrapText="1"/>
    </xf>
    <xf numFmtId="171" fontId="41" fillId="2" borderId="46" xfId="0" applyNumberFormat="1" applyFont="1" applyFill="1" applyBorder="1" applyAlignment="1">
      <alignment horizontal="center" vertical="top" wrapText="1"/>
    </xf>
    <xf numFmtId="3" fontId="41" fillId="2" borderId="0" xfId="0" applyNumberFormat="1" applyFont="1" applyFill="1" applyAlignment="1">
      <alignment horizontal="center" vertical="top" wrapText="1"/>
    </xf>
    <xf numFmtId="3" fontId="41" fillId="2" borderId="46" xfId="0" applyNumberFormat="1" applyFont="1" applyFill="1" applyBorder="1" applyAlignment="1">
      <alignment horizontal="center" vertical="top" wrapText="1"/>
    </xf>
    <xf numFmtId="171" fontId="41" fillId="2" borderId="4" xfId="0" applyNumberFormat="1" applyFont="1" applyFill="1" applyBorder="1" applyAlignment="1">
      <alignment horizontal="center" vertical="top" wrapText="1"/>
    </xf>
    <xf numFmtId="172" fontId="41" fillId="2" borderId="0" xfId="7" applyNumberFormat="1" applyFont="1" applyFill="1" applyBorder="1" applyAlignment="1">
      <alignment horizontal="center" vertical="top" wrapText="1"/>
    </xf>
    <xf numFmtId="172" fontId="41" fillId="2" borderId="3" xfId="7" applyNumberFormat="1" applyFont="1" applyFill="1" applyBorder="1" applyAlignment="1">
      <alignment horizontal="center" vertical="top" wrapText="1"/>
    </xf>
    <xf numFmtId="171" fontId="36" fillId="2" borderId="0" xfId="0" applyNumberFormat="1" applyFont="1" applyFill="1" applyAlignment="1">
      <alignment horizontal="center" vertical="top" wrapText="1"/>
    </xf>
    <xf numFmtId="3" fontId="36" fillId="2" borderId="47" xfId="0" applyNumberFormat="1" applyFont="1" applyFill="1" applyBorder="1" applyAlignment="1">
      <alignment horizontal="center" vertical="top" wrapText="1"/>
    </xf>
    <xf numFmtId="180" fontId="86" fillId="0" borderId="35" xfId="0" applyNumberFormat="1" applyFont="1" applyBorder="1" applyAlignment="1">
      <alignment horizontal="centerContinuous" vertical="center"/>
    </xf>
    <xf numFmtId="10" fontId="10" fillId="0" borderId="35" xfId="0" applyNumberFormat="1" applyFont="1" applyBorder="1" applyAlignment="1">
      <alignment horizontal="centerContinuous" vertical="center"/>
    </xf>
    <xf numFmtId="0" fontId="64" fillId="0" borderId="35" xfId="0" applyFont="1" applyBorder="1" applyAlignment="1">
      <alignment horizontal="centerContinuous" vertical="center"/>
    </xf>
    <xf numFmtId="180" fontId="86" fillId="0" borderId="35" xfId="0" applyNumberFormat="1" applyFont="1" applyBorder="1"/>
    <xf numFmtId="10" fontId="86" fillId="0" borderId="35" xfId="0" applyNumberFormat="1" applyFont="1" applyBorder="1"/>
    <xf numFmtId="180" fontId="87" fillId="0" borderId="35" xfId="0" applyNumberFormat="1" applyFont="1" applyBorder="1"/>
    <xf numFmtId="10" fontId="87" fillId="0" borderId="35" xfId="0" applyNumberFormat="1" applyFont="1" applyBorder="1"/>
    <xf numFmtId="171" fontId="36" fillId="2" borderId="47" xfId="0" applyNumberFormat="1" applyFont="1" applyFill="1" applyBorder="1" applyAlignment="1">
      <alignment horizontal="center" vertical="top" wrapText="1"/>
    </xf>
    <xf numFmtId="171" fontId="36" fillId="2" borderId="49" xfId="0" applyNumberFormat="1" applyFont="1" applyFill="1" applyBorder="1" applyAlignment="1">
      <alignment horizontal="center" vertical="top" wrapText="1"/>
    </xf>
    <xf numFmtId="171" fontId="36" fillId="2" borderId="64" xfId="0" applyNumberFormat="1" applyFont="1" applyFill="1" applyBorder="1" applyAlignment="1">
      <alignment horizontal="center" vertical="top" wrapText="1"/>
    </xf>
    <xf numFmtId="0" fontId="36" fillId="2" borderId="0" xfId="0" applyFont="1" applyFill="1" applyAlignment="1">
      <alignment horizontal="center" vertical="top"/>
    </xf>
    <xf numFmtId="0" fontId="39" fillId="2" borderId="39" xfId="0" applyFont="1" applyFill="1" applyBorder="1" applyAlignment="1">
      <alignment horizontal="center" vertical="top" wrapText="1"/>
    </xf>
    <xf numFmtId="0" fontId="39" fillId="2" borderId="40" xfId="0" applyFont="1" applyFill="1" applyBorder="1" applyAlignment="1">
      <alignment horizontal="center" vertical="top" wrapText="1"/>
    </xf>
    <xf numFmtId="171" fontId="36" fillId="2" borderId="1" xfId="0" applyNumberFormat="1" applyFont="1" applyFill="1" applyBorder="1" applyAlignment="1">
      <alignment horizontal="center" vertical="top" wrapText="1"/>
    </xf>
    <xf numFmtId="171" fontId="36" fillId="2" borderId="0" xfId="0" applyNumberFormat="1" applyFont="1" applyFill="1" applyAlignment="1">
      <alignment horizontal="center" vertical="top"/>
    </xf>
    <xf numFmtId="41" fontId="19" fillId="19" borderId="14" xfId="32" applyNumberFormat="1" applyFont="1" applyFill="1" applyBorder="1" applyAlignment="1">
      <alignment vertical="center"/>
    </xf>
    <xf numFmtId="165" fontId="19" fillId="19" borderId="65" xfId="32" applyNumberFormat="1" applyFont="1" applyFill="1" applyBorder="1" applyAlignment="1">
      <alignment vertical="center"/>
    </xf>
    <xf numFmtId="164" fontId="21" fillId="19" borderId="0" xfId="6" applyNumberFormat="1" applyFont="1" applyFill="1" applyBorder="1" applyAlignment="1">
      <alignment horizontal="left" vertical="top"/>
    </xf>
    <xf numFmtId="165" fontId="19" fillId="19" borderId="14" xfId="32" applyNumberFormat="1" applyFont="1" applyFill="1" applyBorder="1" applyAlignment="1">
      <alignment vertical="center"/>
    </xf>
    <xf numFmtId="0" fontId="25" fillId="21" borderId="0" xfId="0" applyFont="1" applyFill="1" applyAlignment="1">
      <alignment horizontal="center" vertical="top"/>
    </xf>
    <xf numFmtId="164" fontId="21" fillId="30" borderId="0" xfId="6" applyNumberFormat="1" applyFont="1" applyFill="1" applyAlignment="1">
      <alignment horizontal="left" vertical="top"/>
    </xf>
    <xf numFmtId="165" fontId="21" fillId="27" borderId="59" xfId="0" applyNumberFormat="1" applyFont="1" applyFill="1" applyBorder="1" applyAlignment="1">
      <alignment horizontal="left" vertical="top"/>
    </xf>
    <xf numFmtId="164" fontId="21" fillId="21" borderId="0" xfId="6" applyNumberFormat="1" applyFont="1" applyFill="1" applyBorder="1" applyAlignment="1">
      <alignment horizontal="left" vertical="top"/>
    </xf>
    <xf numFmtId="0" fontId="35" fillId="21" borderId="0" xfId="0" applyFont="1" applyFill="1" applyAlignment="1">
      <alignment horizontal="left" vertical="top"/>
    </xf>
    <xf numFmtId="164" fontId="0" fillId="19" borderId="0" xfId="6" applyNumberFormat="1" applyFont="1" applyFill="1" applyBorder="1" applyAlignment="1">
      <alignment horizontal="left" vertical="top"/>
    </xf>
    <xf numFmtId="177" fontId="0" fillId="21" borderId="0" xfId="0" applyNumberFormat="1" applyFill="1" applyAlignment="1">
      <alignment horizontal="left" vertical="top"/>
    </xf>
    <xf numFmtId="164" fontId="26" fillId="21" borderId="0" xfId="6" applyNumberFormat="1" applyFont="1" applyFill="1" applyBorder="1" applyAlignment="1">
      <alignment horizontal="left" vertical="top"/>
    </xf>
    <xf numFmtId="164" fontId="10" fillId="21" borderId="0" xfId="6" applyNumberFormat="1" applyFont="1" applyFill="1"/>
    <xf numFmtId="1" fontId="26" fillId="21" borderId="0" xfId="0" applyNumberFormat="1" applyFont="1" applyFill="1" applyAlignment="1">
      <alignment horizontal="left" vertical="top"/>
    </xf>
    <xf numFmtId="164" fontId="10" fillId="21" borderId="30" xfId="6" applyNumberFormat="1" applyFont="1" applyFill="1" applyBorder="1" applyAlignment="1">
      <alignment horizontal="center"/>
    </xf>
    <xf numFmtId="164" fontId="0" fillId="21" borderId="30" xfId="6" applyNumberFormat="1" applyFont="1" applyFill="1" applyBorder="1" applyAlignment="1">
      <alignment horizontal="center"/>
    </xf>
    <xf numFmtId="17" fontId="29" fillId="0" borderId="66" xfId="0" applyNumberFormat="1" applyFont="1" applyBorder="1" applyAlignment="1">
      <alignment horizontal="center" vertical="center"/>
    </xf>
    <xf numFmtId="17" fontId="29" fillId="21" borderId="66" xfId="0" applyNumberFormat="1" applyFont="1" applyFill="1" applyBorder="1" applyAlignment="1">
      <alignment horizontal="center" vertical="center"/>
    </xf>
    <xf numFmtId="0" fontId="26" fillId="21" borderId="0" xfId="0" quotePrefix="1" applyFont="1" applyFill="1" applyAlignment="1">
      <alignment horizontal="right" vertical="top"/>
    </xf>
    <xf numFmtId="16" fontId="26" fillId="21" borderId="0" xfId="0" quotePrefix="1" applyNumberFormat="1" applyFont="1" applyFill="1" applyAlignment="1">
      <alignment horizontal="right" vertical="top"/>
    </xf>
    <xf numFmtId="164" fontId="0" fillId="21" borderId="0" xfId="0" applyNumberFormat="1" applyFill="1" applyAlignment="1">
      <alignment horizontal="left" vertical="top"/>
    </xf>
    <xf numFmtId="0" fontId="0" fillId="21" borderId="0" xfId="6" applyNumberFormat="1" applyFont="1" applyFill="1" applyBorder="1" applyAlignment="1">
      <alignment horizontal="left" vertical="top"/>
    </xf>
    <xf numFmtId="164" fontId="26" fillId="21" borderId="0" xfId="0" applyNumberFormat="1" applyFont="1" applyFill="1" applyAlignment="1">
      <alignment horizontal="left" vertical="top"/>
    </xf>
    <xf numFmtId="3" fontId="0" fillId="0" borderId="0" xfId="0" applyNumberFormat="1" applyAlignment="1">
      <alignment horizontal="left" vertical="top"/>
    </xf>
    <xf numFmtId="3" fontId="26" fillId="0" borderId="0" xfId="0" applyNumberFormat="1" applyFont="1" applyAlignment="1">
      <alignment horizontal="left" vertical="top"/>
    </xf>
    <xf numFmtId="165" fontId="5" fillId="0" borderId="0" xfId="37" applyNumberFormat="1" applyProtection="1">
      <protection locked="0"/>
    </xf>
    <xf numFmtId="165" fontId="43" fillId="0" borderId="0" xfId="37" applyNumberFormat="1" applyFont="1" applyProtection="1">
      <protection locked="0"/>
    </xf>
    <xf numFmtId="41" fontId="89" fillId="0" borderId="0" xfId="37" applyNumberFormat="1" applyFont="1" applyProtection="1">
      <protection locked="0"/>
    </xf>
    <xf numFmtId="0" fontId="41" fillId="2" borderId="0" xfId="0" applyFont="1" applyFill="1" applyAlignment="1">
      <alignment horizontal="center" vertical="top"/>
    </xf>
    <xf numFmtId="3" fontId="41" fillId="2" borderId="47" xfId="0" applyNumberFormat="1" applyFont="1" applyFill="1" applyBorder="1" applyAlignment="1">
      <alignment horizontal="center" vertical="top" wrapText="1"/>
    </xf>
    <xf numFmtId="0" fontId="41" fillId="18" borderId="0" xfId="0" applyFont="1" applyFill="1" applyAlignment="1">
      <alignment horizontal="center" vertical="top"/>
    </xf>
    <xf numFmtId="172" fontId="41" fillId="18" borderId="0" xfId="7" applyNumberFormat="1" applyFont="1" applyFill="1" applyBorder="1" applyAlignment="1">
      <alignment horizontal="center" vertical="top" wrapText="1"/>
    </xf>
    <xf numFmtId="171" fontId="41" fillId="18" borderId="4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44" fillId="0" borderId="0" xfId="37" applyFont="1" applyProtection="1">
      <protection locked="0"/>
    </xf>
    <xf numFmtId="0" fontId="43" fillId="0" borderId="0" xfId="37" applyFont="1" applyProtection="1">
      <protection locked="0"/>
    </xf>
    <xf numFmtId="170" fontId="41" fillId="9" borderId="46" xfId="0" applyNumberFormat="1" applyFont="1" applyFill="1" applyBorder="1" applyAlignment="1">
      <alignment horizontal="center" vertical="top" wrapText="1"/>
    </xf>
    <xf numFmtId="171" fontId="41" fillId="9" borderId="47" xfId="0" applyNumberFormat="1" applyFont="1" applyFill="1" applyBorder="1" applyAlignment="1">
      <alignment horizontal="center" vertical="top" wrapText="1"/>
    </xf>
    <xf numFmtId="171" fontId="41" fillId="9" borderId="0" xfId="0" applyNumberFormat="1" applyFont="1" applyFill="1" applyAlignment="1">
      <alignment horizontal="center" vertical="top" wrapText="1"/>
    </xf>
    <xf numFmtId="171" fontId="41" fillId="9" borderId="46" xfId="0" applyNumberFormat="1" applyFont="1" applyFill="1" applyBorder="1" applyAlignment="1">
      <alignment horizontal="center" vertical="top" wrapText="1"/>
    </xf>
    <xf numFmtId="3" fontId="41" fillId="9" borderId="0" xfId="0" applyNumberFormat="1" applyFont="1" applyFill="1" applyAlignment="1">
      <alignment horizontal="center" vertical="top" wrapText="1"/>
    </xf>
    <xf numFmtId="3" fontId="41" fillId="9" borderId="46" xfId="0" applyNumberFormat="1" applyFont="1" applyFill="1" applyBorder="1" applyAlignment="1">
      <alignment horizontal="center" vertical="top" wrapText="1"/>
    </xf>
    <xf numFmtId="171" fontId="41" fillId="9" borderId="4" xfId="0" applyNumberFormat="1" applyFont="1" applyFill="1" applyBorder="1" applyAlignment="1">
      <alignment horizontal="center" vertical="top" wrapText="1"/>
    </xf>
    <xf numFmtId="172" fontId="41" fillId="9" borderId="3" xfId="7" applyNumberFormat="1" applyFont="1" applyFill="1" applyBorder="1" applyAlignment="1">
      <alignment horizontal="center" vertical="top" wrapText="1"/>
    </xf>
    <xf numFmtId="174" fontId="41" fillId="9" borderId="0" xfId="0" applyNumberFormat="1" applyFont="1" applyFill="1" applyAlignment="1">
      <alignment horizontal="center" vertical="top" wrapText="1"/>
    </xf>
    <xf numFmtId="171" fontId="36" fillId="9" borderId="0" xfId="0" applyNumberFormat="1" applyFont="1" applyFill="1" applyAlignment="1">
      <alignment horizontal="center" vertical="top" wrapText="1"/>
    </xf>
    <xf numFmtId="3" fontId="41" fillId="9" borderId="47" xfId="0" applyNumberFormat="1" applyFont="1" applyFill="1" applyBorder="1" applyAlignment="1">
      <alignment horizontal="center" vertical="top" wrapText="1"/>
    </xf>
    <xf numFmtId="170" fontId="41" fillId="9" borderId="48" xfId="0" applyNumberFormat="1" applyFont="1" applyFill="1" applyBorder="1" applyAlignment="1">
      <alignment horizontal="center" vertical="top" wrapText="1"/>
    </xf>
    <xf numFmtId="171" fontId="41" fillId="9" borderId="49" xfId="0" applyNumberFormat="1" applyFont="1" applyFill="1" applyBorder="1" applyAlignment="1">
      <alignment horizontal="center" vertical="top" wrapText="1"/>
    </xf>
    <xf numFmtId="171" fontId="41" fillId="9" borderId="1" xfId="0" applyNumberFormat="1" applyFont="1" applyFill="1" applyBorder="1" applyAlignment="1">
      <alignment horizontal="center" vertical="top" wrapText="1"/>
    </xf>
    <xf numFmtId="171" fontId="41" fillId="9" borderId="48" xfId="0" applyNumberFormat="1" applyFont="1" applyFill="1" applyBorder="1" applyAlignment="1">
      <alignment horizontal="center" vertical="top" wrapText="1"/>
    </xf>
    <xf numFmtId="3" fontId="41" fillId="9" borderId="1" xfId="0" applyNumberFormat="1" applyFont="1" applyFill="1" applyBorder="1" applyAlignment="1">
      <alignment horizontal="center" vertical="top" wrapText="1"/>
    </xf>
    <xf numFmtId="3" fontId="41" fillId="9" borderId="48" xfId="0" applyNumberFormat="1" applyFont="1" applyFill="1" applyBorder="1" applyAlignment="1">
      <alignment horizontal="center" vertical="top" wrapText="1"/>
    </xf>
    <xf numFmtId="171" fontId="41" fillId="9" borderId="6" xfId="0" applyNumberFormat="1" applyFont="1" applyFill="1" applyBorder="1" applyAlignment="1">
      <alignment horizontal="center" vertical="top" wrapText="1"/>
    </xf>
    <xf numFmtId="171" fontId="41" fillId="9" borderId="5" xfId="0" applyNumberFormat="1" applyFont="1" applyFill="1" applyBorder="1" applyAlignment="1">
      <alignment horizontal="center" vertical="top" wrapText="1"/>
    </xf>
    <xf numFmtId="172" fontId="41" fillId="9" borderId="6" xfId="7" applyNumberFormat="1" applyFont="1" applyFill="1" applyBorder="1" applyAlignment="1">
      <alignment horizontal="center" vertical="top" wrapText="1"/>
    </xf>
    <xf numFmtId="171" fontId="41" fillId="9" borderId="64" xfId="0" applyNumberFormat="1" applyFont="1" applyFill="1" applyBorder="1" applyAlignment="1">
      <alignment horizontal="center" vertical="top" wrapText="1"/>
    </xf>
    <xf numFmtId="174" fontId="41" fillId="9" borderId="1" xfId="0" applyNumberFormat="1" applyFont="1" applyFill="1" applyBorder="1" applyAlignment="1">
      <alignment horizontal="center" vertical="top" wrapText="1"/>
    </xf>
    <xf numFmtId="171" fontId="36" fillId="9" borderId="1" xfId="0" applyNumberFormat="1" applyFont="1" applyFill="1" applyBorder="1" applyAlignment="1">
      <alignment horizontal="center" vertical="top" wrapText="1"/>
    </xf>
    <xf numFmtId="3" fontId="41" fillId="9" borderId="49" xfId="0" applyNumberFormat="1" applyFont="1" applyFill="1" applyBorder="1" applyAlignment="1">
      <alignment horizontal="center" vertical="top" wrapText="1"/>
    </xf>
    <xf numFmtId="171" fontId="41" fillId="0" borderId="0" xfId="0" applyNumberFormat="1" applyFont="1" applyAlignment="1">
      <alignment horizontal="center" vertical="top" wrapText="1"/>
    </xf>
    <xf numFmtId="0" fontId="41" fillId="22" borderId="0" xfId="0" applyFont="1" applyFill="1" applyAlignment="1">
      <alignment horizontal="center" vertical="top"/>
    </xf>
    <xf numFmtId="170" fontId="41" fillId="22" borderId="0" xfId="0" applyNumberFormat="1" applyFont="1" applyFill="1" applyAlignment="1">
      <alignment horizontal="center" vertical="top" wrapText="1"/>
    </xf>
    <xf numFmtId="171" fontId="41" fillId="22" borderId="47" xfId="0" applyNumberFormat="1" applyFont="1" applyFill="1" applyBorder="1" applyAlignment="1">
      <alignment horizontal="center" vertical="top" wrapText="1"/>
    </xf>
    <xf numFmtId="171" fontId="41" fillId="22" borderId="0" xfId="0" applyNumberFormat="1" applyFont="1" applyFill="1" applyAlignment="1">
      <alignment horizontal="center" vertical="top" wrapText="1"/>
    </xf>
    <xf numFmtId="171" fontId="41" fillId="22" borderId="46" xfId="0" applyNumberFormat="1" applyFont="1" applyFill="1" applyBorder="1" applyAlignment="1">
      <alignment horizontal="center" vertical="top" wrapText="1"/>
    </xf>
    <xf numFmtId="3" fontId="41" fillId="22" borderId="0" xfId="0" applyNumberFormat="1" applyFont="1" applyFill="1" applyAlignment="1">
      <alignment horizontal="center" vertical="top" wrapText="1"/>
    </xf>
    <xf numFmtId="3" fontId="41" fillId="22" borderId="46" xfId="0" applyNumberFormat="1" applyFont="1" applyFill="1" applyBorder="1" applyAlignment="1">
      <alignment horizontal="center" vertical="top" wrapText="1"/>
    </xf>
    <xf numFmtId="171" fontId="88" fillId="22" borderId="0" xfId="0" applyNumberFormat="1" applyFont="1" applyFill="1" applyAlignment="1">
      <alignment horizontal="center" vertical="top" wrapText="1"/>
    </xf>
    <xf numFmtId="171" fontId="41" fillId="22" borderId="4" xfId="0" applyNumberFormat="1" applyFont="1" applyFill="1" applyBorder="1" applyAlignment="1">
      <alignment horizontal="center" vertical="top" wrapText="1"/>
    </xf>
    <xf numFmtId="172" fontId="41" fillId="22" borderId="0" xfId="7" applyNumberFormat="1" applyFont="1" applyFill="1" applyBorder="1" applyAlignment="1">
      <alignment horizontal="center" vertical="top" wrapText="1"/>
    </xf>
    <xf numFmtId="172" fontId="41" fillId="22" borderId="3" xfId="7" applyNumberFormat="1" applyFont="1" applyFill="1" applyBorder="1" applyAlignment="1">
      <alignment horizontal="center" vertical="top" wrapText="1"/>
    </xf>
    <xf numFmtId="174" fontId="41" fillId="22" borderId="0" xfId="0" applyNumberFormat="1" applyFont="1" applyFill="1" applyAlignment="1">
      <alignment horizontal="center" vertical="top" wrapText="1"/>
    </xf>
    <xf numFmtId="171" fontId="36" fillId="22" borderId="0" xfId="0" applyNumberFormat="1" applyFont="1" applyFill="1" applyAlignment="1">
      <alignment horizontal="center" vertical="top" wrapText="1"/>
    </xf>
    <xf numFmtId="3" fontId="41" fillId="22" borderId="47" xfId="0" applyNumberFormat="1" applyFont="1" applyFill="1" applyBorder="1" applyAlignment="1">
      <alignment horizontal="center" vertical="top" wrapText="1"/>
    </xf>
    <xf numFmtId="1" fontId="41" fillId="22" borderId="0" xfId="15" applyNumberFormat="1" applyFont="1" applyFill="1" applyAlignment="1">
      <alignment horizontal="center" vertical="top"/>
    </xf>
    <xf numFmtId="0" fontId="41" fillId="22" borderId="0" xfId="15" applyNumberFormat="1" applyFont="1" applyFill="1" applyAlignment="1">
      <alignment horizontal="center" vertical="top"/>
    </xf>
    <xf numFmtId="0" fontId="37" fillId="22" borderId="39" xfId="0" applyFont="1" applyFill="1" applyBorder="1" applyAlignment="1">
      <alignment horizontal="center" wrapText="1"/>
    </xf>
    <xf numFmtId="0" fontId="38" fillId="22" borderId="40" xfId="0" applyFont="1" applyFill="1" applyBorder="1" applyAlignment="1">
      <alignment horizontal="center" wrapText="1"/>
    </xf>
    <xf numFmtId="0" fontId="38" fillId="22" borderId="41" xfId="0" applyFont="1" applyFill="1" applyBorder="1" applyAlignment="1">
      <alignment horizontal="center" wrapText="1"/>
    </xf>
    <xf numFmtId="0" fontId="37" fillId="22" borderId="40" xfId="0" applyFont="1" applyFill="1" applyBorder="1" applyAlignment="1">
      <alignment horizontal="center" wrapText="1"/>
    </xf>
    <xf numFmtId="0" fontId="36" fillId="22" borderId="0" xfId="0" applyFont="1" applyFill="1" applyAlignment="1">
      <alignment horizontal="center"/>
    </xf>
    <xf numFmtId="0" fontId="39" fillId="22" borderId="39" xfId="0" applyFont="1" applyFill="1" applyBorder="1" applyAlignment="1">
      <alignment horizontal="center" wrapText="1"/>
    </xf>
    <xf numFmtId="0" fontId="36" fillId="22" borderId="40" xfId="0" applyFont="1" applyFill="1" applyBorder="1" applyAlignment="1">
      <alignment horizontal="center" wrapText="1"/>
    </xf>
    <xf numFmtId="0" fontId="36" fillId="22" borderId="0" xfId="0" applyFont="1" applyFill="1" applyAlignment="1">
      <alignment horizontal="center" wrapText="1"/>
    </xf>
    <xf numFmtId="0" fontId="36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top"/>
    </xf>
    <xf numFmtId="0" fontId="36" fillId="0" borderId="0" xfId="0" applyFont="1" applyAlignment="1">
      <alignment horizontal="left" vertical="top"/>
    </xf>
    <xf numFmtId="0" fontId="11" fillId="0" borderId="0" xfId="37" applyFont="1" applyAlignment="1" applyProtection="1">
      <alignment horizontal="left" vertical="center"/>
      <protection locked="0"/>
    </xf>
    <xf numFmtId="0" fontId="11" fillId="0" borderId="0" xfId="37" applyFont="1" applyAlignment="1" applyProtection="1">
      <alignment horizontal="center" vertical="center"/>
      <protection locked="0"/>
    </xf>
    <xf numFmtId="0" fontId="42" fillId="0" borderId="0" xfId="37" applyFont="1" applyAlignment="1" applyProtection="1">
      <alignment vertical="center"/>
      <protection locked="0"/>
    </xf>
    <xf numFmtId="0" fontId="42" fillId="0" borderId="0" xfId="37" applyFont="1" applyAlignment="1" applyProtection="1">
      <alignment horizontal="left" vertical="center"/>
      <protection locked="0"/>
    </xf>
    <xf numFmtId="15" fontId="11" fillId="0" borderId="0" xfId="37" applyNumberFormat="1" applyFont="1" applyAlignment="1" applyProtection="1">
      <alignment horizontal="left" vertical="center"/>
      <protection locked="0"/>
    </xf>
    <xf numFmtId="0" fontId="11" fillId="0" borderId="35" xfId="37" applyFont="1" applyBorder="1" applyAlignment="1" applyProtection="1">
      <alignment horizontal="left" vertical="center"/>
      <protection locked="0"/>
    </xf>
    <xf numFmtId="0" fontId="42" fillId="0" borderId="35" xfId="37" applyFont="1" applyBorder="1" applyAlignment="1" applyProtection="1">
      <alignment horizontal="left" vertical="center"/>
      <protection locked="0"/>
    </xf>
    <xf numFmtId="15" fontId="11" fillId="0" borderId="35" xfId="37" applyNumberFormat="1" applyFont="1" applyBorder="1" applyAlignment="1" applyProtection="1">
      <alignment horizontal="left" vertical="center"/>
      <protection locked="0"/>
    </xf>
    <xf numFmtId="0" fontId="11" fillId="0" borderId="34" xfId="37" applyFont="1" applyBorder="1" applyAlignment="1" applyProtection="1">
      <alignment horizontal="center" vertical="center"/>
      <protection locked="0"/>
    </xf>
    <xf numFmtId="0" fontId="42" fillId="0" borderId="14" xfId="37" applyFont="1" applyBorder="1" applyAlignment="1" applyProtection="1">
      <alignment horizontal="center" vertical="center" wrapText="1"/>
      <protection locked="0"/>
    </xf>
    <xf numFmtId="0" fontId="11" fillId="0" borderId="35" xfId="37" applyFont="1" applyBorder="1" applyAlignment="1" applyProtection="1">
      <alignment horizontal="center" vertical="center" wrapText="1"/>
      <protection locked="0"/>
    </xf>
    <xf numFmtId="0" fontId="45" fillId="0" borderId="35" xfId="37" applyFont="1" applyBorder="1" applyAlignment="1" applyProtection="1">
      <alignment horizontal="center" wrapText="1"/>
      <protection locked="0"/>
    </xf>
    <xf numFmtId="0" fontId="45" fillId="0" borderId="35" xfId="37" applyFont="1" applyBorder="1" applyAlignment="1" applyProtection="1">
      <alignment horizontal="center" vertical="center" wrapText="1"/>
      <protection locked="0"/>
    </xf>
    <xf numFmtId="0" fontId="11" fillId="0" borderId="35" xfId="37" applyFont="1" applyBorder="1" applyAlignment="1" applyProtection="1">
      <alignment horizontal="left" vertical="center" wrapText="1"/>
      <protection locked="0"/>
    </xf>
    <xf numFmtId="41" fontId="42" fillId="0" borderId="14" xfId="37" applyNumberFormat="1" applyFont="1" applyBorder="1" applyAlignment="1" applyProtection="1">
      <alignment vertical="center"/>
      <protection locked="0"/>
    </xf>
    <xf numFmtId="41" fontId="42" fillId="0" borderId="35" xfId="37" applyNumberFormat="1" applyFont="1" applyBorder="1" applyAlignment="1" applyProtection="1">
      <alignment vertical="center"/>
      <protection locked="0"/>
    </xf>
    <xf numFmtId="41" fontId="46" fillId="0" borderId="35" xfId="37" applyNumberFormat="1" applyFont="1" applyBorder="1" applyAlignment="1" applyProtection="1">
      <alignment vertical="center"/>
      <protection locked="0"/>
    </xf>
    <xf numFmtId="0" fontId="42" fillId="0" borderId="35" xfId="37" applyFont="1" applyBorder="1" applyAlignment="1" applyProtection="1">
      <alignment horizontal="right" vertical="center"/>
      <protection locked="0"/>
    </xf>
    <xf numFmtId="0" fontId="42" fillId="0" borderId="35" xfId="37" applyFont="1" applyBorder="1" applyAlignment="1" applyProtection="1">
      <alignment horizontal="left" vertical="center" wrapText="1"/>
      <protection locked="0"/>
    </xf>
    <xf numFmtId="0" fontId="11" fillId="0" borderId="35" xfId="37" applyFont="1" applyBorder="1" applyAlignment="1" applyProtection="1">
      <alignment horizontal="right" vertical="center"/>
      <protection locked="0"/>
    </xf>
    <xf numFmtId="41" fontId="47" fillId="0" borderId="14" xfId="37" applyNumberFormat="1" applyFont="1" applyBorder="1" applyAlignment="1" applyProtection="1">
      <alignment vertical="center"/>
      <protection locked="0"/>
    </xf>
    <xf numFmtId="41" fontId="47" fillId="0" borderId="35" xfId="37" applyNumberFormat="1" applyFont="1" applyBorder="1" applyAlignment="1" applyProtection="1">
      <alignment vertical="center"/>
      <protection locked="0"/>
    </xf>
    <xf numFmtId="41" fontId="48" fillId="0" borderId="35" xfId="37" applyNumberFormat="1" applyFont="1" applyBorder="1" applyAlignment="1" applyProtection="1">
      <alignment vertical="center"/>
      <protection locked="0"/>
    </xf>
    <xf numFmtId="0" fontId="11" fillId="0" borderId="35" xfId="37" applyFont="1" applyBorder="1" applyAlignment="1" applyProtection="1">
      <alignment vertical="center"/>
      <protection locked="0"/>
    </xf>
    <xf numFmtId="41" fontId="49" fillId="0" borderId="35" xfId="37" applyNumberFormat="1" applyFont="1" applyBorder="1" applyAlignment="1" applyProtection="1">
      <alignment vertical="center"/>
      <protection locked="0"/>
    </xf>
    <xf numFmtId="41" fontId="50" fillId="0" borderId="35" xfId="37" applyNumberFormat="1" applyFont="1" applyBorder="1" applyAlignment="1" applyProtection="1">
      <alignment vertical="center"/>
      <protection locked="0"/>
    </xf>
    <xf numFmtId="9" fontId="47" fillId="0" borderId="14" xfId="38" applyFont="1" applyFill="1" applyBorder="1" applyAlignment="1" applyProtection="1">
      <alignment vertical="center"/>
      <protection locked="0"/>
    </xf>
    <xf numFmtId="9" fontId="3" fillId="0" borderId="35" xfId="38" applyFont="1" applyFill="1" applyBorder="1" applyAlignment="1" applyProtection="1">
      <alignment vertical="center"/>
      <protection locked="0"/>
    </xf>
    <xf numFmtId="9" fontId="42" fillId="0" borderId="35" xfId="7" applyFont="1" applyFill="1" applyBorder="1" applyAlignment="1" applyProtection="1">
      <alignment vertical="center"/>
      <protection locked="0"/>
    </xf>
    <xf numFmtId="9" fontId="51" fillId="0" borderId="35" xfId="7" applyFont="1" applyFill="1" applyBorder="1" applyAlignment="1" applyProtection="1">
      <alignment vertical="center"/>
      <protection locked="0"/>
    </xf>
    <xf numFmtId="0" fontId="5" fillId="0" borderId="0" xfId="37" applyAlignment="1" applyProtection="1">
      <alignment horizontal="center"/>
      <protection locked="0"/>
    </xf>
    <xf numFmtId="0" fontId="42" fillId="0" borderId="35" xfId="37" applyFont="1" applyBorder="1" applyAlignment="1" applyProtection="1">
      <alignment horizontal="left" vertical="center" wrapText="1" indent="1"/>
      <protection locked="0"/>
    </xf>
    <xf numFmtId="9" fontId="52" fillId="0" borderId="35" xfId="38" applyFont="1" applyFill="1" applyBorder="1" applyAlignment="1" applyProtection="1">
      <alignment vertical="center"/>
      <protection locked="0"/>
    </xf>
    <xf numFmtId="9" fontId="52" fillId="0" borderId="35" xfId="7" applyFont="1" applyFill="1" applyBorder="1" applyAlignment="1" applyProtection="1">
      <alignment vertical="center"/>
      <protection locked="0"/>
    </xf>
    <xf numFmtId="9" fontId="53" fillId="0" borderId="35" xfId="7" applyFont="1" applyFill="1" applyBorder="1" applyAlignment="1" applyProtection="1">
      <alignment vertical="center"/>
      <protection locked="0"/>
    </xf>
    <xf numFmtId="165" fontId="42" fillId="0" borderId="14" xfId="37" applyNumberFormat="1" applyFont="1" applyBorder="1" applyAlignment="1" applyProtection="1">
      <alignment vertical="center"/>
      <protection locked="0"/>
    </xf>
    <xf numFmtId="165" fontId="42" fillId="0" borderId="35" xfId="37" applyNumberFormat="1" applyFont="1" applyBorder="1" applyAlignment="1" applyProtection="1">
      <alignment vertical="center"/>
      <protection locked="0"/>
    </xf>
    <xf numFmtId="165" fontId="46" fillId="0" borderId="35" xfId="37" applyNumberFormat="1" applyFont="1" applyBorder="1" applyAlignment="1" applyProtection="1">
      <alignment vertical="center"/>
      <protection locked="0"/>
    </xf>
    <xf numFmtId="165" fontId="54" fillId="0" borderId="35" xfId="37" applyNumberFormat="1" applyFont="1" applyBorder="1" applyAlignment="1" applyProtection="1">
      <alignment vertical="center"/>
      <protection locked="0"/>
    </xf>
    <xf numFmtId="165" fontId="55" fillId="0" borderId="35" xfId="37" applyNumberFormat="1" applyFont="1" applyBorder="1" applyAlignment="1" applyProtection="1">
      <alignment vertical="center"/>
      <protection locked="0"/>
    </xf>
    <xf numFmtId="165" fontId="47" fillId="0" borderId="14" xfId="37" applyNumberFormat="1" applyFont="1" applyBorder="1" applyAlignment="1" applyProtection="1">
      <alignment vertical="center"/>
      <protection locked="0"/>
    </xf>
    <xf numFmtId="165" fontId="56" fillId="0" borderId="35" xfId="37" applyNumberFormat="1" applyFont="1" applyBorder="1" applyAlignment="1" applyProtection="1">
      <alignment vertical="center"/>
      <protection locked="0"/>
    </xf>
    <xf numFmtId="165" fontId="57" fillId="0" borderId="35" xfId="37" applyNumberFormat="1" applyFont="1" applyBorder="1" applyAlignment="1" applyProtection="1">
      <alignment vertical="center"/>
      <protection locked="0"/>
    </xf>
    <xf numFmtId="0" fontId="58" fillId="0" borderId="14" xfId="37" applyFont="1" applyBorder="1" applyAlignment="1" applyProtection="1">
      <alignment horizontal="center" vertical="center" wrapText="1"/>
      <protection locked="0"/>
    </xf>
    <xf numFmtId="9" fontId="59" fillId="0" borderId="35" xfId="38" applyFont="1" applyFill="1" applyBorder="1" applyAlignment="1" applyProtection="1">
      <alignment horizontal="center" vertical="center"/>
      <protection locked="0"/>
    </xf>
    <xf numFmtId="9" fontId="60" fillId="0" borderId="35" xfId="38" applyFont="1" applyFill="1" applyBorder="1" applyAlignment="1" applyProtection="1">
      <alignment horizontal="center" vertical="center"/>
      <protection locked="0"/>
    </xf>
    <xf numFmtId="41" fontId="62" fillId="0" borderId="15" xfId="37" applyNumberFormat="1" applyFont="1" applyBorder="1" applyAlignment="1" applyProtection="1">
      <alignment vertical="center"/>
      <protection locked="0"/>
    </xf>
    <xf numFmtId="41" fontId="61" fillId="0" borderId="35" xfId="37" applyNumberFormat="1" applyFont="1" applyBorder="1" applyAlignment="1" applyProtection="1">
      <alignment vertical="center"/>
      <protection locked="0"/>
    </xf>
    <xf numFmtId="41" fontId="63" fillId="0" borderId="35" xfId="37" applyNumberFormat="1" applyFont="1" applyBorder="1" applyAlignment="1" applyProtection="1">
      <alignment vertical="center"/>
      <protection locked="0"/>
    </xf>
    <xf numFmtId="41" fontId="64" fillId="0" borderId="0" xfId="37" applyNumberFormat="1" applyFont="1" applyProtection="1">
      <protection locked="0"/>
    </xf>
    <xf numFmtId="0" fontId="11" fillId="0" borderId="0" xfId="37" applyFont="1" applyAlignment="1" applyProtection="1">
      <alignment horizontal="left" vertical="center" wrapText="1"/>
      <protection locked="0"/>
    </xf>
    <xf numFmtId="41" fontId="47" fillId="0" borderId="0" xfId="37" applyNumberFormat="1" applyFont="1" applyAlignment="1" applyProtection="1">
      <alignment vertical="center"/>
      <protection locked="0"/>
    </xf>
    <xf numFmtId="41" fontId="11" fillId="0" borderId="0" xfId="37" applyNumberFormat="1" applyFont="1" applyAlignment="1" applyProtection="1">
      <alignment vertical="center"/>
      <protection locked="0"/>
    </xf>
    <xf numFmtId="41" fontId="45" fillId="0" borderId="0" xfId="37" applyNumberFormat="1" applyFont="1" applyAlignment="1" applyProtection="1">
      <alignment vertical="center"/>
      <protection locked="0"/>
    </xf>
    <xf numFmtId="0" fontId="11" fillId="0" borderId="0" xfId="37" applyFont="1" applyAlignment="1" applyProtection="1">
      <alignment horizontal="left" wrapText="1"/>
      <protection locked="0"/>
    </xf>
    <xf numFmtId="41" fontId="47" fillId="0" borderId="0" xfId="37" applyNumberFormat="1" applyFont="1" applyProtection="1">
      <protection locked="0"/>
    </xf>
    <xf numFmtId="41" fontId="11" fillId="0" borderId="0" xfId="37" applyNumberFormat="1" applyFont="1" applyProtection="1">
      <protection locked="0"/>
    </xf>
    <xf numFmtId="41" fontId="65" fillId="0" borderId="9" xfId="37" applyNumberFormat="1" applyFont="1" applyBorder="1" applyProtection="1">
      <protection locked="0"/>
    </xf>
    <xf numFmtId="41" fontId="65" fillId="0" borderId="2" xfId="37" applyNumberFormat="1" applyFont="1" applyBorder="1" applyProtection="1">
      <protection locked="0"/>
    </xf>
    <xf numFmtId="41" fontId="65" fillId="0" borderId="10" xfId="37" applyNumberFormat="1" applyFont="1" applyBorder="1" applyProtection="1">
      <protection locked="0"/>
    </xf>
    <xf numFmtId="41" fontId="66" fillId="0" borderId="4" xfId="37" applyNumberFormat="1" applyFont="1" applyBorder="1" applyAlignment="1" applyProtection="1">
      <alignment vertical="center"/>
      <protection locked="0"/>
    </xf>
    <xf numFmtId="41" fontId="66" fillId="0" borderId="0" xfId="37" applyNumberFormat="1" applyFont="1" applyAlignment="1" applyProtection="1">
      <alignment vertical="center"/>
      <protection locked="0"/>
    </xf>
    <xf numFmtId="176" fontId="66" fillId="0" borderId="3" xfId="37" applyNumberFormat="1" applyFont="1" applyBorder="1" applyAlignment="1" applyProtection="1">
      <alignment horizontal="center" vertical="center"/>
      <protection locked="0"/>
    </xf>
    <xf numFmtId="41" fontId="66" fillId="0" borderId="5" xfId="37" applyNumberFormat="1" applyFont="1" applyBorder="1" applyAlignment="1" applyProtection="1">
      <alignment vertical="center"/>
      <protection locked="0"/>
    </xf>
    <xf numFmtId="41" fontId="66" fillId="0" borderId="1" xfId="37" applyNumberFormat="1" applyFont="1" applyBorder="1" applyAlignment="1" applyProtection="1">
      <alignment vertical="center"/>
      <protection locked="0"/>
    </xf>
    <xf numFmtId="176" fontId="66" fillId="0" borderId="6" xfId="37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top" wrapText="1"/>
    </xf>
    <xf numFmtId="41" fontId="0" fillId="0" borderId="0" xfId="0" applyNumberFormat="1" applyAlignment="1">
      <alignment horizontal="center" vertical="center"/>
    </xf>
    <xf numFmtId="9" fontId="0" fillId="0" borderId="0" xfId="7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36" fillId="0" borderId="37" xfId="0" applyFont="1" applyBorder="1" applyAlignment="1">
      <alignment horizontal="center" vertical="top"/>
    </xf>
    <xf numFmtId="0" fontId="39" fillId="0" borderId="40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6" fillId="22" borderId="39" xfId="0" applyFont="1" applyFill="1" applyBorder="1" applyAlignment="1">
      <alignment horizontal="center" wrapText="1"/>
    </xf>
    <xf numFmtId="0" fontId="36" fillId="22" borderId="40" xfId="0" applyFont="1" applyFill="1" applyBorder="1" applyAlignment="1">
      <alignment horizontal="center" wrapText="1"/>
    </xf>
    <xf numFmtId="0" fontId="39" fillId="22" borderId="40" xfId="0" applyFont="1" applyFill="1" applyBorder="1" applyAlignment="1">
      <alignment horizontal="center" wrapText="1"/>
    </xf>
    <xf numFmtId="0" fontId="36" fillId="22" borderId="0" xfId="0" applyFont="1" applyFill="1" applyAlignment="1">
      <alignment horizontal="center"/>
    </xf>
    <xf numFmtId="0" fontId="37" fillId="22" borderId="38" xfId="0" applyFont="1" applyFill="1" applyBorder="1" applyAlignment="1">
      <alignment horizontal="center" vertical="center" wrapText="1"/>
    </xf>
    <xf numFmtId="0" fontId="37" fillId="22" borderId="45" xfId="0" applyFont="1" applyFill="1" applyBorder="1" applyAlignment="1">
      <alignment horizontal="center" vertical="center" wrapText="1"/>
    </xf>
    <xf numFmtId="0" fontId="38" fillId="22" borderId="42" xfId="0" applyFont="1" applyFill="1" applyBorder="1" applyAlignment="1">
      <alignment horizontal="center" wrapText="1"/>
    </xf>
    <xf numFmtId="0" fontId="38" fillId="22" borderId="43" xfId="0" applyFont="1" applyFill="1" applyBorder="1" applyAlignment="1">
      <alignment horizontal="center" wrapText="1"/>
    </xf>
    <xf numFmtId="0" fontId="37" fillId="22" borderId="42" xfId="0" applyFont="1" applyFill="1" applyBorder="1" applyAlignment="1">
      <alignment horizontal="center" wrapText="1"/>
    </xf>
    <xf numFmtId="0" fontId="36" fillId="22" borderId="41" xfId="0" applyFont="1" applyFill="1" applyBorder="1" applyAlignment="1">
      <alignment horizontal="center" wrapText="1"/>
    </xf>
    <xf numFmtId="0" fontId="39" fillId="22" borderId="41" xfId="0" applyFont="1" applyFill="1" applyBorder="1" applyAlignment="1">
      <alignment horizontal="center" wrapText="1"/>
    </xf>
    <xf numFmtId="0" fontId="39" fillId="2" borderId="40" xfId="0" applyFont="1" applyFill="1" applyBorder="1" applyAlignment="1">
      <alignment horizontal="center" vertical="top" wrapText="1"/>
    </xf>
    <xf numFmtId="0" fontId="39" fillId="2" borderId="41" xfId="0" applyFont="1" applyFill="1" applyBorder="1" applyAlignment="1">
      <alignment horizontal="center" vertical="top" wrapText="1"/>
    </xf>
    <xf numFmtId="0" fontId="36" fillId="22" borderId="44" xfId="0" applyFont="1" applyFill="1" applyBorder="1" applyAlignment="1">
      <alignment horizontal="center" wrapText="1"/>
    </xf>
    <xf numFmtId="0" fontId="36" fillId="22" borderId="44" xfId="0" applyFont="1" applyFill="1" applyBorder="1" applyAlignment="1">
      <alignment horizontal="center"/>
    </xf>
    <xf numFmtId="0" fontId="36" fillId="2" borderId="37" xfId="0" applyFont="1" applyFill="1" applyBorder="1" applyAlignment="1">
      <alignment horizontal="center" vertical="top"/>
    </xf>
    <xf numFmtId="0" fontId="11" fillId="0" borderId="50" xfId="37" applyFont="1" applyBorder="1" applyAlignment="1" applyProtection="1">
      <alignment horizontal="left"/>
      <protection locked="0"/>
    </xf>
    <xf numFmtId="0" fontId="11" fillId="0" borderId="44" xfId="37" applyFont="1" applyBorder="1" applyAlignment="1" applyProtection="1">
      <alignment horizontal="left"/>
      <protection locked="0"/>
    </xf>
    <xf numFmtId="0" fontId="11" fillId="0" borderId="51" xfId="37" applyFont="1" applyBorder="1" applyAlignment="1" applyProtection="1">
      <alignment horizontal="left"/>
      <protection locked="0"/>
    </xf>
    <xf numFmtId="0" fontId="11" fillId="0" borderId="50" xfId="37" applyFont="1" applyBorder="1" applyAlignment="1" applyProtection="1">
      <alignment horizontal="right" vertical="center" wrapText="1"/>
      <protection locked="0"/>
    </xf>
    <xf numFmtId="0" fontId="11" fillId="0" borderId="44" xfId="37" applyFont="1" applyBorder="1" applyAlignment="1" applyProtection="1">
      <alignment horizontal="right" vertical="center" wrapText="1"/>
      <protection locked="0"/>
    </xf>
    <xf numFmtId="0" fontId="11" fillId="0" borderId="51" xfId="37" applyFont="1" applyBorder="1" applyAlignment="1" applyProtection="1">
      <alignment horizontal="right" vertical="center" wrapText="1"/>
      <protection locked="0"/>
    </xf>
    <xf numFmtId="0" fontId="61" fillId="0" borderId="50" xfId="37" applyFont="1" applyBorder="1" applyAlignment="1" applyProtection="1">
      <alignment horizontal="right" vertical="center" wrapText="1"/>
      <protection locked="0"/>
    </xf>
    <xf numFmtId="0" fontId="61" fillId="0" borderId="44" xfId="37" applyFont="1" applyBorder="1" applyAlignment="1" applyProtection="1">
      <alignment horizontal="right" vertical="center" wrapText="1"/>
      <protection locked="0"/>
    </xf>
    <xf numFmtId="0" fontId="61" fillId="0" borderId="51" xfId="37" applyFont="1" applyBorder="1" applyAlignment="1" applyProtection="1">
      <alignment horizontal="right" vertical="center" wrapText="1"/>
      <protection locked="0"/>
    </xf>
    <xf numFmtId="0" fontId="10" fillId="0" borderId="50" xfId="37" applyFont="1" applyBorder="1" applyAlignment="1" applyProtection="1">
      <alignment horizontal="center"/>
      <protection locked="0"/>
    </xf>
    <xf numFmtId="0" fontId="10" fillId="0" borderId="44" xfId="37" applyFont="1" applyBorder="1" applyAlignment="1" applyProtection="1">
      <alignment horizontal="center"/>
      <protection locked="0"/>
    </xf>
    <xf numFmtId="0" fontId="10" fillId="0" borderId="51" xfId="37" applyFont="1" applyBorder="1" applyAlignment="1" applyProtection="1">
      <alignment horizontal="center"/>
      <protection locked="0"/>
    </xf>
    <xf numFmtId="0" fontId="42" fillId="0" borderId="50" xfId="37" applyFont="1" applyBorder="1" applyAlignment="1" applyProtection="1">
      <alignment horizontal="center" vertical="center"/>
      <protection locked="0"/>
    </xf>
    <xf numFmtId="0" fontId="42" fillId="0" borderId="44" xfId="37" applyFont="1" applyBorder="1" applyAlignment="1" applyProtection="1">
      <alignment horizontal="center" vertical="center"/>
      <protection locked="0"/>
    </xf>
    <xf numFmtId="0" fontId="42" fillId="0" borderId="51" xfId="37" applyFont="1" applyBorder="1" applyAlignment="1" applyProtection="1">
      <alignment horizontal="center" vertical="center"/>
      <protection locked="0"/>
    </xf>
    <xf numFmtId="0" fontId="11" fillId="0" borderId="50" xfId="37" applyFont="1" applyBorder="1" applyAlignment="1" applyProtection="1">
      <alignment horizontal="center" vertical="center"/>
      <protection locked="0"/>
    </xf>
    <xf numFmtId="0" fontId="11" fillId="0" borderId="44" xfId="37" applyFont="1" applyBorder="1" applyAlignment="1" applyProtection="1">
      <alignment horizontal="center" vertical="center"/>
      <protection locked="0"/>
    </xf>
    <xf numFmtId="0" fontId="11" fillId="0" borderId="51" xfId="37" applyFont="1" applyBorder="1" applyAlignment="1" applyProtection="1">
      <alignment horizontal="center" vertical="center"/>
      <protection locked="0"/>
    </xf>
    <xf numFmtId="0" fontId="90" fillId="0" borderId="0" xfId="0" applyFont="1" applyAlignment="1">
      <alignment horizontal="center" vertical="center" wrapText="1"/>
    </xf>
    <xf numFmtId="0" fontId="43" fillId="0" borderId="0" xfId="37" applyFont="1" applyAlignment="1" applyProtection="1">
      <alignment horizontal="center"/>
      <protection locked="0"/>
    </xf>
    <xf numFmtId="0" fontId="10" fillId="0" borderId="1" xfId="37" applyFont="1" applyBorder="1" applyAlignment="1" applyProtection="1">
      <alignment horizontal="center"/>
      <protection locked="0"/>
    </xf>
    <xf numFmtId="0" fontId="10" fillId="0" borderId="0" xfId="37" applyFont="1" applyAlignment="1" applyProtection="1">
      <alignment horizontal="center"/>
      <protection locked="0"/>
    </xf>
    <xf numFmtId="0" fontId="11" fillId="25" borderId="50" xfId="37" applyFont="1" applyFill="1" applyBorder="1" applyAlignment="1" applyProtection="1">
      <alignment horizontal="left"/>
      <protection locked="0"/>
    </xf>
    <xf numFmtId="0" fontId="11" fillId="25" borderId="44" xfId="37" applyFont="1" applyFill="1" applyBorder="1" applyAlignment="1" applyProtection="1">
      <alignment horizontal="left"/>
      <protection locked="0"/>
    </xf>
    <xf numFmtId="0" fontId="11" fillId="25" borderId="51" xfId="37" applyFont="1" applyFill="1" applyBorder="1" applyAlignment="1" applyProtection="1">
      <alignment horizontal="left"/>
      <protection locked="0"/>
    </xf>
    <xf numFmtId="0" fontId="11" fillId="25" borderId="50" xfId="37" applyFont="1" applyFill="1" applyBorder="1" applyAlignment="1" applyProtection="1">
      <alignment horizontal="right" vertical="center" wrapText="1"/>
      <protection locked="0"/>
    </xf>
    <xf numFmtId="0" fontId="11" fillId="25" borderId="44" xfId="37" applyFont="1" applyFill="1" applyBorder="1" applyAlignment="1" applyProtection="1">
      <alignment horizontal="right" vertical="center" wrapText="1"/>
      <protection locked="0"/>
    </xf>
    <xf numFmtId="0" fontId="11" fillId="25" borderId="51" xfId="37" applyFont="1" applyFill="1" applyBorder="1" applyAlignment="1" applyProtection="1">
      <alignment horizontal="right" vertical="center" wrapText="1"/>
      <protection locked="0"/>
    </xf>
    <xf numFmtId="0" fontId="61" fillId="25" borderId="50" xfId="37" applyFont="1" applyFill="1" applyBorder="1" applyAlignment="1" applyProtection="1">
      <alignment horizontal="right" vertical="center" wrapText="1"/>
      <protection locked="0"/>
    </xf>
    <xf numFmtId="0" fontId="61" fillId="25" borderId="44" xfId="37" applyFont="1" applyFill="1" applyBorder="1" applyAlignment="1" applyProtection="1">
      <alignment horizontal="right" vertical="center" wrapText="1"/>
      <protection locked="0"/>
    </xf>
    <xf numFmtId="0" fontId="61" fillId="25" borderId="51" xfId="37" applyFont="1" applyFill="1" applyBorder="1" applyAlignment="1" applyProtection="1">
      <alignment horizontal="right" vertical="center" wrapText="1"/>
      <protection locked="0"/>
    </xf>
    <xf numFmtId="0" fontId="11" fillId="20" borderId="50" xfId="37" applyFont="1" applyFill="1" applyBorder="1" applyAlignment="1" applyProtection="1">
      <alignment horizontal="right" vertical="center" wrapText="1"/>
      <protection locked="0"/>
    </xf>
    <xf numFmtId="0" fontId="11" fillId="20" borderId="44" xfId="37" applyFont="1" applyFill="1" applyBorder="1" applyAlignment="1" applyProtection="1">
      <alignment horizontal="right" vertical="center" wrapText="1"/>
      <protection locked="0"/>
    </xf>
    <xf numFmtId="0" fontId="11" fillId="20" borderId="51" xfId="37" applyFont="1" applyFill="1" applyBorder="1" applyAlignment="1" applyProtection="1">
      <alignment horizontal="right" vertical="center" wrapText="1"/>
      <protection locked="0"/>
    </xf>
    <xf numFmtId="0" fontId="42" fillId="20" borderId="50" xfId="37" applyFont="1" applyFill="1" applyBorder="1" applyAlignment="1" applyProtection="1">
      <alignment horizontal="center" vertical="center"/>
      <protection locked="0"/>
    </xf>
    <xf numFmtId="0" fontId="42" fillId="20" borderId="44" xfId="37" applyFont="1" applyFill="1" applyBorder="1" applyAlignment="1" applyProtection="1">
      <alignment horizontal="center" vertical="center"/>
      <protection locked="0"/>
    </xf>
    <xf numFmtId="0" fontId="42" fillId="20" borderId="51" xfId="37" applyFont="1" applyFill="1" applyBorder="1" applyAlignment="1" applyProtection="1">
      <alignment horizontal="center" vertical="center"/>
      <protection locked="0"/>
    </xf>
    <xf numFmtId="0" fontId="11" fillId="23" borderId="50" xfId="37" applyFont="1" applyFill="1" applyBorder="1" applyAlignment="1" applyProtection="1">
      <alignment horizontal="center" vertical="center"/>
      <protection locked="0"/>
    </xf>
    <xf numFmtId="0" fontId="11" fillId="23" borderId="44" xfId="37" applyFont="1" applyFill="1" applyBorder="1" applyAlignment="1" applyProtection="1">
      <alignment horizontal="center" vertical="center"/>
      <protection locked="0"/>
    </xf>
    <xf numFmtId="0" fontId="11" fillId="23" borderId="51" xfId="37" applyFont="1" applyFill="1" applyBorder="1" applyAlignment="1" applyProtection="1">
      <alignment horizontal="center" vertical="center"/>
      <protection locked="0"/>
    </xf>
    <xf numFmtId="0" fontId="11" fillId="24" borderId="50" xfId="37" applyFont="1" applyFill="1" applyBorder="1" applyAlignment="1" applyProtection="1">
      <alignment horizontal="right" vertical="center" wrapText="1"/>
      <protection locked="0"/>
    </xf>
    <xf numFmtId="0" fontId="11" fillId="24" borderId="44" xfId="37" applyFont="1" applyFill="1" applyBorder="1" applyAlignment="1" applyProtection="1">
      <alignment horizontal="right" vertical="center" wrapText="1"/>
      <protection locked="0"/>
    </xf>
    <xf numFmtId="0" fontId="11" fillId="24" borderId="51" xfId="37" applyFont="1" applyFill="1" applyBorder="1" applyAlignment="1" applyProtection="1">
      <alignment horizontal="right" vertical="center" wrapText="1"/>
      <protection locked="0"/>
    </xf>
    <xf numFmtId="0" fontId="11" fillId="24" borderId="50" xfId="37" applyFont="1" applyFill="1" applyBorder="1" applyAlignment="1" applyProtection="1">
      <alignment horizontal="center" vertical="center"/>
      <protection locked="0"/>
    </xf>
    <xf numFmtId="0" fontId="11" fillId="24" borderId="44" xfId="37" applyFont="1" applyFill="1" applyBorder="1" applyAlignment="1" applyProtection="1">
      <alignment horizontal="center" vertical="center"/>
      <protection locked="0"/>
    </xf>
    <xf numFmtId="0" fontId="11" fillId="24" borderId="51" xfId="37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0" fontId="70" fillId="26" borderId="1" xfId="0" quotePrefix="1" applyFont="1" applyFill="1" applyBorder="1" applyAlignment="1">
      <alignment horizontal="center"/>
    </xf>
    <xf numFmtId="0" fontId="70" fillId="26" borderId="1" xfId="0" applyFont="1" applyFill="1" applyBorder="1" applyAlignment="1">
      <alignment horizontal="center"/>
    </xf>
    <xf numFmtId="0" fontId="71" fillId="26" borderId="1" xfId="0" applyFont="1" applyFill="1" applyBorder="1" applyAlignment="1">
      <alignment horizontal="center"/>
    </xf>
    <xf numFmtId="0" fontId="70" fillId="26" borderId="44" xfId="0" quotePrefix="1" applyFont="1" applyFill="1" applyBorder="1" applyAlignment="1">
      <alignment horizontal="center"/>
    </xf>
    <xf numFmtId="0" fontId="71" fillId="26" borderId="44" xfId="0" quotePrefix="1" applyFont="1" applyFill="1" applyBorder="1" applyAlignment="1">
      <alignment horizontal="center"/>
    </xf>
    <xf numFmtId="0" fontId="71" fillId="26" borderId="0" xfId="0" applyFont="1" applyFill="1" applyAlignment="1">
      <alignment horizontal="center"/>
    </xf>
    <xf numFmtId="0" fontId="70" fillId="26" borderId="0" xfId="0" applyFont="1" applyFill="1" applyAlignment="1">
      <alignment horizontal="center"/>
    </xf>
    <xf numFmtId="0" fontId="70" fillId="26" borderId="56" xfId="0" quotePrefix="1" applyFont="1" applyFill="1" applyBorder="1" applyAlignment="1">
      <alignment horizontal="center"/>
    </xf>
    <xf numFmtId="0" fontId="71" fillId="26" borderId="1" xfId="0" applyFont="1" applyFill="1" applyBorder="1" applyAlignment="1">
      <alignment horizontal="center" wrapText="1"/>
    </xf>
    <xf numFmtId="0" fontId="71" fillId="26" borderId="1" xfId="0" quotePrefix="1" applyFont="1" applyFill="1" applyBorder="1" applyAlignment="1">
      <alignment horizontal="center"/>
    </xf>
    <xf numFmtId="0" fontId="67" fillId="6" borderId="0" xfId="0" applyFont="1" applyFill="1" applyAlignment="1">
      <alignment horizontal="center"/>
    </xf>
    <xf numFmtId="0" fontId="67" fillId="6" borderId="0" xfId="0" quotePrefix="1" applyFont="1" applyFill="1" applyAlignment="1">
      <alignment horizontal="center"/>
    </xf>
    <xf numFmtId="0" fontId="70" fillId="26" borderId="52" xfId="0" applyFont="1" applyFill="1" applyBorder="1" applyAlignment="1">
      <alignment horizontal="center" vertical="center" wrapText="1"/>
    </xf>
    <xf numFmtId="0" fontId="70" fillId="26" borderId="54" xfId="0" applyFont="1" applyFill="1" applyBorder="1" applyAlignment="1">
      <alignment horizontal="center" vertical="center" wrapText="1"/>
    </xf>
    <xf numFmtId="0" fontId="70" fillId="26" borderId="57" xfId="0" applyFont="1" applyFill="1" applyBorder="1" applyAlignment="1">
      <alignment horizontal="center" vertical="center" wrapText="1"/>
    </xf>
    <xf numFmtId="0" fontId="70" fillId="26" borderId="53" xfId="0" applyFont="1" applyFill="1" applyBorder="1" applyAlignment="1">
      <alignment horizontal="center"/>
    </xf>
    <xf numFmtId="0" fontId="70" fillId="26" borderId="2" xfId="0" applyFont="1" applyFill="1" applyBorder="1" applyAlignment="1">
      <alignment horizontal="center"/>
    </xf>
    <xf numFmtId="0" fontId="70" fillId="26" borderId="2" xfId="0" applyFont="1" applyFill="1" applyBorder="1" applyAlignment="1">
      <alignment horizontal="center" wrapText="1"/>
    </xf>
    <xf numFmtId="0" fontId="70" fillId="26" borderId="55" xfId="0" applyFont="1" applyFill="1" applyBorder="1" applyAlignment="1">
      <alignment horizontal="center"/>
    </xf>
    <xf numFmtId="0" fontId="71" fillId="26" borderId="0" xfId="0" applyFont="1" applyFill="1" applyAlignment="1">
      <alignment horizontal="center" wrapText="1"/>
    </xf>
    <xf numFmtId="0" fontId="20" fillId="4" borderId="23" xfId="14" applyFont="1" applyFill="1" applyBorder="1" applyAlignment="1">
      <alignment horizontal="center" vertical="center"/>
    </xf>
    <xf numFmtId="0" fontId="20" fillId="4" borderId="33" xfId="14" applyFont="1" applyFill="1" applyBorder="1" applyAlignment="1">
      <alignment horizontal="center" vertical="center"/>
    </xf>
    <xf numFmtId="0" fontId="20" fillId="4" borderId="24" xfId="14" applyFont="1" applyFill="1" applyBorder="1" applyAlignment="1">
      <alignment horizontal="center" vertical="center"/>
    </xf>
    <xf numFmtId="0" fontId="27" fillId="6" borderId="28" xfId="0" applyFont="1" applyFill="1" applyBorder="1" applyAlignment="1">
      <alignment horizontal="left" vertical="center" wrapText="1"/>
    </xf>
    <xf numFmtId="0" fontId="27" fillId="6" borderId="36" xfId="0" applyFont="1" applyFill="1" applyBorder="1" applyAlignment="1">
      <alignment horizontal="left" vertical="center"/>
    </xf>
    <xf numFmtId="0" fontId="0" fillId="8" borderId="31" xfId="0" applyFill="1" applyBorder="1" applyAlignment="1">
      <alignment horizontal="left"/>
    </xf>
    <xf numFmtId="0" fontId="0" fillId="8" borderId="32" xfId="0" applyFill="1" applyBorder="1" applyAlignment="1">
      <alignment horizontal="left"/>
    </xf>
    <xf numFmtId="2" fontId="93" fillId="0" borderId="0" xfId="18" applyNumberFormat="1" applyFont="1" applyAlignment="1">
      <alignment horizontal="center"/>
    </xf>
    <xf numFmtId="17" fontId="13" fillId="0" borderId="0" xfId="39" applyNumberFormat="1" applyFont="1" applyBorder="1" applyAlignment="1">
      <alignment horizontal="center"/>
    </xf>
    <xf numFmtId="17" fontId="13" fillId="0" borderId="0" xfId="39" applyNumberFormat="1" applyFont="1" applyFill="1" applyBorder="1" applyAlignment="1">
      <alignment horizontal="center"/>
    </xf>
  </cellXfs>
  <cellStyles count="49">
    <cellStyle name="1_dms_Financial" xfId="25" xr:uid="{90A32394-D76C-4E1D-AAA4-2762D707A004}"/>
    <cellStyle name="1_dms_Financial 2" xfId="27" xr:uid="{1FA95F8F-4C4D-454E-A26E-48797D990996}"/>
    <cellStyle name="1_dms_Financial 2 2" xfId="34" xr:uid="{E651130C-A371-4D1C-9913-717A711EF1D8}"/>
    <cellStyle name="1_dms_Financial 3" xfId="33" xr:uid="{D0ACBBCE-4997-446A-8F13-E5B3F037FA73}"/>
    <cellStyle name="Comma" xfId="6" builtinId="3"/>
    <cellStyle name="Comma 2" xfId="1" xr:uid="{00000000-0005-0000-0000-000001000000}"/>
    <cellStyle name="Comma 3" xfId="4" xr:uid="{00000000-0005-0000-0000-000002000000}"/>
    <cellStyle name="Comma 4" xfId="24" xr:uid="{31BBFFD8-9E9F-4BBD-BB0D-45E689BADA02}"/>
    <cellStyle name="Comma 5" xfId="30" xr:uid="{745E4CC0-9404-41D1-8915-C97C92E06FB2}"/>
    <cellStyle name="Comma 6" xfId="44" xr:uid="{8DBA3541-33AA-4E15-979D-4EBA4C4EBC2C}"/>
    <cellStyle name="Comma 7" xfId="47" xr:uid="{12B48F43-F1F8-4D25-ABFA-ABF2F3FF7031}"/>
    <cellStyle name="Currency" xfId="15" builtinId="4"/>
    <cellStyle name="Currency 2" xfId="26" xr:uid="{E91D968E-2AFA-4315-8984-6AEA990AB980}"/>
    <cellStyle name="Currency 3" xfId="31" xr:uid="{D930538E-B1D4-4DEF-B290-154EB18F6E8B}"/>
    <cellStyle name="dms_Blue_HDR 2" xfId="17" xr:uid="{8B78C332-7898-4693-BE8E-CBF8E1F0668C}"/>
    <cellStyle name="Normal" xfId="0" builtinId="0" customBuiltin="1"/>
    <cellStyle name="Normal 10" xfId="19" xr:uid="{9D6F758D-5149-4292-8FB6-F82A59DF805D}"/>
    <cellStyle name="Normal 10 2" xfId="39" xr:uid="{FEC40DC5-E86D-407D-83B2-7AEE4FF2D35F}"/>
    <cellStyle name="Normal 13" xfId="28" xr:uid="{72AF4423-6539-4B23-BBA5-98D667410099}"/>
    <cellStyle name="Normal 2" xfId="5" xr:uid="{00000000-0005-0000-0000-000004000000}"/>
    <cellStyle name="Normal 2 2" xfId="11" xr:uid="{00000000-0005-0000-0000-000005000000}"/>
    <cellStyle name="Normal 2 2 2" xfId="18" xr:uid="{D7BDB818-7522-44CE-801F-317EE815848E}"/>
    <cellStyle name="Normal 2 3" xfId="36" xr:uid="{32850B67-7E80-477E-AB6E-C38E7D8EE1AD}"/>
    <cellStyle name="Normal 2 4" xfId="37" xr:uid="{0395D773-014E-40D7-A653-457560FCDF8D}"/>
    <cellStyle name="Normal 3" xfId="9" xr:uid="{00000000-0005-0000-0000-000006000000}"/>
    <cellStyle name="Normal 3 2" xfId="42" xr:uid="{5616690E-E368-44F2-A0B6-11778FD01DC6}"/>
    <cellStyle name="Normal 4" xfId="13" xr:uid="{00000000-0005-0000-0000-000007000000}"/>
    <cellStyle name="Normal 4 2" xfId="22" xr:uid="{8EF82C53-4C20-420D-BA75-5420A3E8602A}"/>
    <cellStyle name="Normal 5" xfId="14" xr:uid="{AF5E165F-4C9E-4F0A-A6CB-1F1AD2BAF8F6}"/>
    <cellStyle name="Normal 5 2" xfId="32" xr:uid="{BB440882-DE3F-49DB-803A-7B6F7C705C9F}"/>
    <cellStyle name="Normal 6" xfId="20" xr:uid="{F4A2ED77-C7B9-458A-8908-07B93662BC78}"/>
    <cellStyle name="Normal 7" xfId="29" xr:uid="{CFBFC4F1-90D5-4104-BF5F-3E94B6BB408E}"/>
    <cellStyle name="Normal 8" xfId="41" xr:uid="{8B645362-2C39-49F7-92D4-D4814DC5380B}"/>
    <cellStyle name="Normal 9" xfId="46" xr:uid="{6CE6E2A4-D6CC-4A58-87B6-692662E7E8D1}"/>
    <cellStyle name="Normal_MVREGOQ" xfId="40" xr:uid="{967BE3EC-FE70-4411-8B27-6DA623028CE5}"/>
    <cellStyle name="Percent" xfId="7" builtinId="5"/>
    <cellStyle name="Percent 2" xfId="2" xr:uid="{00000000-0005-0000-0000-000009000000}"/>
    <cellStyle name="Percent 2 2" xfId="43" xr:uid="{59479BEE-A2FE-40D5-B58C-A87215761DC1}"/>
    <cellStyle name="Percent 3" xfId="3" xr:uid="{00000000-0005-0000-0000-00000A000000}"/>
    <cellStyle name="Percent 3 2" xfId="8" xr:uid="{00000000-0005-0000-0000-00000B000000}"/>
    <cellStyle name="Percent 3 3" xfId="12" xr:uid="{00000000-0005-0000-0000-00000C000000}"/>
    <cellStyle name="Percent 3 4" xfId="38" xr:uid="{F5B97704-D555-4C8B-830A-C33B1976A707}"/>
    <cellStyle name="Percent 4" xfId="10" xr:uid="{00000000-0005-0000-0000-00000D000000}"/>
    <cellStyle name="Percent 5" xfId="35" xr:uid="{EDB9A554-2207-4CAD-A839-B21C894E1B6E}"/>
    <cellStyle name="Percent 6" xfId="45" xr:uid="{D29AA86F-83CE-4006-9044-4F12CE7C7387}"/>
    <cellStyle name="Percent 7" xfId="48" xr:uid="{050308BC-BB28-451E-9D9E-4F046791401A}"/>
    <cellStyle name="RIN_TL3" xfId="16" xr:uid="{6D173536-49B1-41ED-A33D-C351C245A1BA}"/>
    <cellStyle name="TableLvl2" xfId="21" xr:uid="{46294F1F-5D7A-4457-B622-50F3AECBB4EE}"/>
    <cellStyle name="TableLvl3" xfId="23" xr:uid="{8181E1AC-7D12-4A1E-B08A-E2EAA2F49DEA}"/>
  </cellStyles>
  <dxfs count="0"/>
  <tableStyles count="0" defaultTableStyle="TableStyleMedium9" defaultPivotStyle="PivotStyleLight16"/>
  <colors>
    <mruColors>
      <color rgb="FF0000FF"/>
      <color rgb="FFFFFFCC"/>
      <color rgb="FFF68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Minor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EG'!$A$5</c:f>
              <c:strCache>
                <c:ptCount val="1"/>
                <c:pt idx="0">
                  <c:v>Minor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EG'!$B$5:$P$5</c:f>
              <c:numCache>
                <c:formatCode>_-* #,##0_-;\-* #,##0_-;_-* "-"??_-;_-@_-</c:formatCode>
                <c:ptCount val="15"/>
                <c:pt idx="0">
                  <c:v>15725.551566784896</c:v>
                </c:pt>
                <c:pt idx="1">
                  <c:v>16727.661515837022</c:v>
                </c:pt>
                <c:pt idx="2">
                  <c:v>13702.010872172214</c:v>
                </c:pt>
                <c:pt idx="3">
                  <c:v>13006.181798580843</c:v>
                </c:pt>
                <c:pt idx="4">
                  <c:v>14008.605950667074</c:v>
                </c:pt>
                <c:pt idx="5">
                  <c:v>16397.395980922331</c:v>
                </c:pt>
                <c:pt idx="6">
                  <c:v>15942.245815642573</c:v>
                </c:pt>
                <c:pt idx="7">
                  <c:v>21166.049734106651</c:v>
                </c:pt>
                <c:pt idx="8">
                  <c:v>20321.155330431233</c:v>
                </c:pt>
                <c:pt idx="9">
                  <c:v>19876.567483734136</c:v>
                </c:pt>
                <c:pt idx="10">
                  <c:v>22612.246845544883</c:v>
                </c:pt>
                <c:pt idx="11">
                  <c:v>21725.092433787206</c:v>
                </c:pt>
                <c:pt idx="12">
                  <c:v>19266.840544729366</c:v>
                </c:pt>
                <c:pt idx="13" formatCode="0">
                  <c:v>19934.972580937279</c:v>
                </c:pt>
                <c:pt idx="14" formatCode="#,##0">
                  <c:v>22056.90209121531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0-4671-B45C-ACBF8FE24015}"/>
            </c:ext>
          </c:extLst>
        </c:ser>
        <c:ser>
          <c:idx val="1"/>
          <c:order val="1"/>
          <c:tx>
            <c:strRef>
              <c:f>'Summary excl EG'!$A$26</c:f>
              <c:strCache>
                <c:ptCount val="1"/>
                <c:pt idx="0">
                  <c:v>Minor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EG'!$B$26:$P$26</c:f>
              <c:numCache>
                <c:formatCode>_-* #,##0_-;\-* #,##0_-;_-* "-"??_-;_-@_-</c:formatCode>
                <c:ptCount val="15"/>
                <c:pt idx="0">
                  <c:v>18349.815729271191</c:v>
                </c:pt>
                <c:pt idx="1">
                  <c:v>20920.111472097837</c:v>
                </c:pt>
                <c:pt idx="2">
                  <c:v>17513.113960865605</c:v>
                </c:pt>
                <c:pt idx="3">
                  <c:v>16559.582738640296</c:v>
                </c:pt>
                <c:pt idx="4">
                  <c:v>17063.035183107295</c:v>
                </c:pt>
                <c:pt idx="5">
                  <c:v>14095.575941829271</c:v>
                </c:pt>
                <c:pt idx="6">
                  <c:v>13409.542034996492</c:v>
                </c:pt>
                <c:pt idx="7">
                  <c:v>22784.493617036012</c:v>
                </c:pt>
                <c:pt idx="8">
                  <c:v>23102.998348842488</c:v>
                </c:pt>
                <c:pt idx="9">
                  <c:v>22701.102830995322</c:v>
                </c:pt>
                <c:pt idx="10">
                  <c:v>19116.243200438115</c:v>
                </c:pt>
                <c:pt idx="11">
                  <c:v>17684.000468871593</c:v>
                </c:pt>
                <c:pt idx="12">
                  <c:v>15381.403000000002</c:v>
                </c:pt>
                <c:pt idx="13" formatCode="0">
                  <c:v>22914.071853360485</c:v>
                </c:pt>
                <c:pt idx="14" formatCode="0">
                  <c:v>25312.115871978236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0-4671-B45C-ACBF8FE2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25976"/>
        <c:axId val="904226632"/>
      </c:lineChart>
      <c:catAx>
        <c:axId val="90422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6632"/>
        <c:crosses val="autoZero"/>
        <c:auto val="1"/>
        <c:lblAlgn val="ctr"/>
        <c:lblOffset val="100"/>
        <c:noMultiLvlLbl val="0"/>
      </c:catAx>
      <c:valAx>
        <c:axId val="90422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EG'!$A$77</c:f>
              <c:strCache>
                <c:ptCount val="1"/>
                <c:pt idx="0">
                  <c:v>TOTAL (RIN)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EG'!$B$77:$P$77</c:f>
              <c:numCache>
                <c:formatCode>_-* #,##0_-;\-* #,##0_-;_-* "-"??_-;_-@_-</c:formatCode>
                <c:ptCount val="15"/>
                <c:pt idx="0">
                  <c:v>-93002.778297227414</c:v>
                </c:pt>
                <c:pt idx="1">
                  <c:v>-117357.0235211918</c:v>
                </c:pt>
                <c:pt idx="2">
                  <c:v>-75849.81181831329</c:v>
                </c:pt>
                <c:pt idx="3">
                  <c:v>-49396.866922186447</c:v>
                </c:pt>
                <c:pt idx="4">
                  <c:v>-39987.514452622294</c:v>
                </c:pt>
                <c:pt idx="5">
                  <c:v>-47630.31740676357</c:v>
                </c:pt>
                <c:pt idx="6">
                  <c:v>-33996.190792059409</c:v>
                </c:pt>
                <c:pt idx="7">
                  <c:v>-26275.995535084345</c:v>
                </c:pt>
                <c:pt idx="8">
                  <c:v>-22543.960097796993</c:v>
                </c:pt>
                <c:pt idx="9">
                  <c:v>-23803.745773187653</c:v>
                </c:pt>
                <c:pt idx="10">
                  <c:v>-34966.180746129387</c:v>
                </c:pt>
                <c:pt idx="11">
                  <c:v>-32409.514025352961</c:v>
                </c:pt>
                <c:pt idx="12">
                  <c:v>-36645.430622214342</c:v>
                </c:pt>
                <c:pt idx="13">
                  <c:v>-37221.5</c:v>
                </c:pt>
                <c:pt idx="14">
                  <c:v>-35166.818839910542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D-4AD5-B3E6-1A1455E770FD}"/>
            </c:ext>
          </c:extLst>
        </c:ser>
        <c:ser>
          <c:idx val="1"/>
          <c:order val="1"/>
          <c:tx>
            <c:strRef>
              <c:f>'Summary excl EG'!$A$91</c:f>
              <c:strCache>
                <c:ptCount val="1"/>
                <c:pt idx="0">
                  <c:v>TOTAL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EG'!$B$91:$P$91</c:f>
              <c:numCache>
                <c:formatCode>_-* #,##0_-;\-* #,##0_-;_-* "-"??_-;_-@_-</c:formatCode>
                <c:ptCount val="15"/>
                <c:pt idx="0">
                  <c:v>-99452.538178493938</c:v>
                </c:pt>
                <c:pt idx="1">
                  <c:v>-121749.2873509364</c:v>
                </c:pt>
                <c:pt idx="2">
                  <c:v>-87860.035257620882</c:v>
                </c:pt>
                <c:pt idx="3">
                  <c:v>-56922.566264426103</c:v>
                </c:pt>
                <c:pt idx="4">
                  <c:v>-46299.857388579461</c:v>
                </c:pt>
                <c:pt idx="5">
                  <c:v>-55311.932619654835</c:v>
                </c:pt>
                <c:pt idx="6">
                  <c:v>-38882.640724725024</c:v>
                </c:pt>
                <c:pt idx="7">
                  <c:v>-35011.581274254379</c:v>
                </c:pt>
                <c:pt idx="8">
                  <c:v>-29192.692644600553</c:v>
                </c:pt>
                <c:pt idx="9">
                  <c:v>-30425.712380948564</c:v>
                </c:pt>
                <c:pt idx="10">
                  <c:v>-39816.222005500545</c:v>
                </c:pt>
                <c:pt idx="11">
                  <c:v>-35689.513343488972</c:v>
                </c:pt>
                <c:pt idx="12">
                  <c:v>-45642.71142</c:v>
                </c:pt>
                <c:pt idx="13">
                  <c:v>-46799.7</c:v>
                </c:pt>
                <c:pt idx="14">
                  <c:v>-45334.427380000008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3D-4AD5-B3E6-1A1455E77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84952"/>
        <c:axId val="512985280"/>
      </c:lineChart>
      <c:catAx>
        <c:axId val="51298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85280"/>
        <c:crosses val="autoZero"/>
        <c:auto val="1"/>
        <c:lblAlgn val="ctr"/>
        <c:lblOffset val="100"/>
        <c:noMultiLvlLbl val="0"/>
      </c:catAx>
      <c:valAx>
        <c:axId val="5129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8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Minor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EG'!$A$135</c:f>
              <c:strCache>
                <c:ptCount val="1"/>
                <c:pt idx="0">
                  <c:v>Minor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EG'!$B$135:$P$135</c:f>
              <c:numCache>
                <c:formatCode>_-* #,##0_-;\-* #,##0_-;_-* "-"??_-;_-@_-</c:formatCode>
                <c:ptCount val="15"/>
                <c:pt idx="0">
                  <c:v>12066.501356192577</c:v>
                </c:pt>
                <c:pt idx="1">
                  <c:v>13425.102564003048</c:v>
                </c:pt>
                <c:pt idx="2">
                  <c:v>10932.075164001646</c:v>
                </c:pt>
                <c:pt idx="3">
                  <c:v>10800.174661016872</c:v>
                </c:pt>
                <c:pt idx="4">
                  <c:v>12242.883550089777</c:v>
                </c:pt>
                <c:pt idx="5">
                  <c:v>14184.068231314537</c:v>
                </c:pt>
                <c:pt idx="6">
                  <c:v>13534.824629387582</c:v>
                </c:pt>
                <c:pt idx="7">
                  <c:v>15167.744482885775</c:v>
                </c:pt>
                <c:pt idx="8">
                  <c:v>15240.057698326804</c:v>
                </c:pt>
                <c:pt idx="9">
                  <c:v>16489.984959760211</c:v>
                </c:pt>
                <c:pt idx="10">
                  <c:v>16227.713443036402</c:v>
                </c:pt>
                <c:pt idx="11">
                  <c:v>14869.419881996761</c:v>
                </c:pt>
                <c:pt idx="12">
                  <c:v>14054.394043885279</c:v>
                </c:pt>
                <c:pt idx="13">
                  <c:v>15266.644219445985</c:v>
                </c:pt>
                <c:pt idx="14">
                  <c:v>17243.725441763207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8-4DB0-9884-32CD4F323F36}"/>
            </c:ext>
          </c:extLst>
        </c:ser>
        <c:ser>
          <c:idx val="1"/>
          <c:order val="1"/>
          <c:tx>
            <c:strRef>
              <c:f>'Summary excl EG'!$A$145</c:f>
              <c:strCache>
                <c:ptCount val="1"/>
                <c:pt idx="0">
                  <c:v>Minor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EG'!$B$145:$P$145</c:f>
              <c:numCache>
                <c:formatCode>_-* #,##0_-;\-* #,##0_-;_-* "-"??_-;_-@_-</c:formatCode>
                <c:ptCount val="15"/>
                <c:pt idx="0">
                  <c:v>14691.781187991837</c:v>
                </c:pt>
                <c:pt idx="1">
                  <c:v>17683.16887654785</c:v>
                </c:pt>
                <c:pt idx="2">
                  <c:v>14351.008835738972</c:v>
                </c:pt>
                <c:pt idx="3">
                  <c:v>14047.263245016897</c:v>
                </c:pt>
                <c:pt idx="4">
                  <c:v>15050.002605843234</c:v>
                </c:pt>
                <c:pt idx="5">
                  <c:v>11621.305325944959</c:v>
                </c:pt>
                <c:pt idx="6">
                  <c:v>10695.266003112567</c:v>
                </c:pt>
                <c:pt idx="7">
                  <c:v>17886.462921980608</c:v>
                </c:pt>
                <c:pt idx="8">
                  <c:v>17906.754304541533</c:v>
                </c:pt>
                <c:pt idx="9">
                  <c:v>18654.627216633264</c:v>
                </c:pt>
                <c:pt idx="10">
                  <c:v>15577.622202269442</c:v>
                </c:pt>
                <c:pt idx="11">
                  <c:v>14315.993347003889</c:v>
                </c:pt>
                <c:pt idx="12">
                  <c:v>9221.3764600000031</c:v>
                </c:pt>
                <c:pt idx="13">
                  <c:v>17322.671853360484</c:v>
                </c:pt>
                <c:pt idx="14">
                  <c:v>19554.542371978237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8-4DB0-9884-32CD4F32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76752"/>
        <c:axId val="512988560"/>
      </c:lineChart>
      <c:catAx>
        <c:axId val="5129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88560"/>
        <c:crosses val="autoZero"/>
        <c:auto val="1"/>
        <c:lblAlgn val="ctr"/>
        <c:lblOffset val="100"/>
        <c:noMultiLvlLbl val="0"/>
      </c:catAx>
      <c:valAx>
        <c:axId val="51298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Medium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EG'!$A$136</c:f>
              <c:strCache>
                <c:ptCount val="1"/>
                <c:pt idx="0">
                  <c:v>Medium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EG'!$B$136:$P$136</c:f>
              <c:numCache>
                <c:formatCode>_-* #,##0_-;\-* #,##0_-;_-* "-"??_-;_-@_-</c:formatCode>
                <c:ptCount val="15"/>
                <c:pt idx="0">
                  <c:v>6619.0728199934892</c:v>
                </c:pt>
                <c:pt idx="1">
                  <c:v>8886.4428442823337</c:v>
                </c:pt>
                <c:pt idx="2">
                  <c:v>6380.1109601301723</c:v>
                </c:pt>
                <c:pt idx="3">
                  <c:v>11464.853799414868</c:v>
                </c:pt>
                <c:pt idx="4">
                  <c:v>16173.382699052065</c:v>
                </c:pt>
                <c:pt idx="5">
                  <c:v>9311.8886560937317</c:v>
                </c:pt>
                <c:pt idx="6">
                  <c:v>12363.756174787641</c:v>
                </c:pt>
                <c:pt idx="7">
                  <c:v>12199.024470044824</c:v>
                </c:pt>
                <c:pt idx="8">
                  <c:v>14075.140226891383</c:v>
                </c:pt>
                <c:pt idx="9">
                  <c:v>21866.833625713596</c:v>
                </c:pt>
                <c:pt idx="10">
                  <c:v>20636.196027174119</c:v>
                </c:pt>
                <c:pt idx="11">
                  <c:v>16798.564919509041</c:v>
                </c:pt>
                <c:pt idx="12">
                  <c:v>8209.2263495019924</c:v>
                </c:pt>
                <c:pt idx="13">
                  <c:v>11730.117949349986</c:v>
                </c:pt>
                <c:pt idx="14">
                  <c:v>10401.569098132863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5-4F70-9741-4B581A7A578E}"/>
            </c:ext>
          </c:extLst>
        </c:ser>
        <c:ser>
          <c:idx val="1"/>
          <c:order val="1"/>
          <c:tx>
            <c:strRef>
              <c:f>'Summary excl EG'!$A$146</c:f>
              <c:strCache>
                <c:ptCount val="1"/>
                <c:pt idx="0">
                  <c:v>Medium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EG'!$B$146:$P$146</c:f>
              <c:numCache>
                <c:formatCode>_-* #,##0_-;\-* #,##0_-;_-* "-"??_-;_-@_-</c:formatCode>
                <c:ptCount val="15"/>
                <c:pt idx="0">
                  <c:v>-7680.2876031012165</c:v>
                </c:pt>
                <c:pt idx="1">
                  <c:v>4661.1153321129023</c:v>
                </c:pt>
                <c:pt idx="2">
                  <c:v>6279.814410330011</c:v>
                </c:pt>
                <c:pt idx="3">
                  <c:v>11524.707255446356</c:v>
                </c:pt>
                <c:pt idx="4">
                  <c:v>11630.33334294132</c:v>
                </c:pt>
                <c:pt idx="5">
                  <c:v>10009.861534913118</c:v>
                </c:pt>
                <c:pt idx="6">
                  <c:v>18331.728881710744</c:v>
                </c:pt>
                <c:pt idx="7">
                  <c:v>17431.200057139889</c:v>
                </c:pt>
                <c:pt idx="8">
                  <c:v>20436.714574098958</c:v>
                </c:pt>
                <c:pt idx="9">
                  <c:v>22635.059883607213</c:v>
                </c:pt>
                <c:pt idx="10">
                  <c:v>24204.939510460023</c:v>
                </c:pt>
                <c:pt idx="11">
                  <c:v>18913.417787101163</c:v>
                </c:pt>
                <c:pt idx="12">
                  <c:v>16997.008419999998</c:v>
                </c:pt>
                <c:pt idx="13">
                  <c:v>13204.359327902243</c:v>
                </c:pt>
                <c:pt idx="14">
                  <c:v>11714.704187127039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5-4F70-9741-4B581A7A5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60352"/>
        <c:axId val="512968224"/>
      </c:lineChart>
      <c:catAx>
        <c:axId val="5129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68224"/>
        <c:crosses val="autoZero"/>
        <c:auto val="1"/>
        <c:lblAlgn val="ctr"/>
        <c:lblOffset val="100"/>
        <c:noMultiLvlLbl val="0"/>
      </c:catAx>
      <c:valAx>
        <c:axId val="51296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6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Major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EG'!$A$137</c:f>
              <c:strCache>
                <c:ptCount val="1"/>
                <c:pt idx="0">
                  <c:v>Major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EG'!$B$137:$P$137</c:f>
              <c:numCache>
                <c:formatCode>_-* #,##0_-;\-* #,##0_-;_-* "-"??_-;_-@_-</c:formatCode>
                <c:ptCount val="15"/>
                <c:pt idx="0">
                  <c:v>3651.2149068209474</c:v>
                </c:pt>
                <c:pt idx="1">
                  <c:v>-13305.136414804132</c:v>
                </c:pt>
                <c:pt idx="2">
                  <c:v>-6071.3903454429019</c:v>
                </c:pt>
                <c:pt idx="3">
                  <c:v>10296.014641762333</c:v>
                </c:pt>
                <c:pt idx="4">
                  <c:v>11309.447759277806</c:v>
                </c:pt>
                <c:pt idx="5">
                  <c:v>7706.8637071810881</c:v>
                </c:pt>
                <c:pt idx="6">
                  <c:v>10445.119852766888</c:v>
                </c:pt>
                <c:pt idx="7">
                  <c:v>4448.134555020908</c:v>
                </c:pt>
                <c:pt idx="8">
                  <c:v>5301.9636746833385</c:v>
                </c:pt>
                <c:pt idx="9">
                  <c:v>5989.0634922472527</c:v>
                </c:pt>
                <c:pt idx="10">
                  <c:v>7134.6792238979615</c:v>
                </c:pt>
                <c:pt idx="11">
                  <c:v>5191.2860886165508</c:v>
                </c:pt>
                <c:pt idx="12">
                  <c:v>4674.2934916641352</c:v>
                </c:pt>
                <c:pt idx="13">
                  <c:v>1327.2444315280663</c:v>
                </c:pt>
                <c:pt idx="14">
                  <c:v>4474.3430109499641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4-4432-B0E3-35A14CE30C03}"/>
            </c:ext>
          </c:extLst>
        </c:ser>
        <c:ser>
          <c:idx val="1"/>
          <c:order val="1"/>
          <c:tx>
            <c:strRef>
              <c:f>'Summary excl EG'!$A$147</c:f>
              <c:strCache>
                <c:ptCount val="1"/>
                <c:pt idx="0">
                  <c:v>Major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EG'!$B$147:$P$147</c:f>
              <c:numCache>
                <c:formatCode>_-* #,##0_-;\-* #,##0_-;_-* "-"??_-;_-@_-</c:formatCode>
                <c:ptCount val="15"/>
                <c:pt idx="0">
                  <c:v>34390.816369627537</c:v>
                </c:pt>
                <c:pt idx="1">
                  <c:v>15927.997419155901</c:v>
                </c:pt>
                <c:pt idx="2">
                  <c:v>2990.4660710974713</c:v>
                </c:pt>
                <c:pt idx="3">
                  <c:v>20657.607650300066</c:v>
                </c:pt>
                <c:pt idx="4">
                  <c:v>19089.145488132031</c:v>
                </c:pt>
                <c:pt idx="5">
                  <c:v>13896.8745334706</c:v>
                </c:pt>
                <c:pt idx="6">
                  <c:v>17360.395840861216</c:v>
                </c:pt>
                <c:pt idx="7">
                  <c:v>10874.884363081721</c:v>
                </c:pt>
                <c:pt idx="8">
                  <c:v>7488.9424538810708</c:v>
                </c:pt>
                <c:pt idx="9">
                  <c:v>5147.0825376152352</c:v>
                </c:pt>
                <c:pt idx="10">
                  <c:v>7184.385787820378</c:v>
                </c:pt>
                <c:pt idx="11">
                  <c:v>4253.9067509079141</c:v>
                </c:pt>
                <c:pt idx="12">
                  <c:v>4616.7674499999994</c:v>
                </c:pt>
                <c:pt idx="13">
                  <c:v>32.966598778002663</c:v>
                </c:pt>
                <c:pt idx="14">
                  <c:v>3580.4274229376679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4-4432-B0E3-35A14CE3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78064"/>
        <c:axId val="512975440"/>
      </c:lineChart>
      <c:catAx>
        <c:axId val="5129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75440"/>
        <c:crosses val="autoZero"/>
        <c:auto val="1"/>
        <c:lblAlgn val="ctr"/>
        <c:lblOffset val="100"/>
        <c:noMultiLvlLbl val="0"/>
      </c:catAx>
      <c:valAx>
        <c:axId val="51297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7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URDs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EG'!$A$138</c:f>
              <c:strCache>
                <c:ptCount val="1"/>
                <c:pt idx="0">
                  <c:v>URDs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EG'!$B$138:$P$138</c:f>
              <c:numCache>
                <c:formatCode>_-* #,##0_-;\-* #,##0_-;_-* "-"??_-;_-@_-</c:formatCode>
                <c:ptCount val="15"/>
                <c:pt idx="0">
                  <c:v>749.97257945885212</c:v>
                </c:pt>
                <c:pt idx="1">
                  <c:v>-1065.767621468106</c:v>
                </c:pt>
                <c:pt idx="2">
                  <c:v>2532.6456183548921</c:v>
                </c:pt>
                <c:pt idx="3">
                  <c:v>-750.31085407949104</c:v>
                </c:pt>
                <c:pt idx="4">
                  <c:v>4281.4290992844963</c:v>
                </c:pt>
                <c:pt idx="5">
                  <c:v>2708.6779948384415</c:v>
                </c:pt>
                <c:pt idx="6">
                  <c:v>462.84759663387194</c:v>
                </c:pt>
                <c:pt idx="7">
                  <c:v>2177.2535255167845</c:v>
                </c:pt>
                <c:pt idx="8">
                  <c:v>4953.3149622878755</c:v>
                </c:pt>
                <c:pt idx="9">
                  <c:v>4048.7489997125231</c:v>
                </c:pt>
                <c:pt idx="10">
                  <c:v>5749.013880084739</c:v>
                </c:pt>
                <c:pt idx="11">
                  <c:v>5820.5140699073127</c:v>
                </c:pt>
                <c:pt idx="12">
                  <c:v>5278.5461544311293</c:v>
                </c:pt>
                <c:pt idx="13">
                  <c:v>7317.1747401230205</c:v>
                </c:pt>
                <c:pt idx="14">
                  <c:v>13964.342848496475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B-42BC-AA1B-035A9ED9EC38}"/>
            </c:ext>
          </c:extLst>
        </c:ser>
        <c:ser>
          <c:idx val="1"/>
          <c:order val="1"/>
          <c:tx>
            <c:strRef>
              <c:f>'Summary excl EG'!$A$148</c:f>
              <c:strCache>
                <c:ptCount val="1"/>
                <c:pt idx="0">
                  <c:v>URDs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EG'!$B$133:$P$133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EG'!$B$148:$P$148</c:f>
              <c:numCache>
                <c:formatCode>_-* #,##0_-;\-* #,##0_-;_-* "-"??_-;_-@_-</c:formatCode>
                <c:ptCount val="15"/>
                <c:pt idx="0">
                  <c:v>1554.3296820890664</c:v>
                </c:pt>
                <c:pt idx="1">
                  <c:v>-359.05760583750907</c:v>
                </c:pt>
                <c:pt idx="2">
                  <c:v>1631.3650721872609</c:v>
                </c:pt>
                <c:pt idx="3">
                  <c:v>-1560.8148993548393</c:v>
                </c:pt>
                <c:pt idx="4">
                  <c:v>4013.9179659242063</c:v>
                </c:pt>
                <c:pt idx="5">
                  <c:v>2020.6062675267794</c:v>
                </c:pt>
                <c:pt idx="6">
                  <c:v>114.46867890006797</c:v>
                </c:pt>
                <c:pt idx="7">
                  <c:v>1438.4168416066532</c:v>
                </c:pt>
                <c:pt idx="8">
                  <c:v>4309.272797253745</c:v>
                </c:pt>
                <c:pt idx="9">
                  <c:v>3079.0062239746158</c:v>
                </c:pt>
                <c:pt idx="10">
                  <c:v>5674.737109064622</c:v>
                </c:pt>
                <c:pt idx="11">
                  <c:v>4394.1494401102473</c:v>
                </c:pt>
                <c:pt idx="12">
                  <c:v>3999.6820900000021</c:v>
                </c:pt>
                <c:pt idx="13">
                  <c:v>6208.7632790224043</c:v>
                </c:pt>
                <c:pt idx="14">
                  <c:v>13003.565763006547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B-42BC-AA1B-035A9ED9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48808"/>
        <c:axId val="409850448"/>
      </c:lineChart>
      <c:catAx>
        <c:axId val="40984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50448"/>
        <c:crosses val="autoZero"/>
        <c:auto val="1"/>
        <c:lblAlgn val="ctr"/>
        <c:lblOffset val="100"/>
        <c:noMultiLvlLbl val="0"/>
      </c:catAx>
      <c:valAx>
        <c:axId val="4098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4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EG'!$A$140</c:f>
              <c:strCache>
                <c:ptCount val="1"/>
                <c:pt idx="0">
                  <c:v>TOTAL (RIN)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EG'!$D$133:$P$133</c:f>
              <c:strCache>
                <c:ptCount val="13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  <c:pt idx="6">
                  <c:v>16/17</c:v>
                </c:pt>
                <c:pt idx="7">
                  <c:v>17/18</c:v>
                </c:pt>
                <c:pt idx="8">
                  <c:v>18/19</c:v>
                </c:pt>
                <c:pt idx="9">
                  <c:v>19/20</c:v>
                </c:pt>
                <c:pt idx="10">
                  <c:v>20/21</c:v>
                </c:pt>
                <c:pt idx="11">
                  <c:v>21/22</c:v>
                </c:pt>
                <c:pt idx="12">
                  <c:v>22/23</c:v>
                </c:pt>
              </c:strCache>
            </c:strRef>
          </c:cat>
          <c:val>
            <c:numRef>
              <c:f>'Summary excl EG'!$D$140:$P$140</c:f>
              <c:numCache>
                <c:formatCode>_-* #,##0_-;\-* #,##0_-;_-* "-"??_-;_-@_-</c:formatCode>
                <c:ptCount val="13"/>
                <c:pt idx="0">
                  <c:v>13773.441397043809</c:v>
                </c:pt>
                <c:pt idx="1">
                  <c:v>31810.732248114582</c:v>
                </c:pt>
                <c:pt idx="2">
                  <c:v>44007.143107704142</c:v>
                </c:pt>
                <c:pt idx="3">
                  <c:v>33911.4985894278</c:v>
                </c:pt>
                <c:pt idx="4">
                  <c:v>36806.548253575987</c:v>
                </c:pt>
                <c:pt idx="5">
                  <c:v>33992.157033468291</c:v>
                </c:pt>
                <c:pt idx="6">
                  <c:v>39570.476562189397</c:v>
                </c:pt>
                <c:pt idx="7">
                  <c:v>48394.631077433587</c:v>
                </c:pt>
                <c:pt idx="8">
                  <c:v>49747.602574193224</c:v>
                </c:pt>
                <c:pt idx="9">
                  <c:v>42679.784960029661</c:v>
                </c:pt>
                <c:pt idx="10">
                  <c:v>32216.460039482536</c:v>
                </c:pt>
                <c:pt idx="11">
                  <c:v>35641.181340447059</c:v>
                </c:pt>
                <c:pt idx="12">
                  <c:v>46083.980399342508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33-42BE-89A5-60B5CBE02540}"/>
            </c:ext>
          </c:extLst>
        </c:ser>
        <c:ser>
          <c:idx val="1"/>
          <c:order val="1"/>
          <c:tx>
            <c:strRef>
              <c:f>'Summary excl EG'!$A$150</c:f>
              <c:strCache>
                <c:ptCount val="1"/>
                <c:pt idx="0">
                  <c:v>TOTAL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EG'!$D$133:$P$133</c:f>
              <c:strCache>
                <c:ptCount val="13"/>
                <c:pt idx="0">
                  <c:v>10/11</c:v>
                </c:pt>
                <c:pt idx="1">
                  <c:v>11/12</c:v>
                </c:pt>
                <c:pt idx="2">
                  <c:v>12/13</c:v>
                </c:pt>
                <c:pt idx="3">
                  <c:v>13/14</c:v>
                </c:pt>
                <c:pt idx="4">
                  <c:v>14/15</c:v>
                </c:pt>
                <c:pt idx="5">
                  <c:v>15/16</c:v>
                </c:pt>
                <c:pt idx="6">
                  <c:v>16/17</c:v>
                </c:pt>
                <c:pt idx="7">
                  <c:v>17/18</c:v>
                </c:pt>
                <c:pt idx="8">
                  <c:v>18/19</c:v>
                </c:pt>
                <c:pt idx="9">
                  <c:v>19/20</c:v>
                </c:pt>
                <c:pt idx="10">
                  <c:v>20/21</c:v>
                </c:pt>
                <c:pt idx="11">
                  <c:v>21/22</c:v>
                </c:pt>
                <c:pt idx="12">
                  <c:v>22/23</c:v>
                </c:pt>
              </c:strCache>
            </c:strRef>
          </c:cat>
          <c:val>
            <c:numRef>
              <c:f>'Summary excl EG'!$D$150:$P$150</c:f>
              <c:numCache>
                <c:formatCode>_-* #,##0_-;\-* #,##0_-;_-* "-"??_-;_-@_-</c:formatCode>
                <c:ptCount val="13"/>
                <c:pt idx="0">
                  <c:v>25252.654389353716</c:v>
                </c:pt>
                <c:pt idx="1">
                  <c:v>44668.763251408483</c:v>
                </c:pt>
                <c:pt idx="2">
                  <c:v>49783.399402840791</c:v>
                </c:pt>
                <c:pt idx="3">
                  <c:v>37548.647661855459</c:v>
                </c:pt>
                <c:pt idx="4">
                  <c:v>46501.859404584597</c:v>
                </c:pt>
                <c:pt idx="5">
                  <c:v>47630.964183808872</c:v>
                </c:pt>
                <c:pt idx="6">
                  <c:v>50141.684129775305</c:v>
                </c:pt>
                <c:pt idx="7">
                  <c:v>49515.775861830334</c:v>
                </c:pt>
                <c:pt idx="8">
                  <c:v>52641.684609614465</c:v>
                </c:pt>
                <c:pt idx="9">
                  <c:v>41877.467325123209</c:v>
                </c:pt>
                <c:pt idx="10">
                  <c:v>34834.834419999999</c:v>
                </c:pt>
                <c:pt idx="11">
                  <c:v>36768.76105906313</c:v>
                </c:pt>
                <c:pt idx="12">
                  <c:v>47853.23974504949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3-42BE-89A5-60B5CBE02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80032"/>
        <c:axId val="512980360"/>
      </c:lineChart>
      <c:catAx>
        <c:axId val="5129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80360"/>
        <c:crosses val="autoZero"/>
        <c:auto val="1"/>
        <c:lblAlgn val="ctr"/>
        <c:lblOffset val="100"/>
        <c:noMultiLvlLbl val="0"/>
      </c:catAx>
      <c:valAx>
        <c:axId val="51298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8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Medium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EG'!$A$6</c:f>
              <c:strCache>
                <c:ptCount val="1"/>
                <c:pt idx="0">
                  <c:v>Medium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EG'!$B$6:$P$6</c:f>
              <c:numCache>
                <c:formatCode>_-* #,##0_-;\-* #,##0_-;_-* "-"??_-;_-@_-</c:formatCode>
                <c:ptCount val="15"/>
                <c:pt idx="0">
                  <c:v>42006.769128367952</c:v>
                </c:pt>
                <c:pt idx="1">
                  <c:v>39071.092143255577</c:v>
                </c:pt>
                <c:pt idx="2">
                  <c:v>30344.397134688763</c:v>
                </c:pt>
                <c:pt idx="3">
                  <c:v>26801.716718125561</c:v>
                </c:pt>
                <c:pt idx="4">
                  <c:v>27124.202198887095</c:v>
                </c:pt>
                <c:pt idx="5">
                  <c:v>23561.302995854097</c:v>
                </c:pt>
                <c:pt idx="6">
                  <c:v>24352.80674791252</c:v>
                </c:pt>
                <c:pt idx="7">
                  <c:v>19546.785954238228</c:v>
                </c:pt>
                <c:pt idx="8">
                  <c:v>20762.536872351342</c:v>
                </c:pt>
                <c:pt idx="9">
                  <c:v>28015.103161162311</c:v>
                </c:pt>
                <c:pt idx="10">
                  <c:v>26716.736352310021</c:v>
                </c:pt>
                <c:pt idx="11">
                  <c:v>21277.364437536813</c:v>
                </c:pt>
                <c:pt idx="12">
                  <c:v>15221.142347689527</c:v>
                </c:pt>
                <c:pt idx="13" formatCode="0">
                  <c:v>19035.927035790181</c:v>
                </c:pt>
                <c:pt idx="14" formatCode="#,##0">
                  <c:v>17679.14961472663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2-455E-A22A-F35504ACC28A}"/>
            </c:ext>
          </c:extLst>
        </c:ser>
        <c:ser>
          <c:idx val="1"/>
          <c:order val="1"/>
          <c:tx>
            <c:strRef>
              <c:f>'Summary excl EG'!$A$27</c:f>
              <c:strCache>
                <c:ptCount val="1"/>
                <c:pt idx="0">
                  <c:v>Medium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EG'!$B$27:$P$27</c:f>
              <c:numCache>
                <c:formatCode>_-* #,##0_-;\-* #,##0_-;_-* "-"??_-;_-@_-</c:formatCode>
                <c:ptCount val="15"/>
                <c:pt idx="0">
                  <c:v>28448.150349797568</c:v>
                </c:pt>
                <c:pt idx="1">
                  <c:v>37673.464308098126</c:v>
                </c:pt>
                <c:pt idx="2">
                  <c:v>33720.216477359943</c:v>
                </c:pt>
                <c:pt idx="3">
                  <c:v>28980.087420105021</c:v>
                </c:pt>
                <c:pt idx="4">
                  <c:v>24114.943830806846</c:v>
                </c:pt>
                <c:pt idx="5">
                  <c:v>27339.954050702214</c:v>
                </c:pt>
                <c:pt idx="6">
                  <c:v>31932.65091504798</c:v>
                </c:pt>
                <c:pt idx="7">
                  <c:v>29432.934955678669</c:v>
                </c:pt>
                <c:pt idx="8">
                  <c:v>28945.727850204272</c:v>
                </c:pt>
                <c:pt idx="9">
                  <c:v>29710.405834335335</c:v>
                </c:pt>
                <c:pt idx="10">
                  <c:v>31526.06451588171</c:v>
                </c:pt>
                <c:pt idx="11">
                  <c:v>24256.723028534368</c:v>
                </c:pt>
                <c:pt idx="12">
                  <c:v>25271.14284</c:v>
                </c:pt>
                <c:pt idx="13" formatCode="0">
                  <c:v>21956.159327902242</c:v>
                </c:pt>
                <c:pt idx="14" formatCode="0">
                  <c:v>20418.92788712704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2-455E-A22A-F35504ACC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21056"/>
        <c:axId val="904228272"/>
      </c:lineChart>
      <c:catAx>
        <c:axId val="904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8272"/>
        <c:crosses val="autoZero"/>
        <c:auto val="1"/>
        <c:lblAlgn val="ctr"/>
        <c:lblOffset val="100"/>
        <c:noMultiLvlLbl val="0"/>
      </c:catAx>
      <c:valAx>
        <c:axId val="90422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Major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67847769028872"/>
          <c:y val="0.17171296296296298"/>
          <c:w val="0.84732152230971125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'Summary excl EG'!$A$7</c:f>
              <c:strCache>
                <c:ptCount val="1"/>
                <c:pt idx="0">
                  <c:v>Major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EG'!$B$7:$P$7</c:f>
              <c:numCache>
                <c:formatCode>_-* #,##0_-;\-* #,##0_-;_-* "-"??_-;_-@_-</c:formatCode>
                <c:ptCount val="15"/>
                <c:pt idx="0">
                  <c:v>48748.312642159639</c:v>
                </c:pt>
                <c:pt idx="1">
                  <c:v>63741.063265156772</c:v>
                </c:pt>
                <c:pt idx="2">
                  <c:v>39887.582526162936</c:v>
                </c:pt>
                <c:pt idx="3">
                  <c:v>36892.084436882898</c:v>
                </c:pt>
                <c:pt idx="4">
                  <c:v>37433.923813324662</c:v>
                </c:pt>
                <c:pt idx="5">
                  <c:v>36810.900036972649</c:v>
                </c:pt>
                <c:pt idx="6">
                  <c:v>24906.378375931443</c:v>
                </c:pt>
                <c:pt idx="7">
                  <c:v>14369.21663163435</c:v>
                </c:pt>
                <c:pt idx="8">
                  <c:v>15915.135216979121</c:v>
                </c:pt>
                <c:pt idx="9">
                  <c:v>18789.018422772213</c:v>
                </c:pt>
                <c:pt idx="10">
                  <c:v>30429.158854095105</c:v>
                </c:pt>
                <c:pt idx="11">
                  <c:v>27470.181118271124</c:v>
                </c:pt>
                <c:pt idx="12">
                  <c:v>28599.701641112093</c:v>
                </c:pt>
                <c:pt idx="13" formatCode="0">
                  <c:v>27029.888528705371</c:v>
                </c:pt>
                <c:pt idx="14" formatCode="#,##0">
                  <c:v>32515.199122580954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7-43CD-BAF9-87E9EEA876AB}"/>
            </c:ext>
          </c:extLst>
        </c:ser>
        <c:ser>
          <c:idx val="1"/>
          <c:order val="1"/>
          <c:tx>
            <c:strRef>
              <c:f>'Summary excl EG'!$A$28</c:f>
              <c:strCache>
                <c:ptCount val="1"/>
                <c:pt idx="0">
                  <c:v>Major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EG'!$B$28:$P$28</c:f>
              <c:numCache>
                <c:formatCode>_-* #,##0_-;\-* #,##0_-;_-* "-"??_-;_-@_-</c:formatCode>
                <c:ptCount val="15"/>
                <c:pt idx="0">
                  <c:v>84164.852782995964</c:v>
                </c:pt>
                <c:pt idx="1">
                  <c:v>93649.214980216289</c:v>
                </c:pt>
                <c:pt idx="2">
                  <c:v>55615.972418265548</c:v>
                </c:pt>
                <c:pt idx="3">
                  <c:v>50946.641381095265</c:v>
                </c:pt>
                <c:pt idx="4">
                  <c:v>48872.661483374082</c:v>
                </c:pt>
                <c:pt idx="5">
                  <c:v>46432.165299690547</c:v>
                </c:pt>
                <c:pt idx="6">
                  <c:v>33664.916057102739</c:v>
                </c:pt>
                <c:pt idx="7">
                  <c:v>23251.661818635737</c:v>
                </c:pt>
                <c:pt idx="8">
                  <c:v>21062.183819087611</c:v>
                </c:pt>
                <c:pt idx="9">
                  <c:v>21005.518097822314</c:v>
                </c:pt>
                <c:pt idx="10">
                  <c:v>35231.417430887188</c:v>
                </c:pt>
                <c:pt idx="11">
                  <c:v>30833.113099870297</c:v>
                </c:pt>
                <c:pt idx="12">
                  <c:v>32849</c:v>
                </c:pt>
                <c:pt idx="13" formatCode="0">
                  <c:v>30822.666598778003</c:v>
                </c:pt>
                <c:pt idx="14" formatCode="0">
                  <c:v>37118.52756293767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7-43CD-BAF9-87E9EEA87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48880"/>
        <c:axId val="565450192"/>
      </c:lineChart>
      <c:catAx>
        <c:axId val="56544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50192"/>
        <c:crosses val="autoZero"/>
        <c:auto val="1"/>
        <c:lblAlgn val="ctr"/>
        <c:lblOffset val="100"/>
        <c:noMultiLvlLbl val="0"/>
      </c:catAx>
      <c:valAx>
        <c:axId val="56545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44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URDs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EG'!$A$8</c:f>
              <c:strCache>
                <c:ptCount val="1"/>
                <c:pt idx="0">
                  <c:v>URDs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EG'!$B$8:$P$8</c:f>
              <c:numCache>
                <c:formatCode>_-* #,##0_-;\-* #,##0_-;_-* "-"??_-;_-@_-</c:formatCode>
                <c:ptCount val="15"/>
                <c:pt idx="0">
                  <c:v>9608.9066223808004</c:v>
                </c:pt>
                <c:pt idx="1">
                  <c:v>5757.8479689555788</c:v>
                </c:pt>
                <c:pt idx="2">
                  <c:v>5689.2626823331912</c:v>
                </c:pt>
                <c:pt idx="3">
                  <c:v>4507.6162167117263</c:v>
                </c:pt>
                <c:pt idx="4">
                  <c:v>5427.9255974476091</c:v>
                </c:pt>
                <c:pt idx="5">
                  <c:v>4772.2169824422954</c:v>
                </c:pt>
                <c:pt idx="6">
                  <c:v>5601.3081061488547</c:v>
                </c:pt>
                <c:pt idx="7">
                  <c:v>5186.100248573408</c:v>
                </c:pt>
                <c:pt idx="8">
                  <c:v>5115.609240224695</c:v>
                </c:pt>
                <c:pt idx="9">
                  <c:v>5517.687782952572</c:v>
                </c:pt>
                <c:pt idx="10">
                  <c:v>4955.6412683725994</c:v>
                </c:pt>
                <c:pt idx="11">
                  <c:v>4616.660995787478</c:v>
                </c:pt>
                <c:pt idx="12">
                  <c:v>5774.2061281658907</c:v>
                </c:pt>
                <c:pt idx="13" formatCode="0">
                  <c:v>6861.8931950142269</c:v>
                </c:pt>
                <c:pt idx="14" formatCode="#,##0">
                  <c:v>8999.5484107301545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F-4503-BE69-D411A3AA8B0D}"/>
            </c:ext>
          </c:extLst>
        </c:ser>
        <c:ser>
          <c:idx val="1"/>
          <c:order val="1"/>
          <c:tx>
            <c:strRef>
              <c:f>'Summary excl EG'!$A$29</c:f>
              <c:strCache>
                <c:ptCount val="1"/>
                <c:pt idx="0">
                  <c:v>URDs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EG'!$B$29:$P$29</c:f>
              <c:numCache>
                <c:formatCode>_-* #,##0_-;\-* #,##0_-;_-* "-"??_-;_-@_-</c:formatCode>
                <c:ptCount val="15"/>
                <c:pt idx="0">
                  <c:v>11446.358953036439</c:v>
                </c:pt>
                <c:pt idx="1">
                  <c:v>7419.7206125032972</c:v>
                </c:pt>
                <c:pt idx="2">
                  <c:v>6263.3867904835006</c:v>
                </c:pt>
                <c:pt idx="3">
                  <c:v>5105.0179759939983</c:v>
                </c:pt>
                <c:pt idx="4">
                  <c:v>6032.616294132029</c:v>
                </c:pt>
                <c:pt idx="5">
                  <c:v>4992.8849892882645</c:v>
                </c:pt>
                <c:pt idx="6">
                  <c:v>6377.3911221624148</c:v>
                </c:pt>
                <c:pt idx="7">
                  <c:v>7173.4550667128351</c:v>
                </c:pt>
                <c:pt idx="8">
                  <c:v>6223.4667562414897</c:v>
                </c:pt>
                <c:pt idx="9">
                  <c:v>6524.4614796259184</c:v>
                </c:pt>
                <c:pt idx="10">
                  <c:v>6584.1814679079971</c:v>
                </c:pt>
                <c:pt idx="11">
                  <c:v>4793.144071335927</c:v>
                </c:pt>
                <c:pt idx="12">
                  <c:v>6976</c:v>
                </c:pt>
                <c:pt idx="13" formatCode="0">
                  <c:v>7875.5632790224035</c:v>
                </c:pt>
                <c:pt idx="14" formatCode="0">
                  <c:v>10338.095803006549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F-4503-BE69-D411A3AA8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27616"/>
        <c:axId val="904221712"/>
      </c:lineChart>
      <c:catAx>
        <c:axId val="9042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1712"/>
        <c:crosses val="autoZero"/>
        <c:auto val="1"/>
        <c:lblAlgn val="ctr"/>
        <c:lblOffset val="100"/>
        <c:noMultiLvlLbl val="0"/>
      </c:catAx>
      <c:valAx>
        <c:axId val="90422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2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EG'!$A$12</c:f>
              <c:strCache>
                <c:ptCount val="1"/>
                <c:pt idx="0">
                  <c:v>Total (RIN)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EG'!$B$12:$P$12</c:f>
              <c:numCache>
                <c:formatCode>_-* #,##0_-;\-* #,##0_-;_-* "-"??_-;_-@_-</c:formatCode>
                <c:ptCount val="15"/>
                <c:pt idx="0">
                  <c:v>116089.5399596933</c:v>
                </c:pt>
                <c:pt idx="1">
                  <c:v>125297.66489320496</c:v>
                </c:pt>
                <c:pt idx="2">
                  <c:v>89623.253215357108</c:v>
                </c:pt>
                <c:pt idx="3">
                  <c:v>81207.599170301022</c:v>
                </c:pt>
                <c:pt idx="4">
                  <c:v>83994.65756032645</c:v>
                </c:pt>
                <c:pt idx="5">
                  <c:v>81541.815996191363</c:v>
                </c:pt>
                <c:pt idx="6">
                  <c:v>70802.73904563539</c:v>
                </c:pt>
                <c:pt idx="7">
                  <c:v>60268.152568552636</c:v>
                </c:pt>
                <c:pt idx="8">
                  <c:v>62114.436659986393</c:v>
                </c:pt>
                <c:pt idx="9">
                  <c:v>72198.376850621236</c:v>
                </c:pt>
                <c:pt idx="10">
                  <c:v>84713.783320322604</c:v>
                </c:pt>
                <c:pt idx="11">
                  <c:v>75089.298985382615</c:v>
                </c:pt>
                <c:pt idx="12">
                  <c:v>68861.890661696874</c:v>
                </c:pt>
                <c:pt idx="13" formatCode="0">
                  <c:v>72862.681340447059</c:v>
                </c:pt>
                <c:pt idx="14" formatCode="0">
                  <c:v>81250.799239253058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6-47D2-8A19-AF1824D5DA7B}"/>
            </c:ext>
          </c:extLst>
        </c:ser>
        <c:ser>
          <c:idx val="1"/>
          <c:order val="1"/>
          <c:tx>
            <c:strRef>
              <c:f>'Summary excl EG'!$A$31</c:f>
              <c:strCache>
                <c:ptCount val="1"/>
                <c:pt idx="0">
                  <c:v>TOTAL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EG'!$B$3:$P$3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EG'!$B$31:$P$31</c:f>
              <c:numCache>
                <c:formatCode>_-* #,##0_-;\-* #,##0_-;_-* "-"??_-;_-@_-</c:formatCode>
                <c:ptCount val="15"/>
                <c:pt idx="0">
                  <c:v>142409.17781510117</c:v>
                </c:pt>
                <c:pt idx="1">
                  <c:v>159662.51137291556</c:v>
                </c:pt>
                <c:pt idx="2">
                  <c:v>113112.6896469746</c:v>
                </c:pt>
                <c:pt idx="3">
                  <c:v>101591.32951583457</c:v>
                </c:pt>
                <c:pt idx="4">
                  <c:v>96083.256791420252</c:v>
                </c:pt>
                <c:pt idx="5">
                  <c:v>92860.58028151028</c:v>
                </c:pt>
                <c:pt idx="6">
                  <c:v>85384.500129309614</c:v>
                </c:pt>
                <c:pt idx="7">
                  <c:v>82642.54545806325</c:v>
                </c:pt>
                <c:pt idx="8">
                  <c:v>79334.376774375851</c:v>
                </c:pt>
                <c:pt idx="9">
                  <c:v>79941.488242778883</c:v>
                </c:pt>
                <c:pt idx="10">
                  <c:v>92457.906615115004</c:v>
                </c:pt>
                <c:pt idx="11">
                  <c:v>77566.980668612188</c:v>
                </c:pt>
                <c:pt idx="12">
                  <c:v>80477.545840000006</c:v>
                </c:pt>
                <c:pt idx="13">
                  <c:v>83568.461059063135</c:v>
                </c:pt>
                <c:pt idx="14">
                  <c:v>93187.667125049498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6-47D2-8A19-AF1824D5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42576"/>
        <c:axId val="409842248"/>
      </c:lineChart>
      <c:catAx>
        <c:axId val="40984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42248"/>
        <c:crosses val="autoZero"/>
        <c:auto val="1"/>
        <c:lblAlgn val="ctr"/>
        <c:lblOffset val="100"/>
        <c:noMultiLvlLbl val="0"/>
      </c:catAx>
      <c:valAx>
        <c:axId val="40984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4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Minor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EG'!$A$72</c:f>
              <c:strCache>
                <c:ptCount val="1"/>
                <c:pt idx="0">
                  <c:v>Minor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EG'!$B$72:$P$72</c:f>
              <c:numCache>
                <c:formatCode>_-* #,##0_-;\-* #,##0_-;_-* "-"??_-;_-@_-</c:formatCode>
                <c:ptCount val="15"/>
                <c:pt idx="0">
                  <c:v>-3659.0502105923183</c:v>
                </c:pt>
                <c:pt idx="1">
                  <c:v>-3302.5589518339748</c:v>
                </c:pt>
                <c:pt idx="2">
                  <c:v>-2769.9357081705684</c:v>
                </c:pt>
                <c:pt idx="3">
                  <c:v>-2206.0071375639704</c:v>
                </c:pt>
                <c:pt idx="4">
                  <c:v>-1765.7224005772978</c:v>
                </c:pt>
                <c:pt idx="5">
                  <c:v>-2213.3277496077931</c:v>
                </c:pt>
                <c:pt idx="6">
                  <c:v>-2407.4211862549905</c:v>
                </c:pt>
                <c:pt idx="7">
                  <c:v>-5998.305251220876</c:v>
                </c:pt>
                <c:pt idx="8">
                  <c:v>-5081.0976321044291</c:v>
                </c:pt>
                <c:pt idx="9">
                  <c:v>-3386.5825239739247</c:v>
                </c:pt>
                <c:pt idx="10">
                  <c:v>-6384.5334025084812</c:v>
                </c:pt>
                <c:pt idx="11">
                  <c:v>-6855.6725517904461</c:v>
                </c:pt>
                <c:pt idx="12">
                  <c:v>-5212.4465008440875</c:v>
                </c:pt>
                <c:pt idx="13">
                  <c:v>-4668.3283614912934</c:v>
                </c:pt>
                <c:pt idx="14">
                  <c:v>-4813.1766494521025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8-42E0-A040-A18602A98BD6}"/>
            </c:ext>
          </c:extLst>
        </c:ser>
        <c:ser>
          <c:idx val="1"/>
          <c:order val="1"/>
          <c:tx>
            <c:strRef>
              <c:f>'Summary excl EG'!$A$84</c:f>
              <c:strCache>
                <c:ptCount val="1"/>
                <c:pt idx="0">
                  <c:v>Minor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EG'!$B$84:$P$84</c:f>
              <c:numCache>
                <c:formatCode>_-* #,##0_-;\-* #,##0_-;_-* "-"??_-;_-@_-</c:formatCode>
                <c:ptCount val="15"/>
                <c:pt idx="0">
                  <c:v>-3658.0345412793531</c:v>
                </c:pt>
                <c:pt idx="1">
                  <c:v>-3236.9425955499855</c:v>
                </c:pt>
                <c:pt idx="2">
                  <c:v>-3162.1051251266326</c:v>
                </c:pt>
                <c:pt idx="3">
                  <c:v>-2512.3194936233995</c:v>
                </c:pt>
                <c:pt idx="4">
                  <c:v>-2013.0325772640608</c:v>
                </c:pt>
                <c:pt idx="5">
                  <c:v>-2474.2706158843121</c:v>
                </c:pt>
                <c:pt idx="6">
                  <c:v>-2714.2760318839237</c:v>
                </c:pt>
                <c:pt idx="7">
                  <c:v>-4898.0306950554032</c:v>
                </c:pt>
                <c:pt idx="8">
                  <c:v>-5196.2440443009546</c:v>
                </c:pt>
                <c:pt idx="9">
                  <c:v>-4046.4756143620571</c:v>
                </c:pt>
                <c:pt idx="10">
                  <c:v>-3538.6209981686743</c:v>
                </c:pt>
                <c:pt idx="11">
                  <c:v>-3368.0071218677049</c:v>
                </c:pt>
                <c:pt idx="12">
                  <c:v>-6160.0265399999998</c:v>
                </c:pt>
                <c:pt idx="13">
                  <c:v>-5591.4000000000005</c:v>
                </c:pt>
                <c:pt idx="14">
                  <c:v>-5757.5734999999995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8-42E0-A040-A18602A98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96104"/>
        <c:axId val="512996432"/>
      </c:lineChart>
      <c:catAx>
        <c:axId val="51299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96432"/>
        <c:crosses val="autoZero"/>
        <c:auto val="1"/>
        <c:lblAlgn val="ctr"/>
        <c:lblOffset val="100"/>
        <c:noMultiLvlLbl val="0"/>
      </c:catAx>
      <c:valAx>
        <c:axId val="51299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9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Medium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EG'!$A$73</c:f>
              <c:strCache>
                <c:ptCount val="1"/>
                <c:pt idx="0">
                  <c:v>Medium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EG'!$B$73:$P$73</c:f>
              <c:numCache>
                <c:formatCode>_-* #,##0_-;\-* #,##0_-;_-* "-"??_-;_-@_-</c:formatCode>
                <c:ptCount val="15"/>
                <c:pt idx="0">
                  <c:v>-35387.696308374463</c:v>
                </c:pt>
                <c:pt idx="1">
                  <c:v>-30184.649298973243</c:v>
                </c:pt>
                <c:pt idx="2">
                  <c:v>-23964.286174558591</c:v>
                </c:pt>
                <c:pt idx="3">
                  <c:v>-15336.862918710693</c:v>
                </c:pt>
                <c:pt idx="4">
                  <c:v>-10950.81949983503</c:v>
                </c:pt>
                <c:pt idx="5">
                  <c:v>-14249.414339760366</c:v>
                </c:pt>
                <c:pt idx="6">
                  <c:v>-11989.05057312488</c:v>
                </c:pt>
                <c:pt idx="7">
                  <c:v>-7347.7614841934037</c:v>
                </c:pt>
                <c:pt idx="8">
                  <c:v>-6687.3966454599595</c:v>
                </c:pt>
                <c:pt idx="9">
                  <c:v>-6148.2695354487169</c:v>
                </c:pt>
                <c:pt idx="10">
                  <c:v>-6080.5403251359003</c:v>
                </c:pt>
                <c:pt idx="11">
                  <c:v>-4478.799518027773</c:v>
                </c:pt>
                <c:pt idx="12">
                  <c:v>-7011.9159981875346</c:v>
                </c:pt>
                <c:pt idx="13">
                  <c:v>-7305.8090864401947</c:v>
                </c:pt>
                <c:pt idx="14">
                  <c:v>-7277.5805165937672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3-4412-A32A-8EC52CBD47B2}"/>
            </c:ext>
          </c:extLst>
        </c:ser>
        <c:ser>
          <c:idx val="1"/>
          <c:order val="1"/>
          <c:tx>
            <c:strRef>
              <c:f>'Summary excl EG'!$A$85</c:f>
              <c:strCache>
                <c:ptCount val="1"/>
                <c:pt idx="0">
                  <c:v>Medium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EG'!$B$85:$P$85</c:f>
              <c:numCache>
                <c:formatCode>_-* #,##0_-;\-* #,##0_-;_-* "-"??_-;_-@_-</c:formatCode>
                <c:ptCount val="15"/>
                <c:pt idx="0">
                  <c:v>-36128.437952898785</c:v>
                </c:pt>
                <c:pt idx="1">
                  <c:v>-33012.348975985224</c:v>
                </c:pt>
                <c:pt idx="2">
                  <c:v>-27440.402067029932</c:v>
                </c:pt>
                <c:pt idx="3">
                  <c:v>-17455.380164658665</c:v>
                </c:pt>
                <c:pt idx="4">
                  <c:v>-12484.610487865526</c:v>
                </c:pt>
                <c:pt idx="5">
                  <c:v>-17330.092515789096</c:v>
                </c:pt>
                <c:pt idx="6">
                  <c:v>-13600.922033337236</c:v>
                </c:pt>
                <c:pt idx="7">
                  <c:v>-12001.734898538782</c:v>
                </c:pt>
                <c:pt idx="8">
                  <c:v>-8509.0132761053119</c:v>
                </c:pt>
                <c:pt idx="9">
                  <c:v>-7075.3459507281232</c:v>
                </c:pt>
                <c:pt idx="10">
                  <c:v>-7321.1250054216871</c:v>
                </c:pt>
                <c:pt idx="11">
                  <c:v>-5343.3052414332033</c:v>
                </c:pt>
                <c:pt idx="12">
                  <c:v>-8274.1344200000003</c:v>
                </c:pt>
                <c:pt idx="13">
                  <c:v>-8751.7999999999993</c:v>
                </c:pt>
                <c:pt idx="14">
                  <c:v>-8704.2237000000005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3-4412-A32A-8EC52CBD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98400"/>
        <c:axId val="512993152"/>
      </c:lineChart>
      <c:catAx>
        <c:axId val="512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93152"/>
        <c:crosses val="autoZero"/>
        <c:auto val="1"/>
        <c:lblAlgn val="ctr"/>
        <c:lblOffset val="100"/>
        <c:noMultiLvlLbl val="0"/>
      </c:catAx>
      <c:valAx>
        <c:axId val="5129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Major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EG'!$A$74</c:f>
              <c:strCache>
                <c:ptCount val="1"/>
                <c:pt idx="0">
                  <c:v>Major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EG'!$B$74:$P$74</c:f>
              <c:numCache>
                <c:formatCode>_-* #,##0_-;\-* #,##0_-;_-* "-"??_-;_-@_-</c:formatCode>
                <c:ptCount val="15"/>
                <c:pt idx="0">
                  <c:v>-45097.097735338692</c:v>
                </c:pt>
                <c:pt idx="1">
                  <c:v>-77046.199679960904</c:v>
                </c:pt>
                <c:pt idx="2">
                  <c:v>-45958.972871605838</c:v>
                </c:pt>
                <c:pt idx="3">
                  <c:v>-26596.069795120566</c:v>
                </c:pt>
                <c:pt idx="4">
                  <c:v>-26124.476054046856</c:v>
                </c:pt>
                <c:pt idx="5">
                  <c:v>-29104.036329791561</c:v>
                </c:pt>
                <c:pt idx="6">
                  <c:v>-14461.258523164555</c:v>
                </c:pt>
                <c:pt idx="7">
                  <c:v>-9921.082076613442</c:v>
                </c:pt>
                <c:pt idx="8">
                  <c:v>-10613.171542295782</c:v>
                </c:pt>
                <c:pt idx="9">
                  <c:v>-12799.95493052496</c:v>
                </c:pt>
                <c:pt idx="10">
                  <c:v>-23294.479630197144</c:v>
                </c:pt>
                <c:pt idx="11">
                  <c:v>-22278.895029654574</c:v>
                </c:pt>
                <c:pt idx="12">
                  <c:v>-23925.408149447958</c:v>
                </c:pt>
                <c:pt idx="13">
                  <c:v>-25702.644097177305</c:v>
                </c:pt>
                <c:pt idx="14">
                  <c:v>-28040.85611163099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C-44FF-ACD0-31EFC7FD1F25}"/>
            </c:ext>
          </c:extLst>
        </c:ser>
        <c:ser>
          <c:idx val="1"/>
          <c:order val="1"/>
          <c:tx>
            <c:strRef>
              <c:f>'Summary excl EG'!$A$86</c:f>
              <c:strCache>
                <c:ptCount val="1"/>
                <c:pt idx="0">
                  <c:v>Major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EG'!$B$86:$P$86</c:f>
              <c:numCache>
                <c:formatCode>_-* #,##0_-;\-* #,##0_-;_-* "-"??_-;_-@_-</c:formatCode>
                <c:ptCount val="15"/>
                <c:pt idx="0">
                  <c:v>-49774.036413368427</c:v>
                </c:pt>
                <c:pt idx="1">
                  <c:v>-77721.217561060388</c:v>
                </c:pt>
                <c:pt idx="2">
                  <c:v>-52625.506347168077</c:v>
                </c:pt>
                <c:pt idx="3">
                  <c:v>-30289.0337307952</c:v>
                </c:pt>
                <c:pt idx="4">
                  <c:v>-29783.515995242051</c:v>
                </c:pt>
                <c:pt idx="5">
                  <c:v>-32535.290766219947</c:v>
                </c:pt>
                <c:pt idx="6">
                  <c:v>-16304.520216241521</c:v>
                </c:pt>
                <c:pt idx="7">
                  <c:v>-12376.777455554016</c:v>
                </c:pt>
                <c:pt idx="8">
                  <c:v>-13573.241365206541</c:v>
                </c:pt>
                <c:pt idx="9">
                  <c:v>-15858.435560207079</c:v>
                </c:pt>
                <c:pt idx="10">
                  <c:v>-28047.03164306681</c:v>
                </c:pt>
                <c:pt idx="11">
                  <c:v>-26579.206348962383</c:v>
                </c:pt>
                <c:pt idx="12">
                  <c:v>-28232.232550000001</c:v>
                </c:pt>
                <c:pt idx="13">
                  <c:v>-30789.7</c:v>
                </c:pt>
                <c:pt idx="14">
                  <c:v>-33538.100140000002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C-44FF-ACD0-31EFC7FD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42312"/>
        <c:axId val="512942968"/>
      </c:lineChart>
      <c:catAx>
        <c:axId val="51294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42968"/>
        <c:crosses val="autoZero"/>
        <c:auto val="1"/>
        <c:lblAlgn val="ctr"/>
        <c:lblOffset val="100"/>
        <c:noMultiLvlLbl val="0"/>
      </c:catAx>
      <c:valAx>
        <c:axId val="51294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94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URDs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excl EG'!$A$75</c:f>
              <c:strCache>
                <c:ptCount val="1"/>
                <c:pt idx="0">
                  <c:v>URDs (RIN functional area)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EG'!$B$75:$P$75</c:f>
              <c:numCache>
                <c:formatCode>_-* #,##0_-;\-* #,##0_-;_-* "-"??_-;_-@_-</c:formatCode>
                <c:ptCount val="15"/>
                <c:pt idx="0">
                  <c:v>-8858.9340429219483</c:v>
                </c:pt>
                <c:pt idx="1">
                  <c:v>-6823.6155904236848</c:v>
                </c:pt>
                <c:pt idx="2">
                  <c:v>-3156.617063978299</c:v>
                </c:pt>
                <c:pt idx="3">
                  <c:v>-5257.9270707912174</c:v>
                </c:pt>
                <c:pt idx="4">
                  <c:v>-1146.4964981631133</c:v>
                </c:pt>
                <c:pt idx="5">
                  <c:v>-2063.5389876038539</c:v>
                </c:pt>
                <c:pt idx="6">
                  <c:v>-5138.4605095149827</c:v>
                </c:pt>
                <c:pt idx="7">
                  <c:v>-3008.8467230566234</c:v>
                </c:pt>
                <c:pt idx="8">
                  <c:v>-162.29427793681995</c:v>
                </c:pt>
                <c:pt idx="9">
                  <c:v>-1468.9387832400487</c:v>
                </c:pt>
                <c:pt idx="10">
                  <c:v>793.37261171213981</c:v>
                </c:pt>
                <c:pt idx="11">
                  <c:v>1203.8530741198342</c:v>
                </c:pt>
                <c:pt idx="12">
                  <c:v>-495.65997373476148</c:v>
                </c:pt>
                <c:pt idx="13">
                  <c:v>455.28154510879403</c:v>
                </c:pt>
                <c:pt idx="14">
                  <c:v>4964.7944377663198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EC-4164-AB6C-97CA14A83B64}"/>
            </c:ext>
          </c:extLst>
        </c:ser>
        <c:ser>
          <c:idx val="1"/>
          <c:order val="1"/>
          <c:tx>
            <c:strRef>
              <c:f>'Summary excl EG'!$A$89</c:f>
              <c:strCache>
                <c:ptCount val="1"/>
                <c:pt idx="0">
                  <c:v>URDs (IM)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'Summary excl EG'!$B$70:$P$70</c:f>
              <c:strCache>
                <c:ptCount val="15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  <c:pt idx="11">
                  <c:v>19/20</c:v>
                </c:pt>
                <c:pt idx="12">
                  <c:v>20/21</c:v>
                </c:pt>
                <c:pt idx="13">
                  <c:v>21/22</c:v>
                </c:pt>
                <c:pt idx="14">
                  <c:v>22/23</c:v>
                </c:pt>
              </c:strCache>
            </c:strRef>
          </c:cat>
          <c:val>
            <c:numRef>
              <c:f>'Summary excl EG'!$B$89:$P$89</c:f>
              <c:numCache>
                <c:formatCode>_-* #,##0_-;\-* #,##0_-;_-* "-"??_-;_-@_-</c:formatCode>
                <c:ptCount val="15"/>
                <c:pt idx="0">
                  <c:v>-9892.0292709473724</c:v>
                </c:pt>
                <c:pt idx="1">
                  <c:v>-7778.7782183408062</c:v>
                </c:pt>
                <c:pt idx="2">
                  <c:v>-4632.0217182962397</c:v>
                </c:pt>
                <c:pt idx="3">
                  <c:v>-6665.8328753488377</c:v>
                </c:pt>
                <c:pt idx="4">
                  <c:v>-2018.6983282078227</c:v>
                </c:pt>
                <c:pt idx="5">
                  <c:v>-2972.278721761485</c:v>
                </c:pt>
                <c:pt idx="6">
                  <c:v>-6262.9224432623469</c:v>
                </c:pt>
                <c:pt idx="7">
                  <c:v>-5735.0382251061819</c:v>
                </c:pt>
                <c:pt idx="8">
                  <c:v>-1914.1939589877447</c:v>
                </c:pt>
                <c:pt idx="9">
                  <c:v>-3445.4552556513027</c:v>
                </c:pt>
                <c:pt idx="10">
                  <c:v>-909.44435884337508</c:v>
                </c:pt>
                <c:pt idx="11">
                  <c:v>-398.99463122567977</c:v>
                </c:pt>
                <c:pt idx="12">
                  <c:v>-2976.3179099999979</c:v>
                </c:pt>
                <c:pt idx="13">
                  <c:v>-1666.7999999999993</c:v>
                </c:pt>
                <c:pt idx="14">
                  <c:v>2665.4699599999985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C-4164-AB6C-97CA14A8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62584"/>
        <c:axId val="409865208"/>
      </c:lineChart>
      <c:catAx>
        <c:axId val="4098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65208"/>
        <c:crosses val="autoZero"/>
        <c:auto val="1"/>
        <c:lblAlgn val="ctr"/>
        <c:lblOffset val="100"/>
        <c:noMultiLvlLbl val="0"/>
      </c:catAx>
      <c:valAx>
        <c:axId val="40986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6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B0A.D75066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5</xdr:row>
      <xdr:rowOff>0</xdr:rowOff>
    </xdr:from>
    <xdr:to>
      <xdr:col>28</xdr:col>
      <xdr:colOff>510540</xdr:colOff>
      <xdr:row>14</xdr:row>
      <xdr:rowOff>114300</xdr:rowOff>
    </xdr:to>
    <xdr:pic>
      <xdr:nvPicPr>
        <xdr:cNvPr id="5" name="Picture 60">
          <a:extLst>
            <a:ext uri="{FF2B5EF4-FFF2-40B4-BE49-F238E27FC236}">
              <a16:creationId xmlns:a16="http://schemas.microsoft.com/office/drawing/2014/main" id="{EF8CD3A0-58BB-E423-D7E4-0445E058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6140" y="1097280"/>
          <a:ext cx="17907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83660</xdr:colOff>
      <xdr:row>37</xdr:row>
      <xdr:rowOff>109643</xdr:rowOff>
    </xdr:from>
    <xdr:to>
      <xdr:col>29</xdr:col>
      <xdr:colOff>4139</xdr:colOff>
      <xdr:row>88</xdr:row>
      <xdr:rowOff>89787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47444-D61E-5A6C-B505-99AB15BC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60" y="7179310"/>
          <a:ext cx="9508979" cy="91558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185737</xdr:rowOff>
    </xdr:from>
    <xdr:to>
      <xdr:col>5</xdr:col>
      <xdr:colOff>266700</xdr:colOff>
      <xdr:row>47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690523-AE91-49E9-AB3D-86DBD81F0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390525</xdr:colOff>
      <xdr:row>32</xdr:row>
      <xdr:rowOff>185737</xdr:rowOff>
    </xdr:from>
    <xdr:to>
      <xdr:col>10</xdr:col>
      <xdr:colOff>200025</xdr:colOff>
      <xdr:row>47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311B10-05DD-4E47-84EE-B2FBDEED8848}"/>
            </a:ext>
            <a:ext uri="{147F2762-F138-4A5C-976F-8EAC2B608ADB}">
              <a16:predDERef xmlns:a16="http://schemas.microsoft.com/office/drawing/2014/main" pred="{B2690523-AE91-49E9-AB3D-86DBD81F0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309562</xdr:colOff>
      <xdr:row>32</xdr:row>
      <xdr:rowOff>176212</xdr:rowOff>
    </xdr:from>
    <xdr:to>
      <xdr:col>16</xdr:col>
      <xdr:colOff>538162</xdr:colOff>
      <xdr:row>47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291442-0F4B-48AE-ACAE-1E296AC1D73E}"/>
            </a:ext>
            <a:ext uri="{147F2762-F138-4A5C-976F-8EAC2B608ADB}">
              <a16:predDERef xmlns:a16="http://schemas.microsoft.com/office/drawing/2014/main" pred="{2D311B10-05DD-4E47-84EE-B2FBDEED8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48</xdr:row>
      <xdr:rowOff>90487</xdr:rowOff>
    </xdr:from>
    <xdr:to>
      <xdr:col>7</xdr:col>
      <xdr:colOff>528637</xdr:colOff>
      <xdr:row>62</xdr:row>
      <xdr:rowOff>166687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A6C4E2-3217-4EE7-9B9C-4B14842595C4}"/>
            </a:ext>
            <a:ext uri="{147F2762-F138-4A5C-976F-8EAC2B608ADB}">
              <a16:predDERef xmlns:a16="http://schemas.microsoft.com/office/drawing/2014/main" pred="{18291442-0F4B-48AE-ACAE-1E296AC1D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647700</xdr:colOff>
      <xdr:row>48</xdr:row>
      <xdr:rowOff>71437</xdr:rowOff>
    </xdr:from>
    <xdr:to>
      <xdr:col>14</xdr:col>
      <xdr:colOff>190500</xdr:colOff>
      <xdr:row>62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2CA89-6FF7-4191-8F6A-963E531CE154}"/>
            </a:ext>
            <a:ext uri="{147F2762-F138-4A5C-976F-8EAC2B608ADB}">
              <a16:predDERef xmlns:a16="http://schemas.microsoft.com/office/drawing/2014/main" pred="{B5A6C4E2-3217-4EE7-9B9C-4B1484259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328612</xdr:colOff>
      <xdr:row>93</xdr:row>
      <xdr:rowOff>90487</xdr:rowOff>
    </xdr:from>
    <xdr:to>
      <xdr:col>6</xdr:col>
      <xdr:colOff>100012</xdr:colOff>
      <xdr:row>107</xdr:row>
      <xdr:rowOff>166687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7A4182-A23F-4B88-BAAC-C1DD694B8B09}"/>
            </a:ext>
            <a:ext uri="{147F2762-F138-4A5C-976F-8EAC2B608ADB}">
              <a16:predDERef xmlns:a16="http://schemas.microsoft.com/office/drawing/2014/main" pred="{54F2CA89-6FF7-4191-8F6A-963E531CE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442912</xdr:colOff>
      <xdr:row>93</xdr:row>
      <xdr:rowOff>100012</xdr:rowOff>
    </xdr:from>
    <xdr:to>
      <xdr:col>11</xdr:col>
      <xdr:colOff>252412</xdr:colOff>
      <xdr:row>107</xdr:row>
      <xdr:rowOff>176212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DB617A-8BB8-4A9A-90FF-74C223ECB8FB}"/>
            </a:ext>
            <a:ext uri="{147F2762-F138-4A5C-976F-8EAC2B608ADB}">
              <a16:predDERef xmlns:a16="http://schemas.microsoft.com/office/drawing/2014/main" pred="{427A4182-A23F-4B88-BAAC-C1DD694B8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661987</xdr:colOff>
      <xdr:row>93</xdr:row>
      <xdr:rowOff>100012</xdr:rowOff>
    </xdr:from>
    <xdr:to>
      <xdr:col>19</xdr:col>
      <xdr:colOff>14287</xdr:colOff>
      <xdr:row>107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5BA02F6-E04A-40EF-85BC-623C3CE0FC14}"/>
            </a:ext>
            <a:ext uri="{147F2762-F138-4A5C-976F-8EAC2B608ADB}">
              <a16:predDERef xmlns:a16="http://schemas.microsoft.com/office/drawing/2014/main" pred="{86DB617A-8BB8-4A9A-90FF-74C223ECB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201084</xdr:colOff>
      <xdr:row>110</xdr:row>
      <xdr:rowOff>3916</xdr:rowOff>
    </xdr:from>
    <xdr:to>
      <xdr:col>8</xdr:col>
      <xdr:colOff>450532</xdr:colOff>
      <xdr:row>125</xdr:row>
      <xdr:rowOff>74084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39D552-3E5B-4CE8-A661-B814100D7C37}"/>
            </a:ext>
            <a:ext uri="{147F2762-F138-4A5C-976F-8EAC2B608ADB}">
              <a16:predDERef xmlns:a16="http://schemas.microsoft.com/office/drawing/2014/main" pred="{45BA02F6-E04A-40EF-85BC-623C3CE0FC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818196</xdr:colOff>
      <xdr:row>110</xdr:row>
      <xdr:rowOff>3915</xdr:rowOff>
    </xdr:from>
    <xdr:to>
      <xdr:col>14</xdr:col>
      <xdr:colOff>582083</xdr:colOff>
      <xdr:row>125</xdr:row>
      <xdr:rowOff>84666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7D2DD1B-ABCA-450D-AD0D-B7B92CB9E15A}"/>
            </a:ext>
            <a:ext uri="{147F2762-F138-4A5C-976F-8EAC2B608ADB}">
              <a16:predDERef xmlns:a16="http://schemas.microsoft.com/office/drawing/2014/main" pred="{D839D552-3E5B-4CE8-A661-B814100D7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261937</xdr:colOff>
      <xdr:row>151</xdr:row>
      <xdr:rowOff>128587</xdr:rowOff>
    </xdr:from>
    <xdr:to>
      <xdr:col>6</xdr:col>
      <xdr:colOff>33337</xdr:colOff>
      <xdr:row>166</xdr:row>
      <xdr:rowOff>14287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0F6214E-E035-4D20-A297-567F50334072}"/>
            </a:ext>
            <a:ext uri="{147F2762-F138-4A5C-976F-8EAC2B608ADB}">
              <a16:predDERef xmlns:a16="http://schemas.microsoft.com/office/drawing/2014/main" pred="{C7D2DD1B-ABCA-450D-AD0D-B7B92CB9E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338137</xdr:colOff>
      <xdr:row>151</xdr:row>
      <xdr:rowOff>119062</xdr:rowOff>
    </xdr:from>
    <xdr:to>
      <xdr:col>11</xdr:col>
      <xdr:colOff>147637</xdr:colOff>
      <xdr:row>166</xdr:row>
      <xdr:rowOff>4762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D433123-59CD-4BA4-9D72-63B0330C1DEF}"/>
            </a:ext>
            <a:ext uri="{147F2762-F138-4A5C-976F-8EAC2B608ADB}">
              <a16:predDERef xmlns:a16="http://schemas.microsoft.com/office/drawing/2014/main" pred="{60F6214E-E035-4D20-A297-567F50334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423862</xdr:colOff>
      <xdr:row>151</xdr:row>
      <xdr:rowOff>119062</xdr:rowOff>
    </xdr:from>
    <xdr:to>
      <xdr:col>18</xdr:col>
      <xdr:colOff>385762</xdr:colOff>
      <xdr:row>166</xdr:row>
      <xdr:rowOff>4762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8FFBD88-ABB2-4872-A100-32EC55AB68DE}"/>
            </a:ext>
            <a:ext uri="{147F2762-F138-4A5C-976F-8EAC2B608ADB}">
              <a16:predDERef xmlns:a16="http://schemas.microsoft.com/office/drawing/2014/main" pred="{8D433123-59CD-4BA4-9D72-63B0330C1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1604962</xdr:colOff>
      <xdr:row>167</xdr:row>
      <xdr:rowOff>176212</xdr:rowOff>
    </xdr:from>
    <xdr:to>
      <xdr:col>7</xdr:col>
      <xdr:colOff>423862</xdr:colOff>
      <xdr:row>182</xdr:row>
      <xdr:rowOff>61912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D6403DC-A711-4958-9D97-7A62B6CFDFAA}"/>
            </a:ext>
            <a:ext uri="{147F2762-F138-4A5C-976F-8EAC2B608ADB}">
              <a16:predDERef xmlns:a16="http://schemas.microsoft.com/office/drawing/2014/main" pred="{98FFBD88-ABB2-4872-A100-32EC55AB6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52387</xdr:colOff>
      <xdr:row>168</xdr:row>
      <xdr:rowOff>4762</xdr:rowOff>
    </xdr:from>
    <xdr:to>
      <xdr:col>13</xdr:col>
      <xdr:colOff>204787</xdr:colOff>
      <xdr:row>182</xdr:row>
      <xdr:rowOff>80962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78E037D-0AC8-455E-B755-2B59AC71D021}"/>
            </a:ext>
            <a:ext uri="{147F2762-F138-4A5C-976F-8EAC2B608ADB}">
              <a16:predDERef xmlns:a16="http://schemas.microsoft.com/office/drawing/2014/main" pred="{1D6403DC-A711-4958-9D97-7A62B6CFD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er Le" id="{FB581D5E-5A6E-4C03-8517-9AC6C7CC0B0A}" userId="S::Peter.Le@sapowernetworks.com.au::e5f944c6-305a-4fe5-ab56-ab7f9c05aed4" providerId="AD"/>
  <person displayName="Daniel Nyland" id="{801EDFF4-3B41-444C-87E5-98814E153EC8}" userId="S::Daniel.Nyland@sapowernetworks.com.au::9f63f423-abd0-45f5-bc97-771a55adde4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" dT="2021-09-21T04:21:34.53" personId="{FB581D5E-5A6E-4C03-8517-9AC6C7CC0B0A}" id="{CB28F48F-ED7B-45AE-9E4E-74C1666257D6}">
    <text>Includes S17 EG expenditure for 2015-20 only</text>
  </threadedComment>
  <threadedComment ref="J6" dT="2021-09-21T04:21:39.99" personId="{FB581D5E-5A6E-4C03-8517-9AC6C7CC0B0A}" id="{30817497-DEFA-49E1-B730-DE23B81188B7}">
    <text>Includes S17 EG expenditure for 2015-20 only</text>
  </threadedComment>
  <threadedComment ref="K6" dT="2021-09-21T04:21:44.65" personId="{FB581D5E-5A6E-4C03-8517-9AC6C7CC0B0A}" id="{008A4E70-AA15-4CDD-ACE2-03675605675C}">
    <text>Includes S17 EG expenditure for 2015-20 only</text>
  </threadedComment>
  <threadedComment ref="L6" dT="2021-09-21T04:21:48.84" personId="{FB581D5E-5A6E-4C03-8517-9AC6C7CC0B0A}" id="{ED9028CF-5D43-4D29-8CED-886376F7A9E6}">
    <text>Includes S17 EG expenditure for 2015-20 only</text>
  </threadedComment>
  <threadedComment ref="M6" dT="2021-09-21T04:21:53.83" personId="{FB581D5E-5A6E-4C03-8517-9AC6C7CC0B0A}" id="{74476F47-038A-4173-9D60-31DA7A2D4E4B}">
    <text>Includes S17 EG expenditure for 2015-20 only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38" dT="2023-02-22T05:47:52.86" personId="{801EDFF4-3B41-444C-87E5-98814E153EC8}" id="{2480B341-3943-4235-A582-B7B7174442AE}">
    <text>Total Expenditure only, not split between Small/Large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294" dT="2021-09-21T05:09:22.59" personId="{FB581D5E-5A6E-4C03-8517-9AC6C7CC0B0A}" id="{7952CA57-FD5F-4063-82F2-B82934D7215B}">
    <text>Less amount reclass as ACS Opex, -$2,277,583.20
Less write-back of over-recoveries vs capital works, -$933,397.08
Add amount reclassified as Connections from Repex, +$19,101.92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D129-C1BE-43B7-9BDA-FF112C9ECE60}">
  <sheetPr>
    <tabColor rgb="FF92D050"/>
    <pageSetUpPr fitToPage="1"/>
  </sheetPr>
  <dimension ref="A1:BS28"/>
  <sheetViews>
    <sheetView zoomScaleNormal="100" workbookViewId="0">
      <pane xSplit="2" ySplit="4" topLeftCell="C5" activePane="bottomRight" state="frozen"/>
      <selection pane="topRight" activeCell="R40" sqref="R40"/>
      <selection pane="bottomLeft" activeCell="R40" sqref="R40"/>
      <selection pane="bottomRight" activeCell="C5" sqref="C5"/>
    </sheetView>
  </sheetViews>
  <sheetFormatPr defaultColWidth="9.140625" defaultRowHeight="15"/>
  <cols>
    <col min="1" max="1" width="7.85546875" style="135" customWidth="1"/>
    <col min="2" max="2" width="10.7109375" style="135" customWidth="1"/>
    <col min="3" max="3" width="11.5703125" style="135" customWidth="1"/>
    <col min="4" max="4" width="12.42578125" style="135" customWidth="1"/>
    <col min="5" max="7" width="11.42578125" style="135" customWidth="1"/>
    <col min="8" max="8" width="10.42578125" style="135" customWidth="1"/>
    <col min="9" max="9" width="11.42578125" style="135" customWidth="1"/>
    <col min="10" max="10" width="12" style="135" customWidth="1"/>
    <col min="11" max="11" width="11.42578125" style="135" customWidth="1"/>
    <col min="12" max="12" width="10.42578125" style="356" customWidth="1"/>
    <col min="13" max="13" width="10.85546875" style="356" customWidth="1"/>
    <col min="14" max="14" width="11.42578125" style="356" customWidth="1"/>
    <col min="15" max="15" width="10.42578125" style="356" customWidth="1"/>
    <col min="16" max="16" width="10.85546875" style="356" customWidth="1"/>
    <col min="17" max="17" width="11.42578125" style="356" customWidth="1"/>
    <col min="18" max="18" width="10.42578125" style="135" customWidth="1"/>
    <col min="19" max="19" width="11.28515625" style="135" customWidth="1"/>
    <col min="20" max="20" width="9.140625" style="135" customWidth="1"/>
    <col min="21" max="21" width="7.85546875" style="135" customWidth="1"/>
    <col min="22" max="22" width="10.42578125" style="135" customWidth="1"/>
    <col min="23" max="23" width="7.85546875" style="135" customWidth="1"/>
    <col min="24" max="24" width="1.85546875" style="135" customWidth="1"/>
    <col min="25" max="26" width="9.140625" style="135"/>
    <col min="27" max="27" width="9.140625" style="135" customWidth="1"/>
    <col min="28" max="33" width="9.140625" style="135"/>
    <col min="34" max="39" width="9.140625" style="356"/>
    <col min="40" max="45" width="9.140625" style="135"/>
    <col min="46" max="46" width="1.85546875" style="135" customWidth="1"/>
    <col min="47" max="48" width="10.7109375" style="135" hidden="1" customWidth="1"/>
    <col min="49" max="49" width="1.85546875" style="135" hidden="1" customWidth="1"/>
    <col min="50" max="50" width="11.42578125" style="135" customWidth="1"/>
    <col min="51" max="51" width="9.140625" style="135"/>
    <col min="52" max="52" width="10" style="135" customWidth="1"/>
    <col min="53" max="53" width="12.85546875" style="135" customWidth="1"/>
    <col min="54" max="55" width="9.140625" style="135"/>
    <col min="56" max="56" width="11.42578125" style="135" customWidth="1"/>
    <col min="57" max="58" width="9.140625" style="135"/>
    <col min="59" max="59" width="11.5703125" style="135" customWidth="1"/>
    <col min="60" max="61" width="9.140625" style="135"/>
    <col min="65" max="70" width="9.140625" style="135"/>
    <col min="71" max="71" width="1.85546875" style="135" customWidth="1"/>
    <col min="72" max="16384" width="9.140625" style="135"/>
  </cols>
  <sheetData>
    <row r="1" spans="1:71">
      <c r="A1" s="448" t="s">
        <v>262</v>
      </c>
    </row>
    <row r="2" spans="1:71" ht="12.75" customHeight="1">
      <c r="Y2" s="519" t="s">
        <v>0</v>
      </c>
      <c r="Z2" s="519"/>
      <c r="AA2" s="519"/>
      <c r="AB2" s="519" t="s">
        <v>1</v>
      </c>
      <c r="AC2" s="519"/>
      <c r="AD2" s="519"/>
      <c r="AE2" s="519" t="s">
        <v>2</v>
      </c>
      <c r="AF2" s="519"/>
      <c r="AG2" s="519"/>
      <c r="AH2" s="537" t="s">
        <v>3</v>
      </c>
      <c r="AI2" s="537"/>
      <c r="AJ2" s="537"/>
      <c r="AK2" s="537" t="s">
        <v>225</v>
      </c>
      <c r="AL2" s="537"/>
      <c r="AM2" s="537"/>
      <c r="AU2" s="136"/>
      <c r="AV2" s="136"/>
      <c r="AX2" s="519" t="s">
        <v>0</v>
      </c>
      <c r="AY2" s="519"/>
      <c r="AZ2" s="519"/>
      <c r="BA2" s="519" t="s">
        <v>1</v>
      </c>
      <c r="BB2" s="519"/>
      <c r="BC2" s="519"/>
      <c r="BD2" s="519" t="s">
        <v>2</v>
      </c>
      <c r="BE2" s="519"/>
      <c r="BF2" s="519"/>
      <c r="BG2" s="519" t="s">
        <v>3</v>
      </c>
      <c r="BH2" s="519"/>
      <c r="BI2" s="519"/>
      <c r="BJ2" s="519" t="s">
        <v>289</v>
      </c>
      <c r="BK2" s="519"/>
      <c r="BL2" s="519"/>
    </row>
    <row r="3" spans="1:71" s="442" customFormat="1" ht="58.5" customHeight="1">
      <c r="A3" s="525"/>
      <c r="B3" s="526" t="s">
        <v>4</v>
      </c>
      <c r="C3" s="438" t="s">
        <v>5</v>
      </c>
      <c r="D3" s="439" t="s">
        <v>6</v>
      </c>
      <c r="E3" s="440" t="s">
        <v>7</v>
      </c>
      <c r="F3" s="441" t="s">
        <v>8</v>
      </c>
      <c r="G3" s="439" t="s">
        <v>9</v>
      </c>
      <c r="H3" s="440" t="s">
        <v>10</v>
      </c>
      <c r="I3" s="441" t="s">
        <v>11</v>
      </c>
      <c r="J3" s="439" t="s">
        <v>12</v>
      </c>
      <c r="K3" s="440" t="s">
        <v>13</v>
      </c>
      <c r="L3" s="441" t="s">
        <v>14</v>
      </c>
      <c r="M3" s="439" t="s">
        <v>15</v>
      </c>
      <c r="N3" s="440" t="s">
        <v>16</v>
      </c>
      <c r="O3" s="441" t="s">
        <v>286</v>
      </c>
      <c r="P3" s="441" t="s">
        <v>317</v>
      </c>
      <c r="Q3" s="440" t="s">
        <v>316</v>
      </c>
      <c r="R3" s="528" t="s">
        <v>17</v>
      </c>
      <c r="S3" s="529"/>
      <c r="T3" s="530" t="s">
        <v>18</v>
      </c>
      <c r="U3" s="529"/>
      <c r="V3" s="528" t="s">
        <v>19</v>
      </c>
      <c r="W3" s="529"/>
      <c r="X3" s="446"/>
      <c r="Y3" s="443" t="s">
        <v>5</v>
      </c>
      <c r="Z3" s="523" t="s">
        <v>20</v>
      </c>
      <c r="AA3" s="531"/>
      <c r="AB3" s="443" t="s">
        <v>8</v>
      </c>
      <c r="AC3" s="524" t="s">
        <v>21</v>
      </c>
      <c r="AD3" s="532"/>
      <c r="AE3" s="443" t="s">
        <v>11</v>
      </c>
      <c r="AF3" s="523" t="s">
        <v>22</v>
      </c>
      <c r="AG3" s="531"/>
      <c r="AH3" s="444" t="s">
        <v>14</v>
      </c>
      <c r="AI3" s="523" t="s">
        <v>23</v>
      </c>
      <c r="AJ3" s="531"/>
      <c r="AK3" s="443" t="s">
        <v>286</v>
      </c>
      <c r="AL3" s="524" t="s">
        <v>287</v>
      </c>
      <c r="AM3" s="532"/>
      <c r="AN3" s="522" t="s">
        <v>24</v>
      </c>
      <c r="AO3" s="523"/>
      <c r="AP3" s="524" t="s">
        <v>18</v>
      </c>
      <c r="AQ3" s="523"/>
      <c r="AR3" s="524" t="s">
        <v>25</v>
      </c>
      <c r="AS3" s="523"/>
      <c r="AU3" s="535" t="s">
        <v>26</v>
      </c>
      <c r="AV3" s="536"/>
      <c r="AX3" s="443" t="s">
        <v>5</v>
      </c>
      <c r="AY3" s="523" t="s">
        <v>20</v>
      </c>
      <c r="AZ3" s="531"/>
      <c r="BA3" s="443" t="s">
        <v>8</v>
      </c>
      <c r="BB3" s="523" t="s">
        <v>27</v>
      </c>
      <c r="BC3" s="531"/>
      <c r="BD3" s="443" t="s">
        <v>11</v>
      </c>
      <c r="BE3" s="523" t="s">
        <v>22</v>
      </c>
      <c r="BF3" s="531"/>
      <c r="BG3" s="443" t="s">
        <v>14</v>
      </c>
      <c r="BH3" s="523" t="s">
        <v>28</v>
      </c>
      <c r="BI3" s="531"/>
      <c r="BJ3" s="443" t="s">
        <v>286</v>
      </c>
      <c r="BK3" s="523" t="s">
        <v>287</v>
      </c>
      <c r="BL3" s="531"/>
      <c r="BM3" s="522" t="s">
        <v>24</v>
      </c>
      <c r="BN3" s="523"/>
      <c r="BO3" s="524" t="s">
        <v>18</v>
      </c>
      <c r="BP3" s="523"/>
      <c r="BQ3" s="524" t="s">
        <v>29</v>
      </c>
      <c r="BR3" s="523"/>
      <c r="BS3" s="445"/>
    </row>
    <row r="4" spans="1:71" ht="9.9499999999999993" customHeight="1">
      <c r="A4" s="525"/>
      <c r="B4" s="527"/>
      <c r="C4" s="137" t="s">
        <v>30</v>
      </c>
      <c r="D4" s="138" t="s">
        <v>30</v>
      </c>
      <c r="E4" s="138" t="s">
        <v>30</v>
      </c>
      <c r="F4" s="138" t="s">
        <v>30</v>
      </c>
      <c r="G4" s="138" t="s">
        <v>30</v>
      </c>
      <c r="H4" s="138" t="s">
        <v>30</v>
      </c>
      <c r="I4" s="138" t="s">
        <v>30</v>
      </c>
      <c r="J4" s="138" t="s">
        <v>30</v>
      </c>
      <c r="K4" s="138" t="s">
        <v>30</v>
      </c>
      <c r="L4" s="138" t="s">
        <v>30</v>
      </c>
      <c r="M4" s="138" t="s">
        <v>30</v>
      </c>
      <c r="N4" s="138" t="s">
        <v>30</v>
      </c>
      <c r="O4" s="138" t="s">
        <v>30</v>
      </c>
      <c r="P4" s="138" t="s">
        <v>30</v>
      </c>
      <c r="Q4" s="138" t="s">
        <v>30</v>
      </c>
      <c r="R4" s="139" t="s">
        <v>30</v>
      </c>
      <c r="S4" s="138" t="s">
        <v>31</v>
      </c>
      <c r="T4" s="139" t="s">
        <v>30</v>
      </c>
      <c r="U4" s="140" t="s">
        <v>31</v>
      </c>
      <c r="V4" s="139" t="s">
        <v>30</v>
      </c>
      <c r="W4" s="140" t="s">
        <v>31</v>
      </c>
      <c r="Y4" s="142" t="s">
        <v>30</v>
      </c>
      <c r="Z4" s="520" t="s">
        <v>30</v>
      </c>
      <c r="AA4" s="521"/>
      <c r="AB4" s="142" t="s">
        <v>30</v>
      </c>
      <c r="AC4" s="520" t="s">
        <v>30</v>
      </c>
      <c r="AD4" s="521"/>
      <c r="AE4" s="142" t="s">
        <v>30</v>
      </c>
      <c r="AF4" s="520" t="s">
        <v>30</v>
      </c>
      <c r="AG4" s="521"/>
      <c r="AH4" s="358" t="s">
        <v>30</v>
      </c>
      <c r="AI4" s="533" t="s">
        <v>30</v>
      </c>
      <c r="AJ4" s="534"/>
      <c r="AK4" s="357" t="s">
        <v>30</v>
      </c>
      <c r="AL4" s="533" t="s">
        <v>30</v>
      </c>
      <c r="AM4" s="534"/>
      <c r="AN4" s="142" t="s">
        <v>30</v>
      </c>
      <c r="AO4" s="252" t="s">
        <v>31</v>
      </c>
      <c r="AP4" s="252" t="s">
        <v>30</v>
      </c>
      <c r="AQ4" s="252" t="s">
        <v>31</v>
      </c>
      <c r="AR4" s="252" t="s">
        <v>30</v>
      </c>
      <c r="AS4" s="252" t="s">
        <v>31</v>
      </c>
      <c r="AT4" s="141"/>
      <c r="AU4" s="143" t="s">
        <v>32</v>
      </c>
      <c r="AV4" s="143" t="s">
        <v>33</v>
      </c>
      <c r="AW4" s="141"/>
      <c r="AX4" s="142" t="s">
        <v>30</v>
      </c>
      <c r="AY4" s="520" t="s">
        <v>30</v>
      </c>
      <c r="AZ4" s="521"/>
      <c r="BA4" s="142" t="s">
        <v>30</v>
      </c>
      <c r="BB4" s="520" t="s">
        <v>30</v>
      </c>
      <c r="BC4" s="521"/>
      <c r="BD4" s="142" t="s">
        <v>30</v>
      </c>
      <c r="BE4" s="520" t="s">
        <v>30</v>
      </c>
      <c r="BF4" s="521"/>
      <c r="BG4" s="142" t="s">
        <v>30</v>
      </c>
      <c r="BH4" s="520" t="s">
        <v>30</v>
      </c>
      <c r="BI4" s="521"/>
      <c r="BJ4" s="142" t="s">
        <v>30</v>
      </c>
      <c r="BK4" s="520" t="s">
        <v>30</v>
      </c>
      <c r="BL4" s="521"/>
      <c r="BM4" s="142" t="s">
        <v>30</v>
      </c>
      <c r="BN4" s="252" t="s">
        <v>31</v>
      </c>
      <c r="BO4" s="252" t="s">
        <v>30</v>
      </c>
      <c r="BP4" s="252" t="s">
        <v>31</v>
      </c>
      <c r="BQ4" s="252" t="s">
        <v>30</v>
      </c>
      <c r="BR4" s="252" t="s">
        <v>31</v>
      </c>
      <c r="BS4" s="144"/>
    </row>
    <row r="5" spans="1:71" ht="12" customHeight="1">
      <c r="A5" s="135" t="s">
        <v>34</v>
      </c>
      <c r="B5" s="145">
        <v>2009</v>
      </c>
      <c r="C5" s="146">
        <f t="shared" ref="C5:K12" si="0">Y5</f>
        <v>3659.0502105923183</v>
      </c>
      <c r="D5" s="147">
        <f t="shared" si="0"/>
        <v>12066.501356192575</v>
      </c>
      <c r="E5" s="148">
        <f t="shared" si="0"/>
        <v>15725.551566784894</v>
      </c>
      <c r="F5" s="147">
        <f t="shared" si="0"/>
        <v>8858.9340429219483</v>
      </c>
      <c r="G5" s="149">
        <f t="shared" si="0"/>
        <v>749.9725794588503</v>
      </c>
      <c r="H5" s="147">
        <f t="shared" si="0"/>
        <v>9608.9066223807986</v>
      </c>
      <c r="I5" s="147">
        <f t="shared" si="0"/>
        <v>35387.696308374463</v>
      </c>
      <c r="J5" s="147">
        <f t="shared" si="0"/>
        <v>6619.3231248239172</v>
      </c>
      <c r="K5" s="147">
        <f t="shared" si="0"/>
        <v>42007.01943319838</v>
      </c>
      <c r="L5" s="147">
        <f t="shared" ref="L5:N6" si="1">AH5</f>
        <v>45097.097735338692</v>
      </c>
      <c r="M5" s="147">
        <f t="shared" si="1"/>
        <v>3651.2149068209401</v>
      </c>
      <c r="N5" s="147">
        <f t="shared" si="1"/>
        <v>48748.312642159632</v>
      </c>
      <c r="O5" s="147">
        <f t="shared" ref="O5:R17" si="2">AK5</f>
        <v>0</v>
      </c>
      <c r="P5" s="147">
        <f t="shared" si="2"/>
        <v>0</v>
      </c>
      <c r="Q5" s="147">
        <f t="shared" si="2"/>
        <v>0</v>
      </c>
      <c r="R5" s="150">
        <f t="shared" si="2"/>
        <v>116089.79026452372</v>
      </c>
      <c r="S5" s="151"/>
      <c r="T5" s="150">
        <f t="shared" ref="T5:T12" si="3">AP5</f>
        <v>93002.778297227429</v>
      </c>
      <c r="U5" s="152"/>
      <c r="V5" s="150">
        <f t="shared" ref="V5:V6" si="4">AR5</f>
        <v>23087.01196729629</v>
      </c>
      <c r="W5" s="152"/>
      <c r="Y5" s="146">
        <f>('Connections_excl EG'!E27)*-1</f>
        <v>3659.0502105923183</v>
      </c>
      <c r="Z5" s="147">
        <f t="shared" ref="Z5:Z6" si="5">AA5-Y5</f>
        <v>12066.501356192575</v>
      </c>
      <c r="AA5" s="147">
        <f>'Connections_excl EG'!E7</f>
        <v>15725.551566784894</v>
      </c>
      <c r="AB5" s="153">
        <f>(('Connections_excl EG'!E34))*-1</f>
        <v>8858.9340429219483</v>
      </c>
      <c r="AC5" s="149">
        <f t="shared" ref="AC5:AC6" si="6">AD5-AB5</f>
        <v>749.9725794588503</v>
      </c>
      <c r="AD5" s="147">
        <f>'Connections_excl EG'!E12</f>
        <v>9608.9066223807986</v>
      </c>
      <c r="AE5" s="146">
        <f>('Connections_excl EG'!E28)*-1</f>
        <v>35387.696308374463</v>
      </c>
      <c r="AF5" s="147">
        <f t="shared" ref="AF5:AF6" si="7">AG5-AE5</f>
        <v>6619.3231248239172</v>
      </c>
      <c r="AG5" s="147">
        <f>'Connections_excl EG'!E8</f>
        <v>42007.01943319838</v>
      </c>
      <c r="AH5" s="344">
        <f>('Connections_excl EG'!E29)*-1</f>
        <v>45097.097735338692</v>
      </c>
      <c r="AI5" s="344">
        <f t="shared" ref="AI5:AI6" si="8">AJ5-AH5</f>
        <v>3651.2149068209401</v>
      </c>
      <c r="AJ5" s="344">
        <f>'Connections_excl EG'!E9</f>
        <v>48748.312642159632</v>
      </c>
      <c r="AK5" s="353"/>
      <c r="AL5" s="344"/>
      <c r="AM5" s="344"/>
      <c r="AN5" s="146">
        <f>AJ5+AG5+AD5+AA5+AM5</f>
        <v>116089.79026452372</v>
      </c>
      <c r="AO5" s="151"/>
      <c r="AP5" s="147">
        <f>Y5+AB5+AE5+AK5+AH5</f>
        <v>93002.778297227429</v>
      </c>
      <c r="AQ5" s="151"/>
      <c r="AR5" s="147">
        <f>AN5-AP5</f>
        <v>23087.01196729629</v>
      </c>
      <c r="AS5" s="151"/>
      <c r="AT5" s="141"/>
      <c r="AU5" s="154"/>
      <c r="AV5" s="154"/>
      <c r="AW5" s="141"/>
      <c r="AX5" s="146"/>
      <c r="AY5" s="147"/>
      <c r="AZ5" s="147"/>
      <c r="BA5" s="146"/>
      <c r="BB5" s="149"/>
      <c r="BC5" s="147"/>
      <c r="BD5" s="146"/>
      <c r="BE5" s="147"/>
      <c r="BF5" s="147"/>
      <c r="BG5" s="146"/>
      <c r="BH5" s="147"/>
      <c r="BI5" s="147"/>
      <c r="BM5" s="146"/>
      <c r="BN5" s="151"/>
      <c r="BO5" s="147"/>
      <c r="BP5" s="155"/>
      <c r="BQ5" s="147"/>
      <c r="BR5" s="156"/>
      <c r="BS5" s="157"/>
    </row>
    <row r="6" spans="1:71" s="136" customFormat="1" ht="9.9499999999999993" customHeight="1">
      <c r="A6" s="158"/>
      <c r="B6" s="159">
        <v>2010</v>
      </c>
      <c r="C6" s="160">
        <f t="shared" si="0"/>
        <v>3302.5589518339748</v>
      </c>
      <c r="D6" s="161">
        <f t="shared" si="0"/>
        <v>13425.102564003048</v>
      </c>
      <c r="E6" s="162">
        <f t="shared" si="0"/>
        <v>16727.661515837022</v>
      </c>
      <c r="F6" s="161">
        <f t="shared" si="0"/>
        <v>6823.6155904236848</v>
      </c>
      <c r="G6" s="163">
        <f t="shared" si="0"/>
        <v>-1065.767621468106</v>
      </c>
      <c r="H6" s="161">
        <f t="shared" si="0"/>
        <v>5757.8479689555788</v>
      </c>
      <c r="I6" s="161">
        <f t="shared" si="0"/>
        <v>30184.649298973243</v>
      </c>
      <c r="J6" s="161">
        <f t="shared" si="0"/>
        <v>8886.4428442823337</v>
      </c>
      <c r="K6" s="161">
        <f t="shared" si="0"/>
        <v>39071.092143255577</v>
      </c>
      <c r="L6" s="161">
        <f t="shared" si="1"/>
        <v>77046.199679960904</v>
      </c>
      <c r="M6" s="161">
        <f t="shared" si="1"/>
        <v>-13305.136414804132</v>
      </c>
      <c r="N6" s="161">
        <f t="shared" si="1"/>
        <v>63741.063265156772</v>
      </c>
      <c r="O6" s="161">
        <f t="shared" si="2"/>
        <v>0</v>
      </c>
      <c r="P6" s="161">
        <f t="shared" si="2"/>
        <v>0</v>
      </c>
      <c r="Q6" s="161">
        <f t="shared" si="2"/>
        <v>0</v>
      </c>
      <c r="R6" s="164">
        <f t="shared" si="2"/>
        <v>125297.66489320496</v>
      </c>
      <c r="S6" s="165">
        <f t="shared" ref="S6:S26" si="9">(R6-R5)/R5</f>
        <v>7.9316834044579232E-2</v>
      </c>
      <c r="T6" s="164">
        <f t="shared" si="3"/>
        <v>117357.0235211918</v>
      </c>
      <c r="U6" s="166">
        <f t="shared" ref="U6:U7" si="10">(T6-T5)/T5</f>
        <v>0.26186578153752227</v>
      </c>
      <c r="V6" s="164">
        <f t="shared" si="4"/>
        <v>7940.6413720131532</v>
      </c>
      <c r="W6" s="166">
        <f t="shared" ref="W6:W26" si="11">(V6-V5)/V5</f>
        <v>-0.65605590782984824</v>
      </c>
      <c r="Y6" s="160">
        <f>('Connections_excl EG'!F27)*-1</f>
        <v>3302.5589518339748</v>
      </c>
      <c r="Z6" s="161">
        <f t="shared" si="5"/>
        <v>13425.102564003048</v>
      </c>
      <c r="AA6" s="161">
        <f>'Connections_excl EG'!F7</f>
        <v>16727.661515837022</v>
      </c>
      <c r="AB6" s="168">
        <f>(('Connections_excl EG'!F34))*-1</f>
        <v>6823.6155904236848</v>
      </c>
      <c r="AC6" s="163">
        <f t="shared" si="6"/>
        <v>-1065.767621468106</v>
      </c>
      <c r="AD6" s="161">
        <f>'Connections_excl EG'!F12</f>
        <v>5757.8479689555788</v>
      </c>
      <c r="AE6" s="160">
        <f>('Connections_excl EG'!F28)*-1</f>
        <v>30184.649298973243</v>
      </c>
      <c r="AF6" s="161">
        <f t="shared" si="7"/>
        <v>8886.4428442823337</v>
      </c>
      <c r="AG6" s="161">
        <f>'Connections_excl EG'!F8</f>
        <v>39071.092143255577</v>
      </c>
      <c r="AH6" s="355">
        <f>('Connections_excl EG'!F29)*-1</f>
        <v>77046.199679960904</v>
      </c>
      <c r="AI6" s="355">
        <f t="shared" si="8"/>
        <v>-13305.136414804132</v>
      </c>
      <c r="AJ6" s="344">
        <f>'Connections_excl EG'!F9</f>
        <v>63741.063265156772</v>
      </c>
      <c r="AK6" s="354"/>
      <c r="AL6" s="359"/>
      <c r="AM6" s="359"/>
      <c r="AN6" s="146">
        <f t="shared" ref="AN6:AN19" si="12">AJ6+AG6+AD6+AA6+AM6</f>
        <v>125297.66489320496</v>
      </c>
      <c r="AO6" s="165">
        <f t="shared" ref="AO6:AO7" si="13">(AN6-AN5)/AN5</f>
        <v>7.9316834044579232E-2</v>
      </c>
      <c r="AP6" s="147">
        <f t="shared" ref="AP6:AP19" si="14">Y6+AB6+AE6+AK6+AH6</f>
        <v>117357.0235211918</v>
      </c>
      <c r="AQ6" s="165">
        <f t="shared" ref="AQ6:AQ7" si="15">(AP6-AP5)/AP5</f>
        <v>0.26186578153752227</v>
      </c>
      <c r="AR6" s="161">
        <f t="shared" ref="AR6" si="16">AN6-AP6</f>
        <v>7940.6413720131532</v>
      </c>
      <c r="AS6" s="165">
        <f t="shared" ref="AS6:AS7" si="17">(AR6-AR5)/AR5</f>
        <v>-0.65605590782984824</v>
      </c>
      <c r="AT6" s="167"/>
      <c r="AU6" s="169"/>
      <c r="AV6" s="169"/>
      <c r="AW6" s="167"/>
      <c r="AX6" s="160"/>
      <c r="AY6" s="161"/>
      <c r="AZ6" s="161"/>
      <c r="BA6" s="160"/>
      <c r="BB6" s="163"/>
      <c r="BC6" s="161"/>
      <c r="BD6" s="160"/>
      <c r="BE6" s="161"/>
      <c r="BF6" s="161"/>
      <c r="BG6" s="160"/>
      <c r="BH6" s="161"/>
      <c r="BI6" s="161"/>
      <c r="BM6" s="160"/>
      <c r="BN6" s="165"/>
      <c r="BO6" s="161"/>
      <c r="BP6" s="170"/>
      <c r="BQ6" s="161"/>
      <c r="BR6" s="171"/>
      <c r="BS6" s="172"/>
    </row>
    <row r="7" spans="1:71" ht="12" customHeight="1">
      <c r="B7" s="145">
        <v>2011</v>
      </c>
      <c r="C7" s="146">
        <f t="shared" si="0"/>
        <v>2769.9357081705684</v>
      </c>
      <c r="D7" s="147">
        <f t="shared" si="0"/>
        <v>10932.075164001646</v>
      </c>
      <c r="E7" s="148">
        <f t="shared" si="0"/>
        <v>13702.010872172214</v>
      </c>
      <c r="F7" s="147">
        <f t="shared" si="0"/>
        <v>3156.617063978299</v>
      </c>
      <c r="G7" s="149">
        <f t="shared" si="0"/>
        <v>2532.6456183548921</v>
      </c>
      <c r="H7" s="147">
        <f t="shared" si="0"/>
        <v>5689.2626823331912</v>
      </c>
      <c r="I7" s="147">
        <f t="shared" si="0"/>
        <v>23964.286174558591</v>
      </c>
      <c r="J7" s="147">
        <f t="shared" si="0"/>
        <v>6380.1109601301723</v>
      </c>
      <c r="K7" s="147">
        <f t="shared" si="0"/>
        <v>30344.397134688763</v>
      </c>
      <c r="L7" s="147">
        <f t="shared" ref="L7:L18" si="18">AH7</f>
        <v>45958.972871605838</v>
      </c>
      <c r="M7" s="147">
        <f t="shared" ref="M7:M18" si="19">AI7</f>
        <v>-6071.3903454429092</v>
      </c>
      <c r="N7" s="147">
        <f t="shared" ref="N7:N18" si="20">AJ7</f>
        <v>39887.582526162929</v>
      </c>
      <c r="O7" s="147">
        <f t="shared" si="2"/>
        <v>0</v>
      </c>
      <c r="P7" s="147">
        <f t="shared" si="2"/>
        <v>0</v>
      </c>
      <c r="Q7" s="147">
        <f t="shared" si="2"/>
        <v>0</v>
      </c>
      <c r="R7" s="150">
        <f t="shared" si="2"/>
        <v>89623.253215357108</v>
      </c>
      <c r="S7" s="151">
        <f t="shared" si="9"/>
        <v>-0.28471729068737428</v>
      </c>
      <c r="T7" s="150">
        <f t="shared" si="3"/>
        <v>75849.81181831329</v>
      </c>
      <c r="U7" s="152">
        <f t="shared" si="10"/>
        <v>-0.353683234777877</v>
      </c>
      <c r="V7" s="150">
        <f>AR7</f>
        <v>13773.441397043818</v>
      </c>
      <c r="W7" s="152">
        <f t="shared" si="11"/>
        <v>0.73455023993255886</v>
      </c>
      <c r="Y7" s="146">
        <f>('Connections_excl EG'!G27)*-1</f>
        <v>2769.9357081705684</v>
      </c>
      <c r="Z7" s="147">
        <f>AA7-Y7</f>
        <v>10932.075164001646</v>
      </c>
      <c r="AA7" s="147">
        <f>'Connections_excl EG'!G7</f>
        <v>13702.010872172214</v>
      </c>
      <c r="AB7" s="153">
        <f>(('Connections_excl EG'!G34))*-1</f>
        <v>3156.617063978299</v>
      </c>
      <c r="AC7" s="149">
        <f>AD7-AB7</f>
        <v>2532.6456183548921</v>
      </c>
      <c r="AD7" s="147">
        <f>'Connections_excl EG'!G12</f>
        <v>5689.2626823331912</v>
      </c>
      <c r="AE7" s="146">
        <f>('Connections_excl EG'!G28)*-1</f>
        <v>23964.286174558591</v>
      </c>
      <c r="AF7" s="147">
        <f>AG7-AE7</f>
        <v>6380.1109601301723</v>
      </c>
      <c r="AG7" s="147">
        <f>'Connections_excl EG'!G8</f>
        <v>30344.397134688763</v>
      </c>
      <c r="AH7" s="355">
        <f>('Connections_excl EG'!G29)*-1</f>
        <v>45958.972871605838</v>
      </c>
      <c r="AI7" s="344">
        <f>AJ7-AH7</f>
        <v>-6071.3903454429092</v>
      </c>
      <c r="AJ7" s="344">
        <f>'Connections_excl EG'!G9</f>
        <v>39887.582526162929</v>
      </c>
      <c r="AK7" s="353"/>
      <c r="AL7" s="344"/>
      <c r="AM7" s="344"/>
      <c r="AN7" s="146">
        <f t="shared" si="12"/>
        <v>89623.253215357108</v>
      </c>
      <c r="AO7" s="151">
        <f t="shared" si="13"/>
        <v>-0.28471729068737428</v>
      </c>
      <c r="AP7" s="147">
        <f t="shared" si="14"/>
        <v>75849.81181831329</v>
      </c>
      <c r="AQ7" s="151">
        <f t="shared" si="15"/>
        <v>-0.353683234777877</v>
      </c>
      <c r="AR7" s="147">
        <f>AN7-AP7</f>
        <v>13773.441397043818</v>
      </c>
      <c r="AS7" s="151">
        <f t="shared" si="17"/>
        <v>0.73455023993255886</v>
      </c>
      <c r="AT7" s="141"/>
      <c r="AU7" s="154"/>
      <c r="AV7" s="154"/>
      <c r="AW7" s="141"/>
      <c r="AX7" s="146"/>
      <c r="AY7" s="147"/>
      <c r="AZ7" s="147"/>
      <c r="BA7" s="146"/>
      <c r="BB7" s="149"/>
      <c r="BC7" s="147"/>
      <c r="BD7" s="146"/>
      <c r="BE7" s="147"/>
      <c r="BF7" s="147"/>
      <c r="BG7" s="146"/>
      <c r="BH7" s="147"/>
      <c r="BI7" s="147"/>
      <c r="BM7" s="146"/>
      <c r="BN7" s="151"/>
      <c r="BO7" s="147"/>
      <c r="BP7" s="155"/>
      <c r="BQ7" s="147"/>
      <c r="BR7" s="156"/>
      <c r="BS7" s="157"/>
    </row>
    <row r="8" spans="1:71" ht="12" customHeight="1">
      <c r="B8" s="145">
        <v>2012</v>
      </c>
      <c r="C8" s="146">
        <f t="shared" si="0"/>
        <v>2206.0071375639704</v>
      </c>
      <c r="D8" s="147">
        <f t="shared" si="0"/>
        <v>10800.174661016872</v>
      </c>
      <c r="E8" s="148">
        <f t="shared" si="0"/>
        <v>13006.181798580843</v>
      </c>
      <c r="F8" s="149">
        <f t="shared" si="0"/>
        <v>5257.9270707912174</v>
      </c>
      <c r="G8" s="149">
        <f t="shared" si="0"/>
        <v>-750.31085407949013</v>
      </c>
      <c r="H8" s="147">
        <f t="shared" si="0"/>
        <v>4507.6162167117272</v>
      </c>
      <c r="I8" s="147">
        <f t="shared" si="0"/>
        <v>15336.862918710693</v>
      </c>
      <c r="J8" s="147">
        <f t="shared" si="0"/>
        <v>11464.853799414868</v>
      </c>
      <c r="K8" s="147">
        <f t="shared" si="0"/>
        <v>26801.716718125561</v>
      </c>
      <c r="L8" s="161">
        <f t="shared" si="18"/>
        <v>26596.069795120566</v>
      </c>
      <c r="M8" s="161">
        <f t="shared" si="19"/>
        <v>10296.014641762333</v>
      </c>
      <c r="N8" s="161">
        <f t="shared" si="20"/>
        <v>36892.084436882898</v>
      </c>
      <c r="O8" s="147">
        <f t="shared" si="2"/>
        <v>0</v>
      </c>
      <c r="P8" s="147">
        <f t="shared" si="2"/>
        <v>0</v>
      </c>
      <c r="Q8" s="147">
        <f t="shared" si="2"/>
        <v>0</v>
      </c>
      <c r="R8" s="150">
        <f t="shared" si="2"/>
        <v>81207.599170301037</v>
      </c>
      <c r="S8" s="151">
        <f t="shared" si="9"/>
        <v>-9.3900341073693966E-2</v>
      </c>
      <c r="T8" s="150">
        <f t="shared" si="3"/>
        <v>49396.866922186447</v>
      </c>
      <c r="U8" s="152">
        <f>(T8-T7)/T7</f>
        <v>-0.34875425873818722</v>
      </c>
      <c r="V8" s="150">
        <f t="shared" ref="V8:V13" si="21">AR8</f>
        <v>31810.732248114589</v>
      </c>
      <c r="W8" s="152">
        <f t="shared" si="11"/>
        <v>1.3095703775922043</v>
      </c>
      <c r="Y8" s="146">
        <f>('Connections_excl EG'!H27)*-1</f>
        <v>2206.0071375639704</v>
      </c>
      <c r="Z8" s="147">
        <f t="shared" ref="Z8:Z17" si="22">AA8-Y8</f>
        <v>10800.174661016872</v>
      </c>
      <c r="AA8" s="147">
        <f>'Connections_excl EG'!H7</f>
        <v>13006.181798580843</v>
      </c>
      <c r="AB8" s="153">
        <f>(('Connections_excl EG'!H34))*-1</f>
        <v>5257.9270707912174</v>
      </c>
      <c r="AC8" s="149">
        <f t="shared" ref="AC8:AC17" si="23">AD8-AB8</f>
        <v>-750.31085407949013</v>
      </c>
      <c r="AD8" s="147">
        <f>'Connections_excl EG'!H12</f>
        <v>4507.6162167117272</v>
      </c>
      <c r="AE8" s="146">
        <f>('Connections_excl EG'!H28)*-1</f>
        <v>15336.862918710693</v>
      </c>
      <c r="AF8" s="147">
        <f t="shared" ref="AF8:AF17" si="24">AG8-AE8</f>
        <v>11464.853799414868</v>
      </c>
      <c r="AG8" s="147">
        <f>'Connections_excl EG'!H8</f>
        <v>26801.716718125561</v>
      </c>
      <c r="AH8" s="355">
        <f>('Connections_excl EG'!H29)*-1</f>
        <v>26596.069795120566</v>
      </c>
      <c r="AI8" s="344">
        <f t="shared" ref="AI8:AI17" si="25">AJ8-AH8</f>
        <v>10296.014641762333</v>
      </c>
      <c r="AJ8" s="344">
        <f>'Connections_excl EG'!H9</f>
        <v>36892.084436882898</v>
      </c>
      <c r="AK8" s="353"/>
      <c r="AL8" s="344"/>
      <c r="AM8" s="344"/>
      <c r="AN8" s="146">
        <f t="shared" si="12"/>
        <v>81207.599170301037</v>
      </c>
      <c r="AO8" s="151">
        <f>(AN8-AN7)/AN7</f>
        <v>-9.3900341073693966E-2</v>
      </c>
      <c r="AP8" s="147">
        <f t="shared" si="14"/>
        <v>49396.866922186447</v>
      </c>
      <c r="AQ8" s="151">
        <f>(AP8-AP7)/AP7</f>
        <v>-0.34875425873818722</v>
      </c>
      <c r="AR8" s="147">
        <f t="shared" ref="AR8:AR17" si="26">AN8-AP8</f>
        <v>31810.732248114589</v>
      </c>
      <c r="AS8" s="151">
        <f>(AR8-AR7)/AR7</f>
        <v>1.3095703775922043</v>
      </c>
      <c r="AT8" s="141"/>
      <c r="AU8" s="154"/>
      <c r="AV8" s="154"/>
      <c r="AW8" s="141"/>
      <c r="AX8" s="146"/>
      <c r="AY8" s="147"/>
      <c r="AZ8" s="147"/>
      <c r="BA8" s="146"/>
      <c r="BB8" s="149"/>
      <c r="BC8" s="147"/>
      <c r="BD8" s="146"/>
      <c r="BE8" s="147"/>
      <c r="BF8" s="147"/>
      <c r="BG8" s="146"/>
      <c r="BH8" s="147"/>
      <c r="BI8" s="147"/>
      <c r="BM8" s="146"/>
      <c r="BN8" s="151"/>
      <c r="BO8" s="147"/>
      <c r="BP8" s="155"/>
      <c r="BQ8" s="147"/>
      <c r="BR8" s="156"/>
      <c r="BS8" s="157"/>
    </row>
    <row r="9" spans="1:71" ht="12" customHeight="1">
      <c r="B9" s="145">
        <v>2013</v>
      </c>
      <c r="C9" s="146">
        <f t="shared" si="0"/>
        <v>1765.7224005772978</v>
      </c>
      <c r="D9" s="147">
        <f t="shared" si="0"/>
        <v>12242.883550089777</v>
      </c>
      <c r="E9" s="148">
        <f t="shared" si="0"/>
        <v>14008.605950667074</v>
      </c>
      <c r="F9" s="149">
        <f t="shared" si="0"/>
        <v>1146.4964981631133</v>
      </c>
      <c r="G9" s="173">
        <f t="shared" si="0"/>
        <v>4281.4290992844963</v>
      </c>
      <c r="H9" s="147">
        <f t="shared" si="0"/>
        <v>5427.9255974476091</v>
      </c>
      <c r="I9" s="147">
        <f t="shared" si="0"/>
        <v>10950.81949983503</v>
      </c>
      <c r="J9" s="147">
        <f t="shared" si="0"/>
        <v>16173.382699052065</v>
      </c>
      <c r="K9" s="147">
        <f t="shared" si="0"/>
        <v>27124.202198887095</v>
      </c>
      <c r="L9" s="147">
        <f t="shared" si="18"/>
        <v>26124.476054046856</v>
      </c>
      <c r="M9" s="147">
        <f t="shared" si="19"/>
        <v>11309.447759277806</v>
      </c>
      <c r="N9" s="147">
        <f t="shared" si="20"/>
        <v>37433.923813324662</v>
      </c>
      <c r="O9" s="147">
        <f t="shared" si="2"/>
        <v>0</v>
      </c>
      <c r="P9" s="147">
        <f t="shared" si="2"/>
        <v>0</v>
      </c>
      <c r="Q9" s="147">
        <f t="shared" si="2"/>
        <v>0</v>
      </c>
      <c r="R9" s="150">
        <f t="shared" si="2"/>
        <v>83994.657560326435</v>
      </c>
      <c r="S9" s="151">
        <f t="shared" si="9"/>
        <v>3.4320167305779338E-2</v>
      </c>
      <c r="T9" s="150">
        <f t="shared" si="3"/>
        <v>39987.514452622301</v>
      </c>
      <c r="U9" s="152">
        <f t="shared" ref="U9:U26" si="27">(T9-T8)/T8</f>
        <v>-0.190484803102724</v>
      </c>
      <c r="V9" s="150">
        <f t="shared" si="21"/>
        <v>44007.143107704134</v>
      </c>
      <c r="W9" s="152">
        <f t="shared" si="11"/>
        <v>0.3834055363599001</v>
      </c>
      <c r="Y9" s="146">
        <f>('Connections_excl EG'!I27)*-1</f>
        <v>1765.7224005772978</v>
      </c>
      <c r="Z9" s="147">
        <f t="shared" si="22"/>
        <v>12242.883550089777</v>
      </c>
      <c r="AA9" s="147">
        <f>'Connections_excl EG'!I7</f>
        <v>14008.605950667074</v>
      </c>
      <c r="AB9" s="153">
        <f>(('Connections_excl EG'!I34))*-1</f>
        <v>1146.4964981631133</v>
      </c>
      <c r="AC9" s="173">
        <f t="shared" si="23"/>
        <v>4281.4290992844963</v>
      </c>
      <c r="AD9" s="147">
        <f>'Connections_excl EG'!I12</f>
        <v>5427.9255974476091</v>
      </c>
      <c r="AE9" s="146">
        <f>('Connections_excl EG'!I28)*-1</f>
        <v>10950.81949983503</v>
      </c>
      <c r="AF9" s="147">
        <f t="shared" si="24"/>
        <v>16173.382699052065</v>
      </c>
      <c r="AG9" s="147">
        <f>'Connections_excl EG'!I8</f>
        <v>27124.202198887095</v>
      </c>
      <c r="AH9" s="344">
        <f>('Connections_excl EG'!I29)*-1</f>
        <v>26124.476054046856</v>
      </c>
      <c r="AI9" s="344">
        <f t="shared" si="25"/>
        <v>11309.447759277806</v>
      </c>
      <c r="AJ9" s="344">
        <f>'Connections_excl EG'!I9</f>
        <v>37433.923813324662</v>
      </c>
      <c r="AK9" s="353"/>
      <c r="AL9" s="344"/>
      <c r="AM9" s="344"/>
      <c r="AN9" s="146">
        <f t="shared" si="12"/>
        <v>83994.657560326435</v>
      </c>
      <c r="AO9" s="151">
        <f t="shared" ref="AO9:AO17" si="28">(AN9-AN8)/AN8</f>
        <v>3.4320167305779338E-2</v>
      </c>
      <c r="AP9" s="147">
        <f t="shared" si="14"/>
        <v>39987.514452622301</v>
      </c>
      <c r="AQ9" s="151">
        <f t="shared" ref="AQ9:AQ17" si="29">(AP9-AP8)/AP8</f>
        <v>-0.190484803102724</v>
      </c>
      <c r="AR9" s="147">
        <f t="shared" si="26"/>
        <v>44007.143107704134</v>
      </c>
      <c r="AS9" s="151">
        <f t="shared" ref="AS9:AS17" si="30">(AR9-AR8)/AR8</f>
        <v>0.3834055363599001</v>
      </c>
      <c r="AT9" s="141"/>
      <c r="AU9" s="154"/>
      <c r="AV9" s="154"/>
      <c r="AW9" s="141"/>
      <c r="AX9" s="146"/>
      <c r="AY9" s="147"/>
      <c r="AZ9" s="147"/>
      <c r="BA9" s="146"/>
      <c r="BB9" s="173"/>
      <c r="BC9" s="147"/>
      <c r="BD9" s="146"/>
      <c r="BE9" s="147"/>
      <c r="BF9" s="147"/>
      <c r="BG9" s="146"/>
      <c r="BH9" s="147"/>
      <c r="BI9" s="147"/>
      <c r="BM9" s="146"/>
      <c r="BN9" s="151"/>
      <c r="BO9" s="147"/>
      <c r="BP9" s="155"/>
      <c r="BQ9" s="147"/>
      <c r="BR9" s="156"/>
      <c r="BS9" s="157"/>
    </row>
    <row r="10" spans="1:71" ht="12" customHeight="1">
      <c r="B10" s="145">
        <v>2014</v>
      </c>
      <c r="C10" s="146">
        <f t="shared" si="0"/>
        <v>2213.3277496077931</v>
      </c>
      <c r="D10" s="147">
        <f t="shared" si="0"/>
        <v>14184.068231314537</v>
      </c>
      <c r="E10" s="148">
        <f t="shared" si="0"/>
        <v>16397.395980922331</v>
      </c>
      <c r="F10" s="149">
        <f t="shared" si="0"/>
        <v>2063.5389876038539</v>
      </c>
      <c r="G10" s="173">
        <f t="shared" si="0"/>
        <v>2708.6779948384415</v>
      </c>
      <c r="H10" s="147">
        <f t="shared" si="0"/>
        <v>4772.2169824422954</v>
      </c>
      <c r="I10" s="147">
        <f t="shared" si="0"/>
        <v>14249.414339760366</v>
      </c>
      <c r="J10" s="147">
        <f t="shared" si="0"/>
        <v>9311.8886560937317</v>
      </c>
      <c r="K10" s="147">
        <f t="shared" si="0"/>
        <v>23561.302995854097</v>
      </c>
      <c r="L10" s="161">
        <f t="shared" si="18"/>
        <v>29104.036329791561</v>
      </c>
      <c r="M10" s="161">
        <f t="shared" si="19"/>
        <v>7706.8637071810954</v>
      </c>
      <c r="N10" s="161">
        <f t="shared" si="20"/>
        <v>36810.900036972656</v>
      </c>
      <c r="O10" s="147">
        <f t="shared" si="2"/>
        <v>0</v>
      </c>
      <c r="P10" s="147">
        <f t="shared" si="2"/>
        <v>0</v>
      </c>
      <c r="Q10" s="147">
        <f t="shared" si="2"/>
        <v>0</v>
      </c>
      <c r="R10" s="150">
        <f t="shared" si="2"/>
        <v>81541.815996191377</v>
      </c>
      <c r="S10" s="151">
        <f t="shared" si="9"/>
        <v>-2.9202352094517256E-2</v>
      </c>
      <c r="T10" s="150">
        <f t="shared" si="3"/>
        <v>47630.31740676357</v>
      </c>
      <c r="U10" s="152">
        <f t="shared" si="27"/>
        <v>0.19112973283689727</v>
      </c>
      <c r="V10" s="150">
        <f t="shared" si="21"/>
        <v>33911.498589427807</v>
      </c>
      <c r="W10" s="152">
        <f t="shared" si="11"/>
        <v>-0.22940922326105118</v>
      </c>
      <c r="Y10" s="146">
        <f>('Connections_excl EG'!J27)*-1</f>
        <v>2213.3277496077931</v>
      </c>
      <c r="Z10" s="147">
        <f t="shared" si="22"/>
        <v>14184.068231314537</v>
      </c>
      <c r="AA10" s="147">
        <f>'Connections_excl EG'!J7</f>
        <v>16397.395980922331</v>
      </c>
      <c r="AB10" s="153">
        <f>(('Connections_excl EG'!J34))*-1</f>
        <v>2063.5389876038539</v>
      </c>
      <c r="AC10" s="173">
        <f t="shared" si="23"/>
        <v>2708.6779948384415</v>
      </c>
      <c r="AD10" s="147">
        <f>'Connections_excl EG'!J12</f>
        <v>4772.2169824422954</v>
      </c>
      <c r="AE10" s="146">
        <f>('Connections_excl EG'!J28)*-1</f>
        <v>14249.414339760366</v>
      </c>
      <c r="AF10" s="147">
        <f t="shared" si="24"/>
        <v>9311.8886560937317</v>
      </c>
      <c r="AG10" s="147">
        <f>'Connections_excl EG'!J8</f>
        <v>23561.302995854097</v>
      </c>
      <c r="AH10" s="344">
        <f>('Connections_excl EG'!J29)*-1</f>
        <v>29104.036329791561</v>
      </c>
      <c r="AI10" s="344">
        <f t="shared" si="25"/>
        <v>7706.8637071810954</v>
      </c>
      <c r="AJ10" s="344">
        <f>'Connections_excl EG'!J9</f>
        <v>36810.900036972656</v>
      </c>
      <c r="AK10" s="353"/>
      <c r="AL10" s="344"/>
      <c r="AM10" s="344"/>
      <c r="AN10" s="146">
        <f t="shared" si="12"/>
        <v>81541.815996191377</v>
      </c>
      <c r="AO10" s="151">
        <f t="shared" si="28"/>
        <v>-2.9202352094517256E-2</v>
      </c>
      <c r="AP10" s="147">
        <f t="shared" si="14"/>
        <v>47630.31740676357</v>
      </c>
      <c r="AQ10" s="151">
        <f t="shared" si="29"/>
        <v>0.19112973283689727</v>
      </c>
      <c r="AR10" s="147">
        <f t="shared" si="26"/>
        <v>33911.498589427807</v>
      </c>
      <c r="AS10" s="151">
        <f t="shared" si="30"/>
        <v>-0.22940922326105118</v>
      </c>
      <c r="AT10" s="141"/>
      <c r="AU10" s="154"/>
      <c r="AV10" s="154"/>
      <c r="AW10" s="141"/>
      <c r="AX10" s="146"/>
      <c r="AY10" s="147"/>
      <c r="AZ10" s="147"/>
      <c r="BA10" s="146"/>
      <c r="BB10" s="173"/>
      <c r="BC10" s="147"/>
      <c r="BD10" s="146"/>
      <c r="BE10" s="147"/>
      <c r="BF10" s="147"/>
      <c r="BG10" s="146"/>
      <c r="BH10" s="147"/>
      <c r="BI10" s="147"/>
      <c r="BM10" s="146"/>
      <c r="BN10" s="151"/>
      <c r="BO10" s="147"/>
      <c r="BP10" s="155"/>
      <c r="BQ10" s="147"/>
      <c r="BR10" s="156"/>
      <c r="BS10" s="157"/>
    </row>
    <row r="11" spans="1:71" s="136" customFormat="1" ht="12" customHeight="1">
      <c r="B11" s="159">
        <v>2015</v>
      </c>
      <c r="C11" s="160">
        <f t="shared" si="0"/>
        <v>2407.4211862549905</v>
      </c>
      <c r="D11" s="161">
        <f t="shared" si="0"/>
        <v>13534.824629387582</v>
      </c>
      <c r="E11" s="174">
        <f t="shared" si="0"/>
        <v>15942.245815642573</v>
      </c>
      <c r="F11" s="163">
        <f t="shared" si="0"/>
        <v>5138.4605095149827</v>
      </c>
      <c r="G11" s="163">
        <f t="shared" si="0"/>
        <v>462.84759663387194</v>
      </c>
      <c r="H11" s="175">
        <f t="shared" si="0"/>
        <v>5601.3081061488547</v>
      </c>
      <c r="I11" s="161">
        <f t="shared" si="0"/>
        <v>11989.05057312488</v>
      </c>
      <c r="J11" s="161">
        <f t="shared" si="0"/>
        <v>12363.756174787637</v>
      </c>
      <c r="K11" s="174">
        <f t="shared" si="0"/>
        <v>24352.806747912517</v>
      </c>
      <c r="L11" s="147">
        <f t="shared" si="18"/>
        <v>14461.258523164555</v>
      </c>
      <c r="M11" s="147">
        <f t="shared" si="19"/>
        <v>10445.119852766888</v>
      </c>
      <c r="N11" s="147">
        <f t="shared" si="20"/>
        <v>24906.378375931443</v>
      </c>
      <c r="O11" s="161">
        <f t="shared" si="2"/>
        <v>0</v>
      </c>
      <c r="P11" s="161">
        <f t="shared" si="2"/>
        <v>0</v>
      </c>
      <c r="Q11" s="174">
        <f t="shared" si="2"/>
        <v>0</v>
      </c>
      <c r="R11" s="164">
        <f t="shared" si="2"/>
        <v>70802.73904563539</v>
      </c>
      <c r="S11" s="165">
        <f t="shared" si="9"/>
        <v>-0.13170024262223426</v>
      </c>
      <c r="T11" s="164">
        <f t="shared" si="3"/>
        <v>33996.190792059409</v>
      </c>
      <c r="U11" s="166">
        <f t="shared" si="27"/>
        <v>-0.28624891365448041</v>
      </c>
      <c r="V11" s="164">
        <f t="shared" si="21"/>
        <v>36806.54825357598</v>
      </c>
      <c r="W11" s="166">
        <f t="shared" si="11"/>
        <v>8.5370738085008405E-2</v>
      </c>
      <c r="Y11" s="160">
        <f>('Connections_excl EG'!K27)*-1</f>
        <v>2407.4211862549905</v>
      </c>
      <c r="Z11" s="161">
        <f t="shared" si="22"/>
        <v>13534.824629387582</v>
      </c>
      <c r="AA11" s="161">
        <f>'Connections_excl EG'!K7</f>
        <v>15942.245815642573</v>
      </c>
      <c r="AB11" s="168">
        <f>(('Connections_excl EG'!K34))*-1</f>
        <v>5138.4605095149827</v>
      </c>
      <c r="AC11" s="163">
        <f t="shared" si="23"/>
        <v>462.84759663387194</v>
      </c>
      <c r="AD11" s="161">
        <f>'Connections_excl EG'!K12</f>
        <v>5601.3081061488547</v>
      </c>
      <c r="AE11" s="160">
        <f>('Connections_excl EG'!K28)*-1</f>
        <v>11989.05057312488</v>
      </c>
      <c r="AF11" s="161">
        <f t="shared" si="24"/>
        <v>12363.756174787637</v>
      </c>
      <c r="AG11" s="161">
        <f>'Connections_excl EG'!K8</f>
        <v>24352.806747912517</v>
      </c>
      <c r="AH11" s="355">
        <f>('Connections_excl EG'!K29)*-1</f>
        <v>14461.258523164555</v>
      </c>
      <c r="AI11" s="355">
        <f t="shared" si="25"/>
        <v>10445.119852766888</v>
      </c>
      <c r="AJ11" s="355">
        <f>'Connections_excl EG'!K9</f>
        <v>24906.378375931443</v>
      </c>
      <c r="AK11" s="354"/>
      <c r="AL11" s="359"/>
      <c r="AM11" s="359"/>
      <c r="AN11" s="146">
        <f t="shared" si="12"/>
        <v>70802.73904563539</v>
      </c>
      <c r="AO11" s="165">
        <f t="shared" si="28"/>
        <v>-0.13170024262223426</v>
      </c>
      <c r="AP11" s="147">
        <f t="shared" si="14"/>
        <v>33996.190792059409</v>
      </c>
      <c r="AQ11" s="165">
        <f t="shared" si="29"/>
        <v>-0.28624891365448041</v>
      </c>
      <c r="AR11" s="161">
        <f t="shared" si="26"/>
        <v>36806.54825357598</v>
      </c>
      <c r="AS11" s="165">
        <f t="shared" si="30"/>
        <v>8.5370738085008405E-2</v>
      </c>
      <c r="AT11" s="167"/>
      <c r="AU11" s="169"/>
      <c r="AV11" s="169"/>
      <c r="AW11" s="167"/>
      <c r="AX11" s="160"/>
      <c r="AY11" s="161"/>
      <c r="AZ11" s="161"/>
      <c r="BA11" s="160"/>
      <c r="BB11" s="161"/>
      <c r="BC11" s="161"/>
      <c r="BD11" s="160"/>
      <c r="BE11" s="161"/>
      <c r="BF11" s="161"/>
      <c r="BG11" s="160"/>
      <c r="BH11" s="161"/>
      <c r="BI11" s="161"/>
      <c r="BM11" s="160"/>
      <c r="BN11" s="165"/>
      <c r="BO11" s="161"/>
      <c r="BP11" s="171"/>
      <c r="BQ11" s="161"/>
      <c r="BR11" s="171"/>
      <c r="BS11" s="172"/>
    </row>
    <row r="12" spans="1:71" ht="12" customHeight="1">
      <c r="B12" s="145">
        <v>2016</v>
      </c>
      <c r="C12" s="146">
        <f t="shared" si="0"/>
        <v>5998.305251220876</v>
      </c>
      <c r="D12" s="147">
        <f t="shared" si="0"/>
        <v>15167.744482885772</v>
      </c>
      <c r="E12" s="176">
        <f t="shared" si="0"/>
        <v>21166.049734106648</v>
      </c>
      <c r="F12" s="149">
        <f t="shared" si="0"/>
        <v>3008.8467230566234</v>
      </c>
      <c r="G12" s="149">
        <f t="shared" si="0"/>
        <v>2177.2535255167845</v>
      </c>
      <c r="H12" s="177">
        <f t="shared" si="0"/>
        <v>5186.100248573408</v>
      </c>
      <c r="I12" s="147">
        <f t="shared" si="0"/>
        <v>7347.7614841934037</v>
      </c>
      <c r="J12" s="147">
        <f t="shared" si="0"/>
        <v>12199.238515806595</v>
      </c>
      <c r="K12" s="176">
        <f t="shared" si="0"/>
        <v>19547</v>
      </c>
      <c r="L12" s="161">
        <f t="shared" si="18"/>
        <v>9921.082076613442</v>
      </c>
      <c r="M12" s="161">
        <f t="shared" si="19"/>
        <v>4448.1345550209062</v>
      </c>
      <c r="N12" s="161">
        <f t="shared" si="20"/>
        <v>14369.216631634348</v>
      </c>
      <c r="O12" s="147">
        <f t="shared" si="2"/>
        <v>0</v>
      </c>
      <c r="P12" s="147">
        <f t="shared" si="2"/>
        <v>0</v>
      </c>
      <c r="Q12" s="176">
        <f t="shared" si="2"/>
        <v>0</v>
      </c>
      <c r="R12" s="150">
        <f t="shared" si="2"/>
        <v>60268.366614314407</v>
      </c>
      <c r="S12" s="151">
        <f t="shared" si="9"/>
        <v>-0.14878481501303403</v>
      </c>
      <c r="T12" s="150">
        <f t="shared" si="3"/>
        <v>26275.995535084345</v>
      </c>
      <c r="U12" s="152">
        <f t="shared" si="27"/>
        <v>-0.22709000853055258</v>
      </c>
      <c r="V12" s="150">
        <f t="shared" si="21"/>
        <v>33992.371079230063</v>
      </c>
      <c r="W12" s="152">
        <f t="shared" si="11"/>
        <v>-7.6458600653281944E-2</v>
      </c>
      <c r="Y12" s="146">
        <f>('Connections_excl EG'!L27)*-1</f>
        <v>5998.305251220876</v>
      </c>
      <c r="Z12" s="147">
        <f t="shared" si="22"/>
        <v>15167.744482885772</v>
      </c>
      <c r="AA12" s="147">
        <f>'Connections_excl EG'!L7</f>
        <v>21166.049734106648</v>
      </c>
      <c r="AB12" s="153">
        <f>(('Connections_excl EG'!L34))*-1</f>
        <v>3008.8467230566234</v>
      </c>
      <c r="AC12" s="149">
        <f t="shared" si="23"/>
        <v>2177.2535255167845</v>
      </c>
      <c r="AD12" s="147">
        <f>'Connections_excl EG'!L12</f>
        <v>5186.100248573408</v>
      </c>
      <c r="AE12" s="146">
        <f>('Connections_excl EG'!L28)*-1</f>
        <v>7347.7614841934037</v>
      </c>
      <c r="AF12" s="147">
        <f t="shared" si="24"/>
        <v>12199.238515806595</v>
      </c>
      <c r="AG12" s="147">
        <f>'Connections_excl EG'!L8</f>
        <v>19547</v>
      </c>
      <c r="AH12" s="344">
        <f>('Connections_excl EG'!L29)*-1</f>
        <v>9921.082076613442</v>
      </c>
      <c r="AI12" s="344">
        <f t="shared" si="25"/>
        <v>4448.1345550209062</v>
      </c>
      <c r="AJ12" s="344">
        <f>'Connections_excl EG'!L9</f>
        <v>14369.216631634348</v>
      </c>
      <c r="AK12" s="353"/>
      <c r="AL12" s="344"/>
      <c r="AM12" s="344"/>
      <c r="AN12" s="146">
        <f t="shared" si="12"/>
        <v>60268.366614314407</v>
      </c>
      <c r="AO12" s="151">
        <f t="shared" si="28"/>
        <v>-0.14878481501303403</v>
      </c>
      <c r="AP12" s="147">
        <f t="shared" si="14"/>
        <v>26275.995535084345</v>
      </c>
      <c r="AQ12" s="151">
        <f t="shared" si="29"/>
        <v>-0.22709000853055258</v>
      </c>
      <c r="AR12" s="147">
        <f t="shared" si="26"/>
        <v>33992.371079230063</v>
      </c>
      <c r="AS12" s="151">
        <f t="shared" si="30"/>
        <v>-7.6458600653281944E-2</v>
      </c>
      <c r="AT12" s="141"/>
      <c r="AU12" s="154"/>
      <c r="AV12" s="154"/>
      <c r="AW12" s="141"/>
      <c r="AX12" s="146"/>
      <c r="AY12" s="147"/>
      <c r="AZ12" s="147"/>
      <c r="BA12" s="146"/>
      <c r="BB12" s="147"/>
      <c r="BC12" s="147"/>
      <c r="BD12" s="146"/>
      <c r="BE12" s="147"/>
      <c r="BF12" s="147"/>
      <c r="BG12" s="146"/>
      <c r="BH12" s="147"/>
      <c r="BI12" s="147"/>
      <c r="BM12" s="146"/>
      <c r="BN12" s="151"/>
      <c r="BO12" s="147"/>
      <c r="BP12" s="155"/>
      <c r="BQ12" s="147"/>
      <c r="BR12" s="155"/>
      <c r="BS12" s="178"/>
    </row>
    <row r="13" spans="1:71" ht="12" customHeight="1">
      <c r="B13" s="145">
        <v>2017</v>
      </c>
      <c r="C13" s="146">
        <f t="shared" ref="C13:D15" si="31">Y13</f>
        <v>5081.0976321044291</v>
      </c>
      <c r="D13" s="147">
        <f t="shared" si="31"/>
        <v>15240.057698326804</v>
      </c>
      <c r="E13" s="176">
        <f t="shared" ref="E13:E18" si="32">AA13</f>
        <v>20321.155330431233</v>
      </c>
      <c r="F13" s="149">
        <f t="shared" ref="F13:K18" si="33">AB13</f>
        <v>162.29427793681995</v>
      </c>
      <c r="G13" s="149">
        <f t="shared" si="33"/>
        <v>4953.3149622878755</v>
      </c>
      <c r="H13" s="177">
        <f t="shared" si="33"/>
        <v>5115.609240224695</v>
      </c>
      <c r="I13" s="147">
        <f t="shared" si="33"/>
        <v>6687.3966454599595</v>
      </c>
      <c r="J13" s="147">
        <f t="shared" si="33"/>
        <v>14075.603354540041</v>
      </c>
      <c r="K13" s="176">
        <f t="shared" si="33"/>
        <v>20763</v>
      </c>
      <c r="L13" s="147">
        <f t="shared" si="18"/>
        <v>10613.171542295782</v>
      </c>
      <c r="M13" s="147">
        <f t="shared" si="19"/>
        <v>5301.9636746833385</v>
      </c>
      <c r="N13" s="147">
        <f t="shared" si="20"/>
        <v>15915.135216979121</v>
      </c>
      <c r="O13" s="147"/>
      <c r="P13" s="147"/>
      <c r="Q13" s="176"/>
      <c r="R13" s="150">
        <f t="shared" si="2"/>
        <v>62114.899787635048</v>
      </c>
      <c r="S13" s="151">
        <f t="shared" si="9"/>
        <v>3.0638513652401993E-2</v>
      </c>
      <c r="T13" s="150">
        <f>AP13</f>
        <v>22543.960097796989</v>
      </c>
      <c r="U13" s="152">
        <f t="shared" si="27"/>
        <v>-0.14203212328546225</v>
      </c>
      <c r="V13" s="150">
        <f t="shared" si="21"/>
        <v>39570.939689838058</v>
      </c>
      <c r="W13" s="152">
        <f t="shared" si="11"/>
        <v>0.16411237090832417</v>
      </c>
      <c r="Y13" s="146">
        <f>('Connections_excl EG'!M27)*-1</f>
        <v>5081.0976321044291</v>
      </c>
      <c r="Z13" s="147">
        <f t="shared" si="22"/>
        <v>15240.057698326804</v>
      </c>
      <c r="AA13" s="147">
        <f>'Connections_excl EG'!M7</f>
        <v>20321.155330431233</v>
      </c>
      <c r="AB13" s="153">
        <f>(('Connections_excl EG'!M34))*-1</f>
        <v>162.29427793681995</v>
      </c>
      <c r="AC13" s="149">
        <f t="shared" si="23"/>
        <v>4953.3149622878755</v>
      </c>
      <c r="AD13" s="147">
        <f>'Connections_excl EG'!M12</f>
        <v>5115.609240224695</v>
      </c>
      <c r="AE13" s="146">
        <f>('Connections_excl EG'!M28)*-1</f>
        <v>6687.3966454599595</v>
      </c>
      <c r="AF13" s="147">
        <f t="shared" si="24"/>
        <v>14075.603354540041</v>
      </c>
      <c r="AG13" s="147">
        <f>'Connections_excl EG'!M8</f>
        <v>20763</v>
      </c>
      <c r="AH13" s="344">
        <f>('Connections_excl EG'!M29)*-1</f>
        <v>10613.171542295782</v>
      </c>
      <c r="AI13" s="344">
        <f t="shared" si="25"/>
        <v>5301.9636746833385</v>
      </c>
      <c r="AJ13" s="344">
        <f>'Connections_excl EG'!M9</f>
        <v>15915.135216979121</v>
      </c>
      <c r="AK13" s="353"/>
      <c r="AL13" s="344"/>
      <c r="AM13" s="344"/>
      <c r="AN13" s="146">
        <f t="shared" si="12"/>
        <v>62114.899787635048</v>
      </c>
      <c r="AO13" s="151">
        <f t="shared" si="28"/>
        <v>3.0638513652401993E-2</v>
      </c>
      <c r="AP13" s="147">
        <f t="shared" si="14"/>
        <v>22543.960097796989</v>
      </c>
      <c r="AQ13" s="151">
        <f t="shared" si="29"/>
        <v>-0.14203212328546225</v>
      </c>
      <c r="AR13" s="147">
        <f t="shared" si="26"/>
        <v>39570.939689838058</v>
      </c>
      <c r="AS13" s="151">
        <f t="shared" si="30"/>
        <v>0.16411237090832417</v>
      </c>
      <c r="AT13" s="141"/>
      <c r="AU13" s="154"/>
      <c r="AV13" s="154"/>
      <c r="AW13" s="141"/>
      <c r="AX13" s="146"/>
      <c r="AY13" s="147"/>
      <c r="AZ13" s="147"/>
      <c r="BA13" s="146"/>
      <c r="BB13" s="147"/>
      <c r="BC13" s="147"/>
      <c r="BD13" s="146"/>
      <c r="BE13" s="147"/>
      <c r="BF13" s="147"/>
      <c r="BG13" s="146"/>
      <c r="BH13" s="147"/>
      <c r="BI13" s="147"/>
      <c r="BM13" s="146"/>
      <c r="BN13" s="151"/>
      <c r="BO13" s="147"/>
      <c r="BP13" s="151"/>
      <c r="BQ13" s="179"/>
      <c r="BR13" s="151"/>
      <c r="BS13" s="180"/>
    </row>
    <row r="14" spans="1:71" ht="12" customHeight="1">
      <c r="B14" s="145">
        <v>2018</v>
      </c>
      <c r="C14" s="146">
        <f t="shared" si="31"/>
        <v>3386.5825239739247</v>
      </c>
      <c r="D14" s="147">
        <f t="shared" si="31"/>
        <v>16489.984959760211</v>
      </c>
      <c r="E14" s="176">
        <f t="shared" si="32"/>
        <v>19876.567483734136</v>
      </c>
      <c r="F14" s="149">
        <f t="shared" si="33"/>
        <v>1468.9387832400487</v>
      </c>
      <c r="G14" s="149">
        <f t="shared" si="33"/>
        <v>4048.7489997125231</v>
      </c>
      <c r="H14" s="177">
        <f t="shared" si="33"/>
        <v>5517.687782952572</v>
      </c>
      <c r="I14" s="147">
        <f t="shared" si="33"/>
        <v>6148.2695354487169</v>
      </c>
      <c r="J14" s="147">
        <f t="shared" si="33"/>
        <v>21866.730464551285</v>
      </c>
      <c r="K14" s="176">
        <f t="shared" si="33"/>
        <v>28015</v>
      </c>
      <c r="L14" s="161">
        <f t="shared" si="18"/>
        <v>12799.95493052496</v>
      </c>
      <c r="M14" s="161">
        <f t="shared" si="19"/>
        <v>5989.0634922472491</v>
      </c>
      <c r="N14" s="161">
        <f t="shared" si="20"/>
        <v>18789.018422772209</v>
      </c>
      <c r="O14" s="147"/>
      <c r="P14" s="147"/>
      <c r="Q14" s="176"/>
      <c r="R14" s="150">
        <f t="shared" si="2"/>
        <v>72198.273689458903</v>
      </c>
      <c r="S14" s="151">
        <f t="shared" si="9"/>
        <v>0.16233422152008545</v>
      </c>
      <c r="T14" s="150">
        <f>AP14</f>
        <v>23803.745773187649</v>
      </c>
      <c r="U14" s="152">
        <f t="shared" si="27"/>
        <v>5.5881294587358986E-2</v>
      </c>
      <c r="V14" s="150">
        <f>AR14</f>
        <v>48394.527916271254</v>
      </c>
      <c r="W14" s="152">
        <f t="shared" si="11"/>
        <v>0.22298151864963472</v>
      </c>
      <c r="Y14" s="146">
        <f>('Connections_excl EG'!N27)*-1</f>
        <v>3386.5825239739247</v>
      </c>
      <c r="Z14" s="147">
        <f t="shared" si="22"/>
        <v>16489.984959760211</v>
      </c>
      <c r="AA14" s="147">
        <f>'Connections_excl EG'!N7</f>
        <v>19876.567483734136</v>
      </c>
      <c r="AB14" s="153">
        <f>(('Connections_excl EG'!N34))*-1</f>
        <v>1468.9387832400487</v>
      </c>
      <c r="AC14" s="149">
        <f t="shared" si="23"/>
        <v>4048.7489997125231</v>
      </c>
      <c r="AD14" s="147">
        <f>'Connections_excl EG'!N12</f>
        <v>5517.687782952572</v>
      </c>
      <c r="AE14" s="146">
        <f>('Connections_excl EG'!N28)*-1</f>
        <v>6148.2695354487169</v>
      </c>
      <c r="AF14" s="147">
        <f t="shared" si="24"/>
        <v>21866.730464551285</v>
      </c>
      <c r="AG14" s="147">
        <f>'Connections_excl EG'!N8</f>
        <v>28015</v>
      </c>
      <c r="AH14" s="344">
        <f>('Connections_excl EG'!N29)*-1</f>
        <v>12799.95493052496</v>
      </c>
      <c r="AI14" s="344">
        <f t="shared" si="25"/>
        <v>5989.0634922472491</v>
      </c>
      <c r="AJ14" s="344">
        <f>'Connections_excl EG'!N9</f>
        <v>18789.018422772209</v>
      </c>
      <c r="AK14" s="353"/>
      <c r="AL14" s="344"/>
      <c r="AM14" s="344"/>
      <c r="AN14" s="146">
        <f t="shared" si="12"/>
        <v>72198.273689458903</v>
      </c>
      <c r="AO14" s="151">
        <f t="shared" si="28"/>
        <v>0.16233422152008545</v>
      </c>
      <c r="AP14" s="147">
        <f t="shared" si="14"/>
        <v>23803.745773187649</v>
      </c>
      <c r="AQ14" s="151">
        <f t="shared" si="29"/>
        <v>5.5881294587358986E-2</v>
      </c>
      <c r="AR14" s="147">
        <f t="shared" si="26"/>
        <v>48394.527916271254</v>
      </c>
      <c r="AS14" s="151">
        <f t="shared" si="30"/>
        <v>0.22298151864963472</v>
      </c>
      <c r="AT14" s="141"/>
      <c r="AU14" s="154"/>
      <c r="AV14" s="154"/>
      <c r="AW14" s="141"/>
      <c r="AX14" s="146"/>
      <c r="AY14" s="147"/>
      <c r="AZ14" s="147"/>
      <c r="BA14" s="146"/>
      <c r="BB14" s="147"/>
      <c r="BC14" s="147"/>
      <c r="BD14" s="146"/>
      <c r="BE14" s="147"/>
      <c r="BF14" s="147"/>
      <c r="BG14" s="146"/>
      <c r="BH14" s="147"/>
      <c r="BI14" s="147"/>
      <c r="BM14" s="146"/>
      <c r="BN14" s="151"/>
      <c r="BO14" s="147"/>
      <c r="BP14" s="151"/>
      <c r="BR14" s="151"/>
      <c r="BS14" s="180"/>
    </row>
    <row r="15" spans="1:71" ht="12" customHeight="1">
      <c r="B15" s="145">
        <v>2019</v>
      </c>
      <c r="C15" s="146">
        <f t="shared" si="31"/>
        <v>6384.5334025084812</v>
      </c>
      <c r="D15" s="147">
        <f t="shared" si="31"/>
        <v>16227.713443036439</v>
      </c>
      <c r="E15" s="176">
        <f t="shared" si="32"/>
        <v>22612.24684554492</v>
      </c>
      <c r="F15" s="149">
        <f t="shared" si="33"/>
        <v>-793.37261171213981</v>
      </c>
      <c r="G15" s="149">
        <f t="shared" si="33"/>
        <v>5749.0138800847417</v>
      </c>
      <c r="H15" s="177">
        <f t="shared" si="33"/>
        <v>4955.6412683726021</v>
      </c>
      <c r="I15" s="147">
        <f t="shared" si="33"/>
        <v>6080.5403251359003</v>
      </c>
      <c r="J15" s="147">
        <f t="shared" si="33"/>
        <v>20636.459674864098</v>
      </c>
      <c r="K15" s="176">
        <f t="shared" si="33"/>
        <v>26717</v>
      </c>
      <c r="L15" s="147">
        <f t="shared" si="18"/>
        <v>23294.479630197144</v>
      </c>
      <c r="M15" s="147">
        <f t="shared" si="19"/>
        <v>7134.6792238979615</v>
      </c>
      <c r="N15" s="147">
        <f t="shared" si="20"/>
        <v>30429.158854095105</v>
      </c>
      <c r="O15" s="147"/>
      <c r="P15" s="147"/>
      <c r="Q15" s="176"/>
      <c r="R15" s="150">
        <f t="shared" si="2"/>
        <v>84714.046968012626</v>
      </c>
      <c r="S15" s="151">
        <f t="shared" si="9"/>
        <v>0.17335280525386096</v>
      </c>
      <c r="T15" s="150">
        <f>AP15</f>
        <v>34966.180746129387</v>
      </c>
      <c r="U15" s="152">
        <f t="shared" si="27"/>
        <v>0.46893606910871211</v>
      </c>
      <c r="V15" s="150">
        <f>AR15</f>
        <v>49747.86622188324</v>
      </c>
      <c r="W15" s="152">
        <f t="shared" si="11"/>
        <v>2.7964696916838089E-2</v>
      </c>
      <c r="Y15" s="146">
        <f>('Connections_excl EG'!O27)*-1</f>
        <v>6384.5334025084812</v>
      </c>
      <c r="Z15" s="147">
        <f t="shared" si="22"/>
        <v>16227.713443036439</v>
      </c>
      <c r="AA15" s="147">
        <f>'Connections_excl EG'!O7</f>
        <v>22612.24684554492</v>
      </c>
      <c r="AB15" s="153">
        <f>(('Connections_excl EG'!O34))*-1</f>
        <v>-793.37261171213981</v>
      </c>
      <c r="AC15" s="149">
        <f t="shared" si="23"/>
        <v>5749.0138800847417</v>
      </c>
      <c r="AD15" s="147">
        <f>'Connections_excl EG'!O12</f>
        <v>4955.6412683726021</v>
      </c>
      <c r="AE15" s="146">
        <f>('Connections_excl EG'!O28)*-1</f>
        <v>6080.5403251359003</v>
      </c>
      <c r="AF15" s="147">
        <f t="shared" si="24"/>
        <v>20636.459674864098</v>
      </c>
      <c r="AG15" s="147">
        <f>'Connections_excl EG'!O8</f>
        <v>26717</v>
      </c>
      <c r="AH15" s="344">
        <f>('Connections_excl EG'!O29)*-1</f>
        <v>23294.479630197144</v>
      </c>
      <c r="AI15" s="344">
        <f t="shared" si="25"/>
        <v>7134.6792238979615</v>
      </c>
      <c r="AJ15" s="344">
        <f>'Connections_excl EG'!O9</f>
        <v>30429.158854095105</v>
      </c>
      <c r="AK15" s="353"/>
      <c r="AL15" s="344"/>
      <c r="AM15" s="344"/>
      <c r="AN15" s="146">
        <f t="shared" si="12"/>
        <v>84714.046968012626</v>
      </c>
      <c r="AO15" s="151">
        <f t="shared" si="28"/>
        <v>0.17335280525386096</v>
      </c>
      <c r="AP15" s="147">
        <f t="shared" si="14"/>
        <v>34966.180746129387</v>
      </c>
      <c r="AQ15" s="151">
        <f t="shared" si="29"/>
        <v>0.46893606910871211</v>
      </c>
      <c r="AR15" s="147">
        <f t="shared" si="26"/>
        <v>49747.86622188324</v>
      </c>
      <c r="AS15" s="151">
        <f t="shared" si="30"/>
        <v>2.7964696916838089E-2</v>
      </c>
      <c r="AT15" s="141"/>
      <c r="AU15" s="154"/>
      <c r="AV15" s="154"/>
      <c r="AW15" s="141"/>
      <c r="AX15" s="146"/>
      <c r="AY15" s="147"/>
      <c r="AZ15" s="147"/>
      <c r="BA15" s="146"/>
      <c r="BB15" s="147"/>
      <c r="BC15" s="147"/>
      <c r="BD15" s="146"/>
      <c r="BE15" s="147"/>
      <c r="BF15" s="147"/>
      <c r="BG15" s="146"/>
      <c r="BH15" s="147"/>
      <c r="BI15" s="147"/>
      <c r="BM15" s="179"/>
      <c r="BN15" s="179"/>
      <c r="BO15" s="179"/>
      <c r="BP15" s="151"/>
      <c r="BQ15" s="179"/>
      <c r="BR15" s="151"/>
      <c r="BS15" s="180"/>
    </row>
    <row r="16" spans="1:71" s="136" customFormat="1" ht="12" customHeight="1">
      <c r="B16" s="159">
        <v>2020</v>
      </c>
      <c r="C16" s="160">
        <f t="shared" ref="C16:D18" si="34">Y16</f>
        <v>6855.6725517904461</v>
      </c>
      <c r="D16" s="161">
        <f t="shared" si="34"/>
        <v>14869.419881996793</v>
      </c>
      <c r="E16" s="174">
        <f t="shared" si="32"/>
        <v>21725.092433787238</v>
      </c>
      <c r="F16" s="163">
        <f t="shared" si="33"/>
        <v>-1203.8530741198342</v>
      </c>
      <c r="G16" s="163">
        <f t="shared" si="33"/>
        <v>5820.5140699073163</v>
      </c>
      <c r="H16" s="175">
        <f t="shared" si="33"/>
        <v>4616.6609957874825</v>
      </c>
      <c r="I16" s="161">
        <f t="shared" si="33"/>
        <v>4478.799518027773</v>
      </c>
      <c r="J16" s="161">
        <f t="shared" si="33"/>
        <v>16798.200481972228</v>
      </c>
      <c r="K16" s="174">
        <f t="shared" si="33"/>
        <v>21277</v>
      </c>
      <c r="L16" s="161">
        <f t="shared" si="18"/>
        <v>22278.895029654574</v>
      </c>
      <c r="M16" s="161">
        <f t="shared" si="19"/>
        <v>5191.2860886165363</v>
      </c>
      <c r="N16" s="161">
        <f t="shared" si="20"/>
        <v>27470.18111827111</v>
      </c>
      <c r="O16" s="161"/>
      <c r="P16" s="161"/>
      <c r="Q16" s="174"/>
      <c r="R16" s="164">
        <f t="shared" si="2"/>
        <v>75088.934547845827</v>
      </c>
      <c r="S16" s="165">
        <f t="shared" si="9"/>
        <v>-0.11361884793204564</v>
      </c>
      <c r="T16" s="164">
        <f>AP16</f>
        <v>32409.514025352957</v>
      </c>
      <c r="U16" s="166">
        <f t="shared" si="27"/>
        <v>-7.311827217673586E-2</v>
      </c>
      <c r="V16" s="164">
        <f>AR16</f>
        <v>42679.420522492874</v>
      </c>
      <c r="W16" s="166">
        <f t="shared" si="11"/>
        <v>-0.14208540458527399</v>
      </c>
      <c r="Y16" s="160">
        <f>('Connections_excl EG'!P27)*-1</f>
        <v>6855.6725517904461</v>
      </c>
      <c r="Z16" s="161">
        <f t="shared" si="22"/>
        <v>14869.419881996793</v>
      </c>
      <c r="AA16" s="161">
        <f>'Connections_excl EG'!P7</f>
        <v>21725.092433787238</v>
      </c>
      <c r="AB16" s="168">
        <f>(('Connections_excl EG'!P34))*-1</f>
        <v>-1203.8530741198342</v>
      </c>
      <c r="AC16" s="163">
        <f t="shared" si="23"/>
        <v>5820.5140699073163</v>
      </c>
      <c r="AD16" s="161">
        <f>'Connections_excl EG'!P12</f>
        <v>4616.6609957874825</v>
      </c>
      <c r="AE16" s="160">
        <f>('Connections_excl EG'!P28)*-1</f>
        <v>4478.799518027773</v>
      </c>
      <c r="AF16" s="161">
        <f t="shared" si="24"/>
        <v>16798.200481972228</v>
      </c>
      <c r="AG16" s="161">
        <f>'Connections_excl EG'!P8</f>
        <v>21277</v>
      </c>
      <c r="AH16" s="355">
        <f>('Connections_excl EG'!P29)*-1</f>
        <v>22278.895029654574</v>
      </c>
      <c r="AI16" s="355">
        <f t="shared" si="25"/>
        <v>5191.2860886165363</v>
      </c>
      <c r="AJ16" s="355">
        <f>'Connections_excl EG'!P9</f>
        <v>27470.18111827111</v>
      </c>
      <c r="AK16" s="354"/>
      <c r="AL16" s="359"/>
      <c r="AM16" s="359"/>
      <c r="AN16" s="146">
        <f t="shared" si="12"/>
        <v>75088.934547845827</v>
      </c>
      <c r="AO16" s="165">
        <f t="shared" si="28"/>
        <v>-0.11361884793204564</v>
      </c>
      <c r="AP16" s="147">
        <f t="shared" si="14"/>
        <v>32409.514025352957</v>
      </c>
      <c r="AQ16" s="165">
        <f t="shared" si="29"/>
        <v>-7.311827217673586E-2</v>
      </c>
      <c r="AR16" s="161">
        <f t="shared" si="26"/>
        <v>42679.420522492874</v>
      </c>
      <c r="AS16" s="165">
        <f t="shared" si="30"/>
        <v>-0.14208540458527399</v>
      </c>
      <c r="AT16" s="167"/>
      <c r="AU16" s="169"/>
      <c r="AV16" s="169"/>
      <c r="AW16" s="167"/>
      <c r="AX16" s="160"/>
      <c r="AY16" s="161"/>
      <c r="AZ16" s="161"/>
      <c r="BA16" s="160"/>
      <c r="BB16" s="161"/>
      <c r="BC16" s="161"/>
      <c r="BD16" s="160"/>
      <c r="BE16" s="161"/>
      <c r="BF16" s="161"/>
      <c r="BG16" s="160"/>
      <c r="BH16" s="161"/>
      <c r="BI16" s="161"/>
      <c r="BM16" s="181"/>
      <c r="BN16" s="181"/>
      <c r="BO16" s="181"/>
      <c r="BP16" s="165"/>
      <c r="BQ16" s="181"/>
      <c r="BR16" s="165"/>
      <c r="BS16" s="182"/>
    </row>
    <row r="17" spans="1:71" ht="12" customHeight="1">
      <c r="B17" s="145">
        <v>2021</v>
      </c>
      <c r="C17" s="146">
        <f t="shared" si="34"/>
        <v>5212.4465008440875</v>
      </c>
      <c r="D17" s="147">
        <f t="shared" si="34"/>
        <v>14054.553499155913</v>
      </c>
      <c r="E17" s="176">
        <f t="shared" si="32"/>
        <v>19267</v>
      </c>
      <c r="F17" s="149">
        <f t="shared" si="33"/>
        <v>495.65997373476148</v>
      </c>
      <c r="G17" s="149">
        <f t="shared" si="33"/>
        <v>5278.3400262652385</v>
      </c>
      <c r="H17" s="177">
        <f t="shared" si="33"/>
        <v>5774</v>
      </c>
      <c r="I17" s="147">
        <f t="shared" si="33"/>
        <v>7011.9159981875346</v>
      </c>
      <c r="J17" s="147">
        <f t="shared" si="33"/>
        <v>8209.0840018124654</v>
      </c>
      <c r="K17" s="176">
        <f t="shared" si="33"/>
        <v>15221</v>
      </c>
      <c r="L17" s="147">
        <f t="shared" si="18"/>
        <v>23925.408149447958</v>
      </c>
      <c r="M17" s="147">
        <f t="shared" si="19"/>
        <v>4674.5918505520422</v>
      </c>
      <c r="N17" s="147">
        <f t="shared" si="20"/>
        <v>28600</v>
      </c>
      <c r="O17" s="147"/>
      <c r="P17" s="147"/>
      <c r="Q17" s="176"/>
      <c r="R17" s="150">
        <f t="shared" si="2"/>
        <v>68862</v>
      </c>
      <c r="S17" s="151">
        <f t="shared" si="9"/>
        <v>-8.292745909023512E-2</v>
      </c>
      <c r="T17" s="150">
        <f>AP17</f>
        <v>36645.430622214342</v>
      </c>
      <c r="U17" s="152">
        <f t="shared" si="27"/>
        <v>0.13069978752374253</v>
      </c>
      <c r="V17" s="150">
        <f>AR17</f>
        <v>32216.569377785658</v>
      </c>
      <c r="W17" s="152">
        <f t="shared" si="11"/>
        <v>-0.24514979389640712</v>
      </c>
      <c r="Y17" s="146">
        <f>('Connections_excl EG'!Q27)*-1</f>
        <v>5212.4465008440875</v>
      </c>
      <c r="Z17" s="147">
        <f t="shared" si="22"/>
        <v>14054.553499155913</v>
      </c>
      <c r="AA17" s="147">
        <f>'Connections_excl EG'!Q7</f>
        <v>19267</v>
      </c>
      <c r="AB17" s="345">
        <f>(('Connections_excl EG'!Q34))*-1</f>
        <v>495.65997373476148</v>
      </c>
      <c r="AC17" s="149">
        <f t="shared" si="23"/>
        <v>5278.3400262652385</v>
      </c>
      <c r="AD17" s="147">
        <f>'Connections_excl EG'!Q12</f>
        <v>5774</v>
      </c>
      <c r="AE17" s="146">
        <f>('Connections_excl EG'!Q28)*-1</f>
        <v>7011.9159981875346</v>
      </c>
      <c r="AF17" s="147">
        <f t="shared" si="24"/>
        <v>8209.0840018124654</v>
      </c>
      <c r="AG17" s="147">
        <f>'Connections_excl EG'!Q8</f>
        <v>15221</v>
      </c>
      <c r="AH17" s="344">
        <f>('Connections_excl EG'!Q29)*-1</f>
        <v>23925.408149447958</v>
      </c>
      <c r="AI17" s="344">
        <f t="shared" si="25"/>
        <v>4674.5918505520422</v>
      </c>
      <c r="AJ17" s="344">
        <f>'Connections_excl EG'!Q9</f>
        <v>28600</v>
      </c>
      <c r="AK17" s="353"/>
      <c r="AL17" s="344"/>
      <c r="AM17" s="344"/>
      <c r="AN17" s="146">
        <f t="shared" si="12"/>
        <v>68862</v>
      </c>
      <c r="AO17" s="151">
        <f t="shared" si="28"/>
        <v>-8.292745909023512E-2</v>
      </c>
      <c r="AP17" s="147">
        <f t="shared" si="14"/>
        <v>36645.430622214342</v>
      </c>
      <c r="AQ17" s="151">
        <f t="shared" si="29"/>
        <v>0.13069978752374253</v>
      </c>
      <c r="AR17" s="147">
        <f t="shared" si="26"/>
        <v>32216.569377785658</v>
      </c>
      <c r="AS17" s="151">
        <f t="shared" si="30"/>
        <v>-0.24514979389640712</v>
      </c>
      <c r="AT17" s="141"/>
      <c r="AU17" s="154"/>
      <c r="AV17" s="154"/>
      <c r="AW17" s="141"/>
      <c r="AX17" s="146"/>
      <c r="AY17" s="147"/>
      <c r="AZ17" s="147"/>
      <c r="BA17" s="146"/>
      <c r="BB17" s="147"/>
      <c r="BC17" s="147"/>
      <c r="BD17" s="146"/>
      <c r="BE17" s="147"/>
      <c r="BF17" s="147"/>
      <c r="BG17" s="146"/>
      <c r="BH17" s="147"/>
      <c r="BI17" s="147"/>
      <c r="BM17" s="179"/>
      <c r="BN17" s="179"/>
      <c r="BO17" s="179"/>
      <c r="BP17" s="151"/>
      <c r="BQ17" s="179"/>
      <c r="BR17" s="151"/>
      <c r="BS17" s="180"/>
    </row>
    <row r="18" spans="1:71" s="187" customFormat="1" ht="12" customHeight="1">
      <c r="B18" s="337">
        <v>2022</v>
      </c>
      <c r="C18" s="336">
        <f t="shared" si="34"/>
        <v>4668.3283614912934</v>
      </c>
      <c r="D18" s="335">
        <f t="shared" si="34"/>
        <v>15266.400966410947</v>
      </c>
      <c r="E18" s="338">
        <f t="shared" si="32"/>
        <v>19934.729327902241</v>
      </c>
      <c r="F18" s="339">
        <f t="shared" si="33"/>
        <v>-455.28154510879358</v>
      </c>
      <c r="G18" s="339">
        <f t="shared" si="33"/>
        <v>7317.2096510151068</v>
      </c>
      <c r="H18" s="340">
        <f t="shared" si="33"/>
        <v>6861.9281059063132</v>
      </c>
      <c r="I18" s="335">
        <f t="shared" si="33"/>
        <v>7305.8090864401947</v>
      </c>
      <c r="J18" s="335">
        <f t="shared" si="33"/>
        <v>11729.889895229868</v>
      </c>
      <c r="K18" s="338">
        <f t="shared" si="33"/>
        <v>19035.698981670062</v>
      </c>
      <c r="L18" s="161">
        <f t="shared" si="18"/>
        <v>25702.644097177305</v>
      </c>
      <c r="M18" s="161">
        <f t="shared" si="19"/>
        <v>1327.6271859184199</v>
      </c>
      <c r="N18" s="161">
        <f t="shared" si="20"/>
        <v>27030.271283095724</v>
      </c>
      <c r="O18" s="421"/>
      <c r="P18" s="421"/>
      <c r="Q18" s="421"/>
      <c r="R18" s="341">
        <f t="shared" ref="R18" si="35">AN18</f>
        <v>72862.627698574332</v>
      </c>
      <c r="S18" s="342">
        <f t="shared" si="9"/>
        <v>5.8096304181904847E-2</v>
      </c>
      <c r="T18" s="150">
        <f t="shared" ref="T18:T19" si="36">AP18</f>
        <v>37221.5</v>
      </c>
      <c r="U18" s="343">
        <f t="shared" si="27"/>
        <v>1.5720087552646912E-2</v>
      </c>
      <c r="V18" s="150">
        <f t="shared" ref="V18:V19" si="37">AR18</f>
        <v>35641.127698574332</v>
      </c>
      <c r="W18" s="343">
        <f t="shared" si="11"/>
        <v>0.10629804435819337</v>
      </c>
      <c r="Y18" s="146">
        <f>('Connections_excl EG'!R27)*-1</f>
        <v>4668.3283614912934</v>
      </c>
      <c r="Z18" s="344">
        <f>AA18-Y18</f>
        <v>15266.400966410947</v>
      </c>
      <c r="AA18" s="147">
        <f>'Connections_excl EG'!R7</f>
        <v>19934.729327902241</v>
      </c>
      <c r="AB18" s="345">
        <f>(('Connections_excl EG'!R34))*-1</f>
        <v>-455.28154510879358</v>
      </c>
      <c r="AC18" s="344">
        <f>AD18-AB18</f>
        <v>7317.2096510151068</v>
      </c>
      <c r="AD18" s="147">
        <f>'Connections_excl EG'!R12</f>
        <v>6861.9281059063132</v>
      </c>
      <c r="AE18" s="146">
        <f>('Connections_excl EG'!R28)*-1</f>
        <v>7305.8090864401947</v>
      </c>
      <c r="AF18" s="344">
        <f>AG18-AE18</f>
        <v>11729.889895229868</v>
      </c>
      <c r="AG18" s="147">
        <f>'Connections_excl EG'!R8</f>
        <v>19035.698981670062</v>
      </c>
      <c r="AH18" s="344">
        <f>('Connections_excl EG'!R29)*-1</f>
        <v>25702.644097177305</v>
      </c>
      <c r="AI18" s="344">
        <f>AJ18-AH18</f>
        <v>1327.6271859184199</v>
      </c>
      <c r="AJ18" s="344">
        <f>'Connections_excl EG'!R9</f>
        <v>27030.271283095724</v>
      </c>
      <c r="AK18" s="353"/>
      <c r="AL18" s="344"/>
      <c r="AM18" s="344"/>
      <c r="AN18" s="146">
        <f t="shared" si="12"/>
        <v>72862.627698574332</v>
      </c>
      <c r="AO18" s="151">
        <f t="shared" ref="AO18:AO19" si="38">(AN18-AN17)/AN17</f>
        <v>5.8096304181904847E-2</v>
      </c>
      <c r="AP18" s="147">
        <f t="shared" si="14"/>
        <v>37221.5</v>
      </c>
      <c r="AQ18" s="151">
        <f t="shared" ref="AQ18:AQ19" si="39">(AP18-AP17)/AP17</f>
        <v>1.5720087552646912E-2</v>
      </c>
      <c r="AR18" s="147">
        <f t="shared" ref="AR18:AR19" si="40">AN18-AP18</f>
        <v>35641.127698574332</v>
      </c>
      <c r="AS18" s="151">
        <f t="shared" ref="AS18:AS19" si="41">(AR18-AR17)/AR17</f>
        <v>0.10629804435819337</v>
      </c>
      <c r="AT18" s="184"/>
      <c r="AU18" s="154"/>
      <c r="AV18" s="185"/>
      <c r="AW18" s="183"/>
      <c r="BM18" s="391"/>
      <c r="BN18" s="392"/>
      <c r="BO18" s="285"/>
      <c r="BP18" s="392"/>
      <c r="BQ18" s="285"/>
      <c r="BR18" s="392"/>
      <c r="BS18" s="186"/>
    </row>
    <row r="19" spans="1:71" s="389" customFormat="1" ht="12" customHeight="1">
      <c r="B19" s="337">
        <v>2023</v>
      </c>
      <c r="C19" s="336">
        <f t="shared" ref="C19:N19" si="42">Y19</f>
        <v>-4813.1766494521025</v>
      </c>
      <c r="D19" s="335">
        <f t="shared" si="42"/>
        <v>17244.398421908507</v>
      </c>
      <c r="E19" s="338">
        <f t="shared" si="42"/>
        <v>22057.57507136061</v>
      </c>
      <c r="F19" s="339">
        <f t="shared" si="42"/>
        <v>4964.7944377663189</v>
      </c>
      <c r="G19" s="339">
        <f t="shared" si="42"/>
        <v>4035.5406716532816</v>
      </c>
      <c r="H19" s="340">
        <f t="shared" si="42"/>
        <v>9000.3351094196005</v>
      </c>
      <c r="I19" s="335">
        <f t="shared" si="42"/>
        <v>7277.5805165937672</v>
      </c>
      <c r="J19" s="335">
        <f t="shared" si="42"/>
        <v>10401.936705099859</v>
      </c>
      <c r="K19" s="338">
        <f t="shared" si="42"/>
        <v>17679.517221693626</v>
      </c>
      <c r="L19" s="421">
        <f t="shared" si="42"/>
        <v>28021.829999999998</v>
      </c>
      <c r="M19" s="421">
        <f t="shared" si="42"/>
        <v>4494.2400285442454</v>
      </c>
      <c r="N19" s="421">
        <f t="shared" si="42"/>
        <v>32516.070028544244</v>
      </c>
      <c r="O19" s="421"/>
      <c r="P19" s="421"/>
      <c r="Q19" s="421"/>
      <c r="R19" s="341">
        <f t="shared" ref="R19:R26" si="43">BM19</f>
        <v>81253.497431018084</v>
      </c>
      <c r="S19" s="342">
        <f t="shared" si="9"/>
        <v>0.11516013074845409</v>
      </c>
      <c r="T19" s="150">
        <f t="shared" si="36"/>
        <v>35451.028304907981</v>
      </c>
      <c r="U19" s="343">
        <f t="shared" si="27"/>
        <v>-4.7565834130597083E-2</v>
      </c>
      <c r="V19" s="150">
        <f t="shared" si="37"/>
        <v>45802.469126110103</v>
      </c>
      <c r="W19" s="343">
        <f t="shared" si="11"/>
        <v>0.2851015689927856</v>
      </c>
      <c r="X19" s="187"/>
      <c r="Y19" s="336">
        <f>('Connections_excl EG'!S27)</f>
        <v>-4813.1766494521025</v>
      </c>
      <c r="Z19" s="335">
        <f>AA19+Y19</f>
        <v>17244.398421908507</v>
      </c>
      <c r="AA19" s="335">
        <f>'Oct 23 RIN $ OEA forecast '!S7</f>
        <v>22057.57507136061</v>
      </c>
      <c r="AB19" s="390">
        <f>(('Oct 23 RIN $ OEA forecast '!S36))</f>
        <v>4964.7944377663189</v>
      </c>
      <c r="AC19" s="335">
        <f>AD19-AB19</f>
        <v>4035.5406716532816</v>
      </c>
      <c r="AD19" s="335">
        <f>'Oct 23 RIN $ OEA forecast '!S12</f>
        <v>9000.3351094196005</v>
      </c>
      <c r="AE19" s="336">
        <f>('Oct 23 RIN $ OEA forecast '!S28)*-1</f>
        <v>7277.5805165937672</v>
      </c>
      <c r="AF19" s="335">
        <f>AG19-AE19</f>
        <v>10401.936705099859</v>
      </c>
      <c r="AG19" s="335">
        <f>'Oct 23 RIN $ OEA forecast '!S8</f>
        <v>17679.517221693626</v>
      </c>
      <c r="AH19" s="336">
        <v>28021.829999999998</v>
      </c>
      <c r="AI19" s="335">
        <f>AJ19-AH19</f>
        <v>4494.2400285442454</v>
      </c>
      <c r="AJ19" s="344">
        <f>'Connections_excl EG'!S9</f>
        <v>32516.070028544244</v>
      </c>
      <c r="AK19" s="336"/>
      <c r="AL19" s="335"/>
      <c r="AM19" s="335"/>
      <c r="AN19" s="146">
        <f t="shared" si="12"/>
        <v>81253.497431018084</v>
      </c>
      <c r="AO19" s="151">
        <f t="shared" si="38"/>
        <v>0.11516013074845409</v>
      </c>
      <c r="AP19" s="147">
        <f t="shared" si="14"/>
        <v>35451.028304907981</v>
      </c>
      <c r="AQ19" s="151">
        <f t="shared" si="39"/>
        <v>-4.7565834130597083E-2</v>
      </c>
      <c r="AR19" s="147">
        <f t="shared" si="40"/>
        <v>45802.469126110103</v>
      </c>
      <c r="AS19" s="151">
        <f t="shared" si="41"/>
        <v>0.2851015689927856</v>
      </c>
      <c r="AU19" s="344"/>
      <c r="AV19" s="335"/>
      <c r="BM19" s="393">
        <f>AA19+AD19+AG19+AJ19+BL19</f>
        <v>81253.497431018084</v>
      </c>
      <c r="BN19" s="392"/>
      <c r="BO19" s="285">
        <f>Y19+AB19+AE19+AH19+BJ19</f>
        <v>35451.028304907981</v>
      </c>
      <c r="BP19" s="392"/>
      <c r="BQ19" s="285">
        <f t="shared" ref="BQ19:BQ26" si="44">BM19-BO19</f>
        <v>45802.469126110103</v>
      </c>
      <c r="BR19" s="392"/>
      <c r="BS19" s="342"/>
    </row>
    <row r="20" spans="1:71" s="184" customFormat="1" ht="12" customHeight="1">
      <c r="A20" s="184" t="s">
        <v>35</v>
      </c>
      <c r="B20" s="397">
        <v>2024</v>
      </c>
      <c r="C20" s="398">
        <f t="shared" ref="C20:K26" si="45">AX20</f>
        <v>4353.0062783743706</v>
      </c>
      <c r="D20" s="399">
        <f t="shared" si="45"/>
        <v>13784.519881518841</v>
      </c>
      <c r="E20" s="400">
        <f t="shared" si="45"/>
        <v>18137.526159893212</v>
      </c>
      <c r="F20" s="401">
        <f t="shared" si="45"/>
        <v>1902.8614111579573</v>
      </c>
      <c r="G20" s="401">
        <f t="shared" si="45"/>
        <v>7243.1955197217339</v>
      </c>
      <c r="H20" s="402">
        <f t="shared" si="45"/>
        <v>9146.0569308796912</v>
      </c>
      <c r="I20" s="399">
        <f t="shared" si="45"/>
        <v>7795.1905584686183</v>
      </c>
      <c r="J20" s="399">
        <f t="shared" si="45"/>
        <v>12718.468805922483</v>
      </c>
      <c r="K20" s="400">
        <f t="shared" si="45"/>
        <v>20513.6593643911</v>
      </c>
      <c r="L20" s="399">
        <f t="shared" ref="L20:N20" si="46">BG20</f>
        <v>37770.666945156998</v>
      </c>
      <c r="M20" s="399">
        <f t="shared" si="46"/>
        <v>5150.5454925214071</v>
      </c>
      <c r="N20" s="399">
        <f t="shared" si="46"/>
        <v>42921.212437678405</v>
      </c>
      <c r="O20" s="399"/>
      <c r="P20" s="399"/>
      <c r="Q20" s="399"/>
      <c r="R20" s="403">
        <f>BM20</f>
        <v>90718.454892842405</v>
      </c>
      <c r="S20" s="186">
        <f t="shared" si="9"/>
        <v>0.11648676993700857</v>
      </c>
      <c r="T20" s="403">
        <f t="shared" ref="T20:T26" si="47">BO20</f>
        <v>51821.725193157945</v>
      </c>
      <c r="U20" s="404">
        <f t="shared" si="27"/>
        <v>0.46178341421999147</v>
      </c>
      <c r="V20" s="403">
        <f t="shared" ref="V20:V26" si="48">BQ20</f>
        <v>38896.72969968446</v>
      </c>
      <c r="W20" s="404">
        <f t="shared" si="11"/>
        <v>-0.15077220853338158</v>
      </c>
      <c r="X20" s="187"/>
      <c r="Y20" s="398"/>
      <c r="Z20" s="399"/>
      <c r="AA20" s="399"/>
      <c r="AB20" s="398"/>
      <c r="AC20" s="401"/>
      <c r="AD20" s="399"/>
      <c r="AE20" s="398"/>
      <c r="AF20" s="399"/>
      <c r="AG20" s="399"/>
      <c r="AH20" s="399"/>
      <c r="AI20" s="399"/>
      <c r="AJ20" s="399"/>
      <c r="AK20" s="398"/>
      <c r="AL20" s="399"/>
      <c r="AM20" s="399"/>
      <c r="AN20" s="398"/>
      <c r="AO20" s="405"/>
      <c r="AP20" s="399"/>
      <c r="AQ20" s="405"/>
      <c r="AR20" s="399"/>
      <c r="AS20" s="405"/>
      <c r="AU20" s="406"/>
      <c r="AV20" s="399"/>
      <c r="AX20" s="398">
        <f>('Oct 23 RIN $ OEA forecast '!T27)*-1</f>
        <v>4353.0062783743706</v>
      </c>
      <c r="AY20" s="399">
        <f>AZ20-AX20</f>
        <v>13784.519881518841</v>
      </c>
      <c r="AZ20" s="399">
        <f>'Oct 23 RIN $ OEA forecast '!T7</f>
        <v>18137.526159893212</v>
      </c>
      <c r="BA20" s="407">
        <f>(('Oct 23 RIN $ OEA forecast '!T36))*-1</f>
        <v>1902.8614111579573</v>
      </c>
      <c r="BB20" s="399">
        <f t="shared" ref="BB20:BB26" si="49">BC20-BA20</f>
        <v>7243.1955197217339</v>
      </c>
      <c r="BC20" s="399">
        <f>'Oct 23 RIN $ OEA forecast '!T12</f>
        <v>9146.0569308796912</v>
      </c>
      <c r="BD20" s="398">
        <f>('Oct 23 RIN $ OEA forecast '!T28)*-1</f>
        <v>7795.1905584686183</v>
      </c>
      <c r="BE20" s="399">
        <f t="shared" ref="BE20:BE26" si="50">BF20-BD20</f>
        <v>12718.468805922483</v>
      </c>
      <c r="BF20" s="399">
        <f>'Oct 23 RIN $ OEA forecast '!T8</f>
        <v>20513.6593643911</v>
      </c>
      <c r="BG20" s="398">
        <f>('Connections_excl EG'!T29)*-1</f>
        <v>37770.666945156998</v>
      </c>
      <c r="BH20" s="399">
        <f t="shared" ref="BH20:BH26" si="51">BI20-BG20</f>
        <v>5150.5454925214071</v>
      </c>
      <c r="BI20" s="399">
        <f>'Connections_excl EG'!T9</f>
        <v>42921.212437678405</v>
      </c>
      <c r="BM20" s="398">
        <f>AZ20+BC20+BF20+BI20+BL20</f>
        <v>90718.454892842405</v>
      </c>
      <c r="BN20" s="186">
        <f t="shared" ref="BN20:BN26" si="52">(BM20-BM19)/BM19</f>
        <v>0.11648676993700857</v>
      </c>
      <c r="BO20" s="399">
        <f>AX20+BA20+BD20+BG20+BJ20</f>
        <v>51821.725193157945</v>
      </c>
      <c r="BP20" s="186">
        <f t="shared" ref="BP20:BR26" si="53">(BO20-BO19)/BO19</f>
        <v>0.46178341421999147</v>
      </c>
      <c r="BQ20" s="399">
        <f t="shared" si="44"/>
        <v>38896.72969968446</v>
      </c>
      <c r="BR20" s="186">
        <f t="shared" si="53"/>
        <v>-0.15077220853338158</v>
      </c>
      <c r="BS20" s="186"/>
    </row>
    <row r="21" spans="1:71" s="188" customFormat="1" ht="12" customHeight="1">
      <c r="B21" s="408">
        <v>2025</v>
      </c>
      <c r="C21" s="409">
        <f t="shared" si="45"/>
        <v>4000.6481819854253</v>
      </c>
      <c r="D21" s="410">
        <f t="shared" si="45"/>
        <v>12668.719242953846</v>
      </c>
      <c r="E21" s="411">
        <f t="shared" si="45"/>
        <v>16669.367424939272</v>
      </c>
      <c r="F21" s="412">
        <f t="shared" si="45"/>
        <v>793.17637746567198</v>
      </c>
      <c r="G21" s="412">
        <f t="shared" si="45"/>
        <v>7576.8770333494831</v>
      </c>
      <c r="H21" s="413">
        <f t="shared" si="45"/>
        <v>8370.0534108151551</v>
      </c>
      <c r="I21" s="410">
        <f t="shared" si="45"/>
        <v>7246.2701554524438</v>
      </c>
      <c r="J21" s="410">
        <f t="shared" si="45"/>
        <v>11822.861832580304</v>
      </c>
      <c r="K21" s="411">
        <f t="shared" si="45"/>
        <v>19069.131988032746</v>
      </c>
      <c r="L21" s="399">
        <f t="shared" ref="L21:L26" si="54">BG21</f>
        <v>48988.555027868621</v>
      </c>
      <c r="M21" s="399">
        <f t="shared" ref="M21:M26" si="55">BH21</f>
        <v>6680.2575038002688</v>
      </c>
      <c r="N21" s="399">
        <f t="shared" ref="N21:N26" si="56">BI21</f>
        <v>55668.812531668889</v>
      </c>
      <c r="O21" s="409"/>
      <c r="P21" s="410"/>
      <c r="Q21" s="414"/>
      <c r="R21" s="415">
        <f t="shared" si="43"/>
        <v>99777.365355456073</v>
      </c>
      <c r="S21" s="189">
        <f t="shared" si="9"/>
        <v>9.9857415707908043E-2</v>
      </c>
      <c r="T21" s="415">
        <f t="shared" si="47"/>
        <v>61028.649742772162</v>
      </c>
      <c r="U21" s="416">
        <f t="shared" si="27"/>
        <v>0.17766534238867474</v>
      </c>
      <c r="V21" s="415">
        <f t="shared" si="48"/>
        <v>38748.715612683911</v>
      </c>
      <c r="W21" s="416">
        <f t="shared" si="11"/>
        <v>-3.8053092931807486E-3</v>
      </c>
      <c r="X21" s="447"/>
      <c r="Y21" s="409"/>
      <c r="Z21" s="410"/>
      <c r="AA21" s="410"/>
      <c r="AB21" s="409"/>
      <c r="AC21" s="412"/>
      <c r="AD21" s="410"/>
      <c r="AE21" s="409"/>
      <c r="AF21" s="410"/>
      <c r="AG21" s="410"/>
      <c r="AH21" s="417"/>
      <c r="AI21" s="417"/>
      <c r="AJ21" s="417"/>
      <c r="AK21" s="409"/>
      <c r="AL21" s="410"/>
      <c r="AM21" s="410"/>
      <c r="AN21" s="409"/>
      <c r="AO21" s="418"/>
      <c r="AP21" s="410"/>
      <c r="AQ21" s="418"/>
      <c r="AR21" s="410"/>
      <c r="AS21" s="418"/>
      <c r="AU21" s="419"/>
      <c r="AV21" s="410"/>
      <c r="AX21" s="398">
        <f>('Oct 23 RIN $ OEA forecast '!U27)*-1</f>
        <v>4000.6481819854253</v>
      </c>
      <c r="AY21" s="399">
        <f t="shared" ref="AY21:AY26" si="57">AZ21-AX21</f>
        <v>12668.719242953846</v>
      </c>
      <c r="AZ21" s="410">
        <f>'Oct 23 RIN $ OEA forecast '!U7</f>
        <v>16669.367424939272</v>
      </c>
      <c r="BA21" s="420">
        <f>(('Oct 23 RIN $ OEA forecast '!U36))*-1</f>
        <v>793.17637746567198</v>
      </c>
      <c r="BB21" s="410">
        <f t="shared" si="49"/>
        <v>7576.8770333494831</v>
      </c>
      <c r="BC21" s="410">
        <f>'Oct 23 RIN $ OEA forecast '!U12</f>
        <v>8370.0534108151551</v>
      </c>
      <c r="BD21" s="409">
        <f>('Oct 23 RIN $ OEA forecast '!U28)*-1</f>
        <v>7246.2701554524438</v>
      </c>
      <c r="BE21" s="410">
        <f t="shared" si="50"/>
        <v>11822.861832580304</v>
      </c>
      <c r="BF21" s="410">
        <f>'Oct 23 RIN $ OEA forecast '!U8</f>
        <v>19069.131988032746</v>
      </c>
      <c r="BG21" s="398">
        <f>('Connections_excl EG'!U29)*-1</f>
        <v>48988.555027868621</v>
      </c>
      <c r="BH21" s="410">
        <f t="shared" si="51"/>
        <v>6680.2575038002688</v>
      </c>
      <c r="BI21" s="399">
        <f>'Connections_excl EG'!U9</f>
        <v>55668.812531668889</v>
      </c>
      <c r="BM21" s="398">
        <f t="shared" ref="BM21:BM25" si="58">AZ21+BC21+BF21+BI21+BL21</f>
        <v>99777.365355456073</v>
      </c>
      <c r="BN21" s="189">
        <f t="shared" si="52"/>
        <v>9.9857415707908043E-2</v>
      </c>
      <c r="BO21" s="399">
        <f t="shared" ref="BO21:BO25" si="59">AX21+BA21+BD21+BG21+BJ21</f>
        <v>61028.649742772162</v>
      </c>
      <c r="BP21" s="189">
        <f t="shared" si="53"/>
        <v>0.17766534238867474</v>
      </c>
      <c r="BQ21" s="399">
        <f t="shared" si="44"/>
        <v>38748.715612683911</v>
      </c>
      <c r="BR21" s="189">
        <f t="shared" si="53"/>
        <v>-3.8053092931807486E-3</v>
      </c>
      <c r="BS21" s="189"/>
    </row>
    <row r="22" spans="1:71" s="422" customFormat="1" ht="12" customHeight="1">
      <c r="B22" s="423">
        <v>2026</v>
      </c>
      <c r="C22" s="424">
        <f t="shared" si="45"/>
        <v>4313.6648724860715</v>
      </c>
      <c r="D22" s="425">
        <f t="shared" si="45"/>
        <v>13659.93876287256</v>
      </c>
      <c r="E22" s="426">
        <f t="shared" si="45"/>
        <v>17973.603635358631</v>
      </c>
      <c r="F22" s="427">
        <f t="shared" si="45"/>
        <v>1263.3229791644553</v>
      </c>
      <c r="G22" s="427">
        <f t="shared" si="45"/>
        <v>7435.5042789925064</v>
      </c>
      <c r="H22" s="428">
        <f t="shared" si="45"/>
        <v>8698.8272581569618</v>
      </c>
      <c r="I22" s="425">
        <f t="shared" si="45"/>
        <v>6893.4067832503752</v>
      </c>
      <c r="J22" s="425">
        <f t="shared" si="45"/>
        <v>11247.13738319798</v>
      </c>
      <c r="K22" s="426">
        <f t="shared" si="45"/>
        <v>18140.544166448355</v>
      </c>
      <c r="L22" s="425">
        <f t="shared" si="54"/>
        <v>39680.729572573589</v>
      </c>
      <c r="M22" s="425">
        <f t="shared" si="55"/>
        <v>9920.1823931433901</v>
      </c>
      <c r="N22" s="425">
        <f t="shared" si="56"/>
        <v>49600.911965716979</v>
      </c>
      <c r="O22" s="425">
        <v>9904.6400000000012</v>
      </c>
      <c r="P22" s="429">
        <v>-560.64000000000124</v>
      </c>
      <c r="Q22" s="425">
        <v>9344</v>
      </c>
      <c r="R22" s="430">
        <f t="shared" si="43"/>
        <v>103278.88702568093</v>
      </c>
      <c r="S22" s="431">
        <f t="shared" si="9"/>
        <v>3.5093346649820979E-2</v>
      </c>
      <c r="T22" s="430">
        <f t="shared" si="47"/>
        <v>61548.024207474497</v>
      </c>
      <c r="U22" s="432">
        <f t="shared" si="27"/>
        <v>8.5103384540118465E-3</v>
      </c>
      <c r="V22" s="430">
        <f t="shared" si="48"/>
        <v>41730.862818206435</v>
      </c>
      <c r="W22" s="432">
        <f t="shared" si="11"/>
        <v>7.6961188477337683E-2</v>
      </c>
      <c r="X22" s="187"/>
      <c r="Y22" s="425"/>
      <c r="Z22" s="425"/>
      <c r="AA22" s="425"/>
      <c r="AB22" s="425"/>
      <c r="AC22" s="427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33"/>
      <c r="AP22" s="425"/>
      <c r="AQ22" s="433"/>
      <c r="AR22" s="425"/>
      <c r="AS22" s="433"/>
      <c r="AU22" s="434"/>
      <c r="AV22" s="425"/>
      <c r="AX22" s="424">
        <f>('Oct 23 RIN $ OEA forecast '!V27)*-1</f>
        <v>4313.6648724860715</v>
      </c>
      <c r="AY22" s="425">
        <f t="shared" si="57"/>
        <v>13659.93876287256</v>
      </c>
      <c r="AZ22" s="425">
        <f>'Oct 23 RIN $ OEA forecast '!V7</f>
        <v>17973.603635358631</v>
      </c>
      <c r="BA22" s="435">
        <f>(('Oct 23 RIN $ OEA forecast '!V36))*-1</f>
        <v>1263.3229791644553</v>
      </c>
      <c r="BB22" s="425">
        <f t="shared" si="49"/>
        <v>7435.5042789925064</v>
      </c>
      <c r="BC22" s="425">
        <f>'Oct 23 RIN $ OEA forecast '!V12</f>
        <v>8698.8272581569618</v>
      </c>
      <c r="BD22" s="424">
        <f>('Oct 23 RIN $ OEA forecast '!V28)*-1</f>
        <v>6893.4067832503752</v>
      </c>
      <c r="BE22" s="425">
        <f t="shared" si="50"/>
        <v>11247.13738319798</v>
      </c>
      <c r="BF22" s="425">
        <f>'Oct 23 RIN $ OEA forecast '!V8</f>
        <v>18140.544166448355</v>
      </c>
      <c r="BG22" s="424">
        <f>('Connections_excl EG'!V29)*-1</f>
        <v>39680.729572573589</v>
      </c>
      <c r="BH22" s="425">
        <f t="shared" si="51"/>
        <v>9920.1823931433901</v>
      </c>
      <c r="BI22" s="425">
        <f>'Connections_excl EG'!V9</f>
        <v>49600.911965716979</v>
      </c>
      <c r="BJ22" s="436">
        <f>BL22*1.06</f>
        <v>9396.9</v>
      </c>
      <c r="BK22" s="436">
        <v>-560.64000000000124</v>
      </c>
      <c r="BL22" s="437">
        <v>8865</v>
      </c>
      <c r="BM22" s="424">
        <f t="shared" si="58"/>
        <v>103278.88702568093</v>
      </c>
      <c r="BN22" s="431">
        <f t="shared" si="52"/>
        <v>3.5093346649820979E-2</v>
      </c>
      <c r="BO22" s="425">
        <f t="shared" si="59"/>
        <v>61548.024207474497</v>
      </c>
      <c r="BP22" s="431">
        <f t="shared" si="53"/>
        <v>8.5103384540118465E-3</v>
      </c>
      <c r="BQ22" s="425">
        <f t="shared" si="44"/>
        <v>41730.862818206435</v>
      </c>
      <c r="BR22" s="431">
        <f t="shared" si="53"/>
        <v>7.6961188477337683E-2</v>
      </c>
      <c r="BS22" s="431"/>
    </row>
    <row r="23" spans="1:71" s="422" customFormat="1" ht="12" customHeight="1">
      <c r="B23" s="423">
        <v>2027</v>
      </c>
      <c r="C23" s="424">
        <f t="shared" si="45"/>
        <v>4660.7078975376262</v>
      </c>
      <c r="D23" s="425">
        <f t="shared" si="45"/>
        <v>14758.908342202483</v>
      </c>
      <c r="E23" s="426">
        <f t="shared" si="45"/>
        <v>19419.616239740109</v>
      </c>
      <c r="F23" s="427">
        <f t="shared" si="45"/>
        <v>1573.650133936113</v>
      </c>
      <c r="G23" s="427">
        <f t="shared" si="45"/>
        <v>7342.1891205646662</v>
      </c>
      <c r="H23" s="428">
        <f t="shared" si="45"/>
        <v>8915.8392545007791</v>
      </c>
      <c r="I23" s="425">
        <f t="shared" si="45"/>
        <v>7707.0218734106656</v>
      </c>
      <c r="J23" s="425">
        <f t="shared" si="45"/>
        <v>12574.614635564771</v>
      </c>
      <c r="K23" s="426">
        <f t="shared" si="45"/>
        <v>20281.636508975436</v>
      </c>
      <c r="L23" s="425">
        <f t="shared" si="54"/>
        <v>33609.577947969825</v>
      </c>
      <c r="M23" s="425">
        <f t="shared" si="55"/>
        <v>8402.3944869924526</v>
      </c>
      <c r="N23" s="425">
        <f t="shared" si="56"/>
        <v>42011.972434962277</v>
      </c>
      <c r="O23" s="425">
        <v>10235.36</v>
      </c>
      <c r="P23" s="429">
        <v>-579.36000000000058</v>
      </c>
      <c r="Q23" s="425">
        <v>9656</v>
      </c>
      <c r="R23" s="430">
        <f t="shared" si="43"/>
        <v>99391.064438178611</v>
      </c>
      <c r="S23" s="431">
        <f t="shared" si="9"/>
        <v>-3.7643924130743092E-2</v>
      </c>
      <c r="T23" s="430">
        <f t="shared" si="47"/>
        <v>56838.677852854235</v>
      </c>
      <c r="U23" s="432">
        <f t="shared" si="27"/>
        <v>-7.6514988340573756E-2</v>
      </c>
      <c r="V23" s="430">
        <f t="shared" si="48"/>
        <v>42552.386585324377</v>
      </c>
      <c r="W23" s="432">
        <f t="shared" si="11"/>
        <v>1.9686239671026545E-2</v>
      </c>
      <c r="X23" s="187"/>
      <c r="Y23" s="425"/>
      <c r="Z23" s="425"/>
      <c r="AA23" s="425"/>
      <c r="AB23" s="425"/>
      <c r="AC23" s="427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33"/>
      <c r="AP23" s="425"/>
      <c r="AQ23" s="433"/>
      <c r="AR23" s="425"/>
      <c r="AS23" s="433"/>
      <c r="AU23" s="434"/>
      <c r="AV23" s="425"/>
      <c r="AX23" s="424">
        <f>('Oct 23 RIN $ OEA forecast '!W27)*-1</f>
        <v>4660.7078975376262</v>
      </c>
      <c r="AY23" s="425">
        <f t="shared" si="57"/>
        <v>14758.908342202483</v>
      </c>
      <c r="AZ23" s="425">
        <f>'Oct 23 RIN $ OEA forecast '!W7</f>
        <v>19419.616239740109</v>
      </c>
      <c r="BA23" s="435">
        <f>(('Oct 23 RIN $ OEA forecast '!W36))*-1</f>
        <v>1573.650133936113</v>
      </c>
      <c r="BB23" s="425">
        <f t="shared" si="49"/>
        <v>7342.1891205646662</v>
      </c>
      <c r="BC23" s="425">
        <f>'Oct 23 RIN $ OEA forecast '!W12</f>
        <v>8915.8392545007791</v>
      </c>
      <c r="BD23" s="424">
        <f>('Oct 23 RIN $ OEA forecast '!W28)*-1</f>
        <v>7707.0218734106656</v>
      </c>
      <c r="BE23" s="425">
        <f t="shared" si="50"/>
        <v>12574.614635564771</v>
      </c>
      <c r="BF23" s="425">
        <f>'Oct 23 RIN $ OEA forecast '!W8</f>
        <v>20281.636508975436</v>
      </c>
      <c r="BG23" s="424">
        <f>('Connections_excl EG'!W29)*-1</f>
        <v>33609.577947969825</v>
      </c>
      <c r="BH23" s="425">
        <f t="shared" si="51"/>
        <v>8402.3944869924526</v>
      </c>
      <c r="BI23" s="425">
        <f>'Connections_excl EG'!W9</f>
        <v>42011.972434962277</v>
      </c>
      <c r="BJ23" s="436">
        <f t="shared" ref="BJ23:BJ26" si="60">BL23*1.06</f>
        <v>9287.7200000000012</v>
      </c>
      <c r="BK23" s="436">
        <v>-579.36000000000058</v>
      </c>
      <c r="BL23" s="437">
        <v>8762</v>
      </c>
      <c r="BM23" s="424">
        <f t="shared" si="58"/>
        <v>99391.064438178611</v>
      </c>
      <c r="BN23" s="431">
        <f t="shared" si="52"/>
        <v>-3.7643924130743092E-2</v>
      </c>
      <c r="BO23" s="425">
        <f t="shared" si="59"/>
        <v>56838.677852854235</v>
      </c>
      <c r="BP23" s="431">
        <f t="shared" si="53"/>
        <v>-7.6514988340573756E-2</v>
      </c>
      <c r="BQ23" s="425">
        <f t="shared" si="44"/>
        <v>42552.386585324377</v>
      </c>
      <c r="BR23" s="431">
        <f t="shared" si="53"/>
        <v>1.9686239671026545E-2</v>
      </c>
      <c r="BS23" s="431"/>
    </row>
    <row r="24" spans="1:71" s="422" customFormat="1" ht="12" customHeight="1">
      <c r="B24" s="423">
        <v>2028</v>
      </c>
      <c r="C24" s="424">
        <f t="shared" si="45"/>
        <v>4812.0878240768634</v>
      </c>
      <c r="D24" s="425">
        <f t="shared" si="45"/>
        <v>15238.278109576733</v>
      </c>
      <c r="E24" s="426">
        <f t="shared" si="45"/>
        <v>20050.365933653597</v>
      </c>
      <c r="F24" s="427">
        <f t="shared" si="45"/>
        <v>521.88620558955154</v>
      </c>
      <c r="G24" s="427">
        <f t="shared" si="45"/>
        <v>7658.4537983192258</v>
      </c>
      <c r="H24" s="428">
        <f t="shared" si="45"/>
        <v>8180.3400039087774</v>
      </c>
      <c r="I24" s="425">
        <f t="shared" si="45"/>
        <v>8308.4824259858306</v>
      </c>
      <c r="J24" s="425">
        <f t="shared" si="45"/>
        <v>13555.945010818987</v>
      </c>
      <c r="K24" s="426">
        <f t="shared" si="45"/>
        <v>21864.427436804817</v>
      </c>
      <c r="L24" s="425">
        <f t="shared" si="54"/>
        <v>33811.23541565764</v>
      </c>
      <c r="M24" s="425">
        <f t="shared" si="55"/>
        <v>8452.8088539144082</v>
      </c>
      <c r="N24" s="425">
        <f t="shared" si="56"/>
        <v>42264.044269572049</v>
      </c>
      <c r="O24" s="425">
        <v>11532.800000000001</v>
      </c>
      <c r="P24" s="429">
        <v>-652.80000000000109</v>
      </c>
      <c r="Q24" s="425">
        <v>10880</v>
      </c>
      <c r="R24" s="430">
        <f t="shared" si="43"/>
        <v>101829.17764393924</v>
      </c>
      <c r="S24" s="431">
        <f t="shared" si="9"/>
        <v>2.4530507038458573E-2</v>
      </c>
      <c r="T24" s="430">
        <f t="shared" si="47"/>
        <v>57491.891871309883</v>
      </c>
      <c r="U24" s="432">
        <f t="shared" si="27"/>
        <v>1.1492421061353845E-2</v>
      </c>
      <c r="V24" s="430">
        <f t="shared" si="48"/>
        <v>44337.285772629359</v>
      </c>
      <c r="W24" s="432">
        <f t="shared" si="11"/>
        <v>4.1945924319097168E-2</v>
      </c>
      <c r="X24" s="187"/>
      <c r="Y24" s="425"/>
      <c r="Z24" s="425"/>
      <c r="AA24" s="425"/>
      <c r="AB24" s="425"/>
      <c r="AC24" s="427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33"/>
      <c r="AP24" s="425"/>
      <c r="AQ24" s="433"/>
      <c r="AR24" s="425"/>
      <c r="AS24" s="433"/>
      <c r="AU24" s="434"/>
      <c r="AV24" s="425"/>
      <c r="AX24" s="424">
        <f>('Oct 23 RIN $ OEA forecast '!X27)*-1</f>
        <v>4812.0878240768634</v>
      </c>
      <c r="AY24" s="425">
        <f t="shared" si="57"/>
        <v>15238.278109576733</v>
      </c>
      <c r="AZ24" s="425">
        <f>'Oct 23 RIN $ OEA forecast '!X7</f>
        <v>20050.365933653597</v>
      </c>
      <c r="BA24" s="435">
        <f>(('Oct 23 RIN $ OEA forecast '!X36))*-1</f>
        <v>521.88620558955154</v>
      </c>
      <c r="BB24" s="425">
        <f t="shared" si="49"/>
        <v>7658.4537983192258</v>
      </c>
      <c r="BC24" s="425">
        <f>'Oct 23 RIN $ OEA forecast '!X12</f>
        <v>8180.3400039087774</v>
      </c>
      <c r="BD24" s="424">
        <f>('Oct 23 RIN $ OEA forecast '!X28)*-1</f>
        <v>8308.4824259858306</v>
      </c>
      <c r="BE24" s="425">
        <f t="shared" si="50"/>
        <v>13555.945010818987</v>
      </c>
      <c r="BF24" s="425">
        <f>'Oct 23 RIN $ OEA forecast '!X8</f>
        <v>21864.427436804817</v>
      </c>
      <c r="BG24" s="424">
        <f>('Connections_excl EG'!X29)*-1</f>
        <v>33811.23541565764</v>
      </c>
      <c r="BH24" s="425">
        <f t="shared" si="51"/>
        <v>8452.8088539144082</v>
      </c>
      <c r="BI24" s="425">
        <f>'Connections_excl EG'!X9</f>
        <v>42264.044269572049</v>
      </c>
      <c r="BJ24" s="436">
        <f t="shared" si="60"/>
        <v>10038.200000000001</v>
      </c>
      <c r="BK24" s="436">
        <v>-652.80000000000109</v>
      </c>
      <c r="BL24" s="437">
        <v>9470</v>
      </c>
      <c r="BM24" s="424">
        <f t="shared" si="58"/>
        <v>101829.17764393924</v>
      </c>
      <c r="BN24" s="431">
        <f t="shared" si="52"/>
        <v>2.4530507038458573E-2</v>
      </c>
      <c r="BO24" s="425">
        <f t="shared" si="59"/>
        <v>57491.891871309883</v>
      </c>
      <c r="BP24" s="431">
        <f t="shared" si="53"/>
        <v>1.1492421061353845E-2</v>
      </c>
      <c r="BQ24" s="425">
        <f t="shared" si="44"/>
        <v>44337.285772629359</v>
      </c>
      <c r="BR24" s="431">
        <f t="shared" si="53"/>
        <v>4.1945924319097168E-2</v>
      </c>
      <c r="BS24" s="431"/>
    </row>
    <row r="25" spans="1:71" s="422" customFormat="1" ht="12" customHeight="1">
      <c r="B25" s="423">
        <v>2029</v>
      </c>
      <c r="C25" s="424">
        <f t="shared" si="45"/>
        <v>4864.4996065941423</v>
      </c>
      <c r="D25" s="425">
        <f t="shared" si="45"/>
        <v>15404.248754214786</v>
      </c>
      <c r="E25" s="426">
        <f t="shared" si="45"/>
        <v>20268.748360808928</v>
      </c>
      <c r="F25" s="427">
        <f t="shared" si="45"/>
        <v>-1014.8693348808611</v>
      </c>
      <c r="G25" s="427">
        <f t="shared" si="45"/>
        <v>8120.5551146844546</v>
      </c>
      <c r="H25" s="428">
        <f t="shared" si="45"/>
        <v>7105.6857798035935</v>
      </c>
      <c r="I25" s="425">
        <f t="shared" si="45"/>
        <v>8501.393173645889</v>
      </c>
      <c r="J25" s="425">
        <f t="shared" si="45"/>
        <v>13870.694125422242</v>
      </c>
      <c r="K25" s="426">
        <f t="shared" si="45"/>
        <v>22372.087299068131</v>
      </c>
      <c r="L25" s="425">
        <f t="shared" si="54"/>
        <v>35432.29756573218</v>
      </c>
      <c r="M25" s="425">
        <f t="shared" si="55"/>
        <v>8858.0743914330451</v>
      </c>
      <c r="N25" s="425">
        <f t="shared" si="56"/>
        <v>44290.371957165225</v>
      </c>
      <c r="O25" s="425">
        <v>11357.900000000001</v>
      </c>
      <c r="P25" s="429">
        <v>-642.90000000000146</v>
      </c>
      <c r="Q25" s="425">
        <v>10715</v>
      </c>
      <c r="R25" s="430">
        <f t="shared" si="43"/>
        <v>103471.89339684587</v>
      </c>
      <c r="S25" s="431">
        <f t="shared" si="9"/>
        <v>1.6132073251643356E-2</v>
      </c>
      <c r="T25" s="430">
        <f t="shared" si="47"/>
        <v>57784.421011091348</v>
      </c>
      <c r="U25" s="432">
        <f t="shared" si="27"/>
        <v>5.0881807896714188E-3</v>
      </c>
      <c r="V25" s="430">
        <f t="shared" si="48"/>
        <v>45687.472385754525</v>
      </c>
      <c r="W25" s="432">
        <f t="shared" si="11"/>
        <v>3.0452622202658021E-2</v>
      </c>
      <c r="X25" s="187"/>
      <c r="Y25" s="425"/>
      <c r="Z25" s="425"/>
      <c r="AA25" s="425"/>
      <c r="AB25" s="425"/>
      <c r="AC25" s="427"/>
      <c r="AD25" s="425"/>
      <c r="AE25" s="425"/>
      <c r="AF25" s="425"/>
      <c r="AG25" s="425"/>
      <c r="AH25" s="425"/>
      <c r="AI25" s="425"/>
      <c r="AJ25" s="425"/>
      <c r="AK25" s="425"/>
      <c r="AL25" s="425"/>
      <c r="AM25" s="425"/>
      <c r="AN25" s="425"/>
      <c r="AO25" s="433"/>
      <c r="AP25" s="425"/>
      <c r="AQ25" s="433"/>
      <c r="AR25" s="425"/>
      <c r="AS25" s="433"/>
      <c r="AU25" s="434"/>
      <c r="AV25" s="425"/>
      <c r="AX25" s="424">
        <f>('Oct 23 RIN $ OEA forecast '!Y27)*-1</f>
        <v>4864.4996065941423</v>
      </c>
      <c r="AY25" s="425">
        <f t="shared" si="57"/>
        <v>15404.248754214786</v>
      </c>
      <c r="AZ25" s="425">
        <f>'Oct 23 RIN $ OEA forecast '!Y7</f>
        <v>20268.748360808928</v>
      </c>
      <c r="BA25" s="435">
        <f>(('Oct 23 RIN $ OEA forecast '!Y36))*-1</f>
        <v>-1014.8693348808611</v>
      </c>
      <c r="BB25" s="425">
        <f t="shared" si="49"/>
        <v>8120.5551146844546</v>
      </c>
      <c r="BC25" s="425">
        <f>'Oct 23 RIN $ OEA forecast '!Y12</f>
        <v>7105.6857798035935</v>
      </c>
      <c r="BD25" s="424">
        <f>('Oct 23 RIN $ OEA forecast '!Y28)*-1</f>
        <v>8501.393173645889</v>
      </c>
      <c r="BE25" s="425">
        <f t="shared" si="50"/>
        <v>13870.694125422242</v>
      </c>
      <c r="BF25" s="425">
        <f>'Oct 23 RIN $ OEA forecast '!Y8</f>
        <v>22372.087299068131</v>
      </c>
      <c r="BG25" s="424">
        <f>('Connections_excl EG'!Y29)*-1</f>
        <v>35432.29756573218</v>
      </c>
      <c r="BH25" s="425">
        <f t="shared" si="51"/>
        <v>8858.0743914330451</v>
      </c>
      <c r="BI25" s="425">
        <f>'Connections_excl EG'!Y9</f>
        <v>44290.371957165225</v>
      </c>
      <c r="BJ25" s="436">
        <f t="shared" si="60"/>
        <v>10001.1</v>
      </c>
      <c r="BK25" s="436">
        <v>-642.90000000000146</v>
      </c>
      <c r="BL25" s="437">
        <v>9435</v>
      </c>
      <c r="BM25" s="424">
        <f t="shared" si="58"/>
        <v>103471.89339684587</v>
      </c>
      <c r="BN25" s="431">
        <f t="shared" si="52"/>
        <v>1.6132073251643356E-2</v>
      </c>
      <c r="BO25" s="425">
        <f t="shared" si="59"/>
        <v>57784.421011091348</v>
      </c>
      <c r="BP25" s="431">
        <f t="shared" si="53"/>
        <v>5.0881807896714188E-3</v>
      </c>
      <c r="BQ25" s="425">
        <f t="shared" si="44"/>
        <v>45687.472385754525</v>
      </c>
      <c r="BR25" s="431">
        <f t="shared" si="53"/>
        <v>3.0452622202658021E-2</v>
      </c>
      <c r="BS25" s="431"/>
    </row>
    <row r="26" spans="1:71" s="422" customFormat="1" ht="12" customHeight="1">
      <c r="B26" s="423">
        <v>2030</v>
      </c>
      <c r="C26" s="424">
        <f t="shared" si="45"/>
        <v>4853.2596499673155</v>
      </c>
      <c r="D26" s="425">
        <f t="shared" si="45"/>
        <v>15368.655558229832</v>
      </c>
      <c r="E26" s="426">
        <f t="shared" si="45"/>
        <v>20221.915208197148</v>
      </c>
      <c r="F26" s="427">
        <f t="shared" si="45"/>
        <v>-1071.8628991624173</v>
      </c>
      <c r="G26" s="427">
        <f t="shared" si="45"/>
        <v>8137.6930396082798</v>
      </c>
      <c r="H26" s="428">
        <f t="shared" si="45"/>
        <v>7065.8301404458625</v>
      </c>
      <c r="I26" s="425">
        <f t="shared" si="45"/>
        <v>8806.9468161430759</v>
      </c>
      <c r="J26" s="425">
        <f t="shared" si="45"/>
        <v>14369.229015812389</v>
      </c>
      <c r="K26" s="426">
        <f t="shared" si="45"/>
        <v>23176.175831955465</v>
      </c>
      <c r="L26" s="425">
        <f t="shared" si="54"/>
        <v>31990.324976564265</v>
      </c>
      <c r="M26" s="425">
        <f t="shared" si="55"/>
        <v>7997.5812441410635</v>
      </c>
      <c r="N26" s="425">
        <f t="shared" si="56"/>
        <v>39987.906220705328</v>
      </c>
      <c r="O26" s="425">
        <v>9074.66</v>
      </c>
      <c r="P26" s="429">
        <v>-513.65999999999985</v>
      </c>
      <c r="Q26" s="425">
        <v>8561</v>
      </c>
      <c r="R26" s="430">
        <f t="shared" si="43"/>
        <v>100561.8274013038</v>
      </c>
      <c r="S26" s="431">
        <f t="shared" si="9"/>
        <v>-2.8124217118373308E-2</v>
      </c>
      <c r="T26" s="430">
        <f t="shared" si="47"/>
        <v>55295.268543512233</v>
      </c>
      <c r="U26" s="432">
        <f t="shared" si="27"/>
        <v>-4.307653211756398E-2</v>
      </c>
      <c r="V26" s="430">
        <f t="shared" si="48"/>
        <v>45266.55885779157</v>
      </c>
      <c r="W26" s="432">
        <f t="shared" si="11"/>
        <v>-9.2128871654146779E-3</v>
      </c>
      <c r="X26" s="187"/>
      <c r="Y26" s="425"/>
      <c r="Z26" s="425"/>
      <c r="AA26" s="425"/>
      <c r="AB26" s="425"/>
      <c r="AC26" s="427"/>
      <c r="AD26" s="425"/>
      <c r="AE26" s="425"/>
      <c r="AF26" s="425"/>
      <c r="AG26" s="425"/>
      <c r="AH26" s="425"/>
      <c r="AI26" s="425"/>
      <c r="AJ26" s="425"/>
      <c r="AK26" s="425"/>
      <c r="AL26" s="425"/>
      <c r="AM26" s="425"/>
      <c r="AN26" s="425"/>
      <c r="AO26" s="433"/>
      <c r="AP26" s="425"/>
      <c r="AQ26" s="433"/>
      <c r="AR26" s="425"/>
      <c r="AS26" s="433"/>
      <c r="AU26" s="434"/>
      <c r="AV26" s="425"/>
      <c r="AX26" s="424">
        <f>('Oct 23 RIN $ OEA forecast '!Z27)*-1</f>
        <v>4853.2596499673155</v>
      </c>
      <c r="AY26" s="425">
        <f t="shared" si="57"/>
        <v>15368.655558229832</v>
      </c>
      <c r="AZ26" s="425">
        <f>'Oct 23 RIN $ OEA forecast '!Z7</f>
        <v>20221.915208197148</v>
      </c>
      <c r="BA26" s="435">
        <f>(('Oct 23 RIN $ OEA forecast '!Z36))*-1</f>
        <v>-1071.8628991624173</v>
      </c>
      <c r="BB26" s="425">
        <f t="shared" si="49"/>
        <v>8137.6930396082798</v>
      </c>
      <c r="BC26" s="425">
        <f>'Oct 23 RIN $ OEA forecast '!Z12</f>
        <v>7065.8301404458625</v>
      </c>
      <c r="BD26" s="424">
        <f>('Oct 23 RIN $ OEA forecast '!Z28)*-1</f>
        <v>8806.9468161430759</v>
      </c>
      <c r="BE26" s="425">
        <f t="shared" si="50"/>
        <v>14369.229015812389</v>
      </c>
      <c r="BF26" s="425">
        <f>'Oct 23 RIN $ OEA forecast '!Z8</f>
        <v>23176.175831955465</v>
      </c>
      <c r="BG26" s="424">
        <f>('Connections_excl EG'!Z29)*-1</f>
        <v>31990.324976564265</v>
      </c>
      <c r="BH26" s="425">
        <f t="shared" si="51"/>
        <v>7997.5812441410635</v>
      </c>
      <c r="BI26" s="425">
        <f>'Connections_excl EG'!Z9</f>
        <v>39987.906220705328</v>
      </c>
      <c r="BJ26" s="436">
        <f t="shared" si="60"/>
        <v>10716.6</v>
      </c>
      <c r="BK26" s="436">
        <v>-513.65999999999985</v>
      </c>
      <c r="BL26" s="437">
        <v>10110</v>
      </c>
      <c r="BM26" s="424">
        <f>AZ26+BC26+BF26+BI26+BL26</f>
        <v>100561.8274013038</v>
      </c>
      <c r="BN26" s="431">
        <f t="shared" si="52"/>
        <v>-2.8124217118373308E-2</v>
      </c>
      <c r="BO26" s="425">
        <f>AX26+BA26+BD26+BG26+BJ26</f>
        <v>55295.268543512233</v>
      </c>
      <c r="BP26" s="431">
        <f t="shared" si="53"/>
        <v>-4.307653211756398E-2</v>
      </c>
      <c r="BQ26" s="425">
        <f t="shared" si="44"/>
        <v>45266.55885779157</v>
      </c>
      <c r="BR26" s="431">
        <f t="shared" si="53"/>
        <v>-9.2128871654146779E-3</v>
      </c>
      <c r="BS26" s="431"/>
    </row>
    <row r="27" spans="1:71" ht="12.95" customHeight="1">
      <c r="B27" s="190"/>
    </row>
    <row r="28" spans="1:71">
      <c r="P28" s="360"/>
    </row>
  </sheetData>
  <mergeCells count="42">
    <mergeCell ref="BJ2:BL2"/>
    <mergeCell ref="BK3:BL3"/>
    <mergeCell ref="BK4:BL4"/>
    <mergeCell ref="AH2:AJ2"/>
    <mergeCell ref="AI3:AJ3"/>
    <mergeCell ref="AI4:AJ4"/>
    <mergeCell ref="AL3:AM3"/>
    <mergeCell ref="BB4:BC4"/>
    <mergeCell ref="BE4:BF4"/>
    <mergeCell ref="BH4:BI4"/>
    <mergeCell ref="BB3:BC3"/>
    <mergeCell ref="BE3:BF3"/>
    <mergeCell ref="BH3:BI3"/>
    <mergeCell ref="BD2:BF2"/>
    <mergeCell ref="BG2:BI2"/>
    <mergeCell ref="AK2:AM2"/>
    <mergeCell ref="AX2:AZ2"/>
    <mergeCell ref="BA2:BC2"/>
    <mergeCell ref="AN3:AO3"/>
    <mergeCell ref="AP3:AQ3"/>
    <mergeCell ref="AR3:AS3"/>
    <mergeCell ref="AU3:AV3"/>
    <mergeCell ref="AY3:AZ3"/>
    <mergeCell ref="BM3:BN3"/>
    <mergeCell ref="BO3:BP3"/>
    <mergeCell ref="BQ3:BR3"/>
    <mergeCell ref="A3:A4"/>
    <mergeCell ref="B3:B4"/>
    <mergeCell ref="R3:S3"/>
    <mergeCell ref="T3:U3"/>
    <mergeCell ref="V3:W3"/>
    <mergeCell ref="Z3:AA3"/>
    <mergeCell ref="AC3:AD3"/>
    <mergeCell ref="AF3:AG3"/>
    <mergeCell ref="AL4:AM4"/>
    <mergeCell ref="AY4:AZ4"/>
    <mergeCell ref="Y2:AA2"/>
    <mergeCell ref="AB2:AD2"/>
    <mergeCell ref="AE2:AG2"/>
    <mergeCell ref="Z4:AA4"/>
    <mergeCell ref="AC4:AD4"/>
    <mergeCell ref="AF4:AG4"/>
  </mergeCells>
  <pageMargins left="0.70866141732283472" right="0.70866141732283472" top="0.74803149606299213" bottom="0.74803149606299213" header="0.31496062992125984" footer="0.31496062992125984"/>
  <pageSetup paperSize="8" scale="34" orientation="landscape" r:id="rId1"/>
  <headerFooter>
    <oddHeader>&amp;C&amp;"-,Bold"&amp;14Appendix C
Connection Expenditures - Charts &amp; Tables</oddHeader>
    <oddFooter>&amp;L&amp;"-,Regular"Date: 14 August 2014&amp;R&amp;"-,Regular"Contact: Stephen Jolly (08 8404 5490)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CC47-C2ED-42B4-90DD-8AA01D6542BD}">
  <dimension ref="A1:F34"/>
  <sheetViews>
    <sheetView zoomScale="110" zoomScaleNormal="110" workbookViewId="0">
      <selection activeCell="H15" sqref="H15"/>
    </sheetView>
  </sheetViews>
  <sheetFormatPr defaultRowHeight="12.75"/>
  <cols>
    <col min="1" max="1" width="9.28515625" style="243"/>
    <col min="2" max="2" width="10.42578125" style="243" customWidth="1"/>
    <col min="3" max="3" width="12.28515625" style="243" customWidth="1"/>
    <col min="4" max="4" width="8" style="243" customWidth="1"/>
    <col min="5" max="257" width="9.28515625" style="243"/>
    <col min="258" max="258" width="10.42578125" style="243" customWidth="1"/>
    <col min="259" max="259" width="12.28515625" style="243" customWidth="1"/>
    <col min="260" max="260" width="8.28515625" style="243" customWidth="1"/>
    <col min="261" max="513" width="9.28515625" style="243"/>
    <col min="514" max="514" width="10.42578125" style="243" customWidth="1"/>
    <col min="515" max="515" width="12.28515625" style="243" customWidth="1"/>
    <col min="516" max="516" width="8.28515625" style="243" customWidth="1"/>
    <col min="517" max="769" width="9.28515625" style="243"/>
    <col min="770" max="770" width="10.42578125" style="243" customWidth="1"/>
    <col min="771" max="771" width="12.28515625" style="243" customWidth="1"/>
    <col min="772" max="772" width="8.28515625" style="243" customWidth="1"/>
    <col min="773" max="1025" width="9.28515625" style="243"/>
    <col min="1026" max="1026" width="10.42578125" style="243" customWidth="1"/>
    <col min="1027" max="1027" width="12.28515625" style="243" customWidth="1"/>
    <col min="1028" max="1028" width="8.28515625" style="243" customWidth="1"/>
    <col min="1029" max="1281" width="9.28515625" style="243"/>
    <col min="1282" max="1282" width="10.42578125" style="243" customWidth="1"/>
    <col min="1283" max="1283" width="12.28515625" style="243" customWidth="1"/>
    <col min="1284" max="1284" width="8.28515625" style="243" customWidth="1"/>
    <col min="1285" max="1537" width="9.28515625" style="243"/>
    <col min="1538" max="1538" width="10.42578125" style="243" customWidth="1"/>
    <col min="1539" max="1539" width="12.28515625" style="243" customWidth="1"/>
    <col min="1540" max="1540" width="8.28515625" style="243" customWidth="1"/>
    <col min="1541" max="1793" width="9.28515625" style="243"/>
    <col min="1794" max="1794" width="10.42578125" style="243" customWidth="1"/>
    <col min="1795" max="1795" width="12.28515625" style="243" customWidth="1"/>
    <col min="1796" max="1796" width="8.28515625" style="243" customWidth="1"/>
    <col min="1797" max="2049" width="9.28515625" style="243"/>
    <col min="2050" max="2050" width="10.42578125" style="243" customWidth="1"/>
    <col min="2051" max="2051" width="12.28515625" style="243" customWidth="1"/>
    <col min="2052" max="2052" width="8.28515625" style="243" customWidth="1"/>
    <col min="2053" max="2305" width="9.28515625" style="243"/>
    <col min="2306" max="2306" width="10.42578125" style="243" customWidth="1"/>
    <col min="2307" max="2307" width="12.28515625" style="243" customWidth="1"/>
    <col min="2308" max="2308" width="8.28515625" style="243" customWidth="1"/>
    <col min="2309" max="2561" width="9.28515625" style="243"/>
    <col min="2562" max="2562" width="10.42578125" style="243" customWidth="1"/>
    <col min="2563" max="2563" width="12.28515625" style="243" customWidth="1"/>
    <col min="2564" max="2564" width="8.28515625" style="243" customWidth="1"/>
    <col min="2565" max="2817" width="9.28515625" style="243"/>
    <col min="2818" max="2818" width="10.42578125" style="243" customWidth="1"/>
    <col min="2819" max="2819" width="12.28515625" style="243" customWidth="1"/>
    <col min="2820" max="2820" width="8.28515625" style="243" customWidth="1"/>
    <col min="2821" max="3073" width="9.28515625" style="243"/>
    <col min="3074" max="3074" width="10.42578125" style="243" customWidth="1"/>
    <col min="3075" max="3075" width="12.28515625" style="243" customWidth="1"/>
    <col min="3076" max="3076" width="8.28515625" style="243" customWidth="1"/>
    <col min="3077" max="3329" width="9.28515625" style="243"/>
    <col min="3330" max="3330" width="10.42578125" style="243" customWidth="1"/>
    <col min="3331" max="3331" width="12.28515625" style="243" customWidth="1"/>
    <col min="3332" max="3332" width="8.28515625" style="243" customWidth="1"/>
    <col min="3333" max="3585" width="9.28515625" style="243"/>
    <col min="3586" max="3586" width="10.42578125" style="243" customWidth="1"/>
    <col min="3587" max="3587" width="12.28515625" style="243" customWidth="1"/>
    <col min="3588" max="3588" width="8.28515625" style="243" customWidth="1"/>
    <col min="3589" max="3841" width="9.28515625" style="243"/>
    <col min="3842" max="3842" width="10.42578125" style="243" customWidth="1"/>
    <col min="3843" max="3843" width="12.28515625" style="243" customWidth="1"/>
    <col min="3844" max="3844" width="8.28515625" style="243" customWidth="1"/>
    <col min="3845" max="4097" width="9.28515625" style="243"/>
    <col min="4098" max="4098" width="10.42578125" style="243" customWidth="1"/>
    <col min="4099" max="4099" width="12.28515625" style="243" customWidth="1"/>
    <col min="4100" max="4100" width="8.28515625" style="243" customWidth="1"/>
    <col min="4101" max="4353" width="9.28515625" style="243"/>
    <col min="4354" max="4354" width="10.42578125" style="243" customWidth="1"/>
    <col min="4355" max="4355" width="12.28515625" style="243" customWidth="1"/>
    <col min="4356" max="4356" width="8.28515625" style="243" customWidth="1"/>
    <col min="4357" max="4609" width="9.28515625" style="243"/>
    <col min="4610" max="4610" width="10.42578125" style="243" customWidth="1"/>
    <col min="4611" max="4611" width="12.28515625" style="243" customWidth="1"/>
    <col min="4612" max="4612" width="8.28515625" style="243" customWidth="1"/>
    <col min="4613" max="4865" width="9.28515625" style="243"/>
    <col min="4866" max="4866" width="10.42578125" style="243" customWidth="1"/>
    <col min="4867" max="4867" width="12.28515625" style="243" customWidth="1"/>
    <col min="4868" max="4868" width="8.28515625" style="243" customWidth="1"/>
    <col min="4869" max="5121" width="9.28515625" style="243"/>
    <col min="5122" max="5122" width="10.42578125" style="243" customWidth="1"/>
    <col min="5123" max="5123" width="12.28515625" style="243" customWidth="1"/>
    <col min="5124" max="5124" width="8.28515625" style="243" customWidth="1"/>
    <col min="5125" max="5377" width="9.28515625" style="243"/>
    <col min="5378" max="5378" width="10.42578125" style="243" customWidth="1"/>
    <col min="5379" max="5379" width="12.28515625" style="243" customWidth="1"/>
    <col min="5380" max="5380" width="8.28515625" style="243" customWidth="1"/>
    <col min="5381" max="5633" width="9.28515625" style="243"/>
    <col min="5634" max="5634" width="10.42578125" style="243" customWidth="1"/>
    <col min="5635" max="5635" width="12.28515625" style="243" customWidth="1"/>
    <col min="5636" max="5636" width="8.28515625" style="243" customWidth="1"/>
    <col min="5637" max="5889" width="9.28515625" style="243"/>
    <col min="5890" max="5890" width="10.42578125" style="243" customWidth="1"/>
    <col min="5891" max="5891" width="12.28515625" style="243" customWidth="1"/>
    <col min="5892" max="5892" width="8.28515625" style="243" customWidth="1"/>
    <col min="5893" max="6145" width="9.28515625" style="243"/>
    <col min="6146" max="6146" width="10.42578125" style="243" customWidth="1"/>
    <col min="6147" max="6147" width="12.28515625" style="243" customWidth="1"/>
    <col min="6148" max="6148" width="8.28515625" style="243" customWidth="1"/>
    <col min="6149" max="6401" width="9.28515625" style="243"/>
    <col min="6402" max="6402" width="10.42578125" style="243" customWidth="1"/>
    <col min="6403" max="6403" width="12.28515625" style="243" customWidth="1"/>
    <col min="6404" max="6404" width="8.28515625" style="243" customWidth="1"/>
    <col min="6405" max="6657" width="9.28515625" style="243"/>
    <col min="6658" max="6658" width="10.42578125" style="243" customWidth="1"/>
    <col min="6659" max="6659" width="12.28515625" style="243" customWidth="1"/>
    <col min="6660" max="6660" width="8.28515625" style="243" customWidth="1"/>
    <col min="6661" max="6913" width="9.28515625" style="243"/>
    <col min="6914" max="6914" width="10.42578125" style="243" customWidth="1"/>
    <col min="6915" max="6915" width="12.28515625" style="243" customWidth="1"/>
    <col min="6916" max="6916" width="8.28515625" style="243" customWidth="1"/>
    <col min="6917" max="7169" width="9.28515625" style="243"/>
    <col min="7170" max="7170" width="10.42578125" style="243" customWidth="1"/>
    <col min="7171" max="7171" width="12.28515625" style="243" customWidth="1"/>
    <col min="7172" max="7172" width="8.28515625" style="243" customWidth="1"/>
    <col min="7173" max="7425" width="9.28515625" style="243"/>
    <col min="7426" max="7426" width="10.42578125" style="243" customWidth="1"/>
    <col min="7427" max="7427" width="12.28515625" style="243" customWidth="1"/>
    <col min="7428" max="7428" width="8.28515625" style="243" customWidth="1"/>
    <col min="7429" max="7681" width="9.28515625" style="243"/>
    <col min="7682" max="7682" width="10.42578125" style="243" customWidth="1"/>
    <col min="7683" max="7683" width="12.28515625" style="243" customWidth="1"/>
    <col min="7684" max="7684" width="8.28515625" style="243" customWidth="1"/>
    <col min="7685" max="7937" width="9.28515625" style="243"/>
    <col min="7938" max="7938" width="10.42578125" style="243" customWidth="1"/>
    <col min="7939" max="7939" width="12.28515625" style="243" customWidth="1"/>
    <col min="7940" max="7940" width="8.28515625" style="243" customWidth="1"/>
    <col min="7941" max="8193" width="9.28515625" style="243"/>
    <col min="8194" max="8194" width="10.42578125" style="243" customWidth="1"/>
    <col min="8195" max="8195" width="12.28515625" style="243" customWidth="1"/>
    <col min="8196" max="8196" width="8.28515625" style="243" customWidth="1"/>
    <col min="8197" max="8449" width="9.28515625" style="243"/>
    <col min="8450" max="8450" width="10.42578125" style="243" customWidth="1"/>
    <col min="8451" max="8451" width="12.28515625" style="243" customWidth="1"/>
    <col min="8452" max="8452" width="8.28515625" style="243" customWidth="1"/>
    <col min="8453" max="8705" width="9.28515625" style="243"/>
    <col min="8706" max="8706" width="10.42578125" style="243" customWidth="1"/>
    <col min="8707" max="8707" width="12.28515625" style="243" customWidth="1"/>
    <col min="8708" max="8708" width="8.28515625" style="243" customWidth="1"/>
    <col min="8709" max="8961" width="9.28515625" style="243"/>
    <col min="8962" max="8962" width="10.42578125" style="243" customWidth="1"/>
    <col min="8963" max="8963" width="12.28515625" style="243" customWidth="1"/>
    <col min="8964" max="8964" width="8.28515625" style="243" customWidth="1"/>
    <col min="8965" max="9217" width="9.28515625" style="243"/>
    <col min="9218" max="9218" width="10.42578125" style="243" customWidth="1"/>
    <col min="9219" max="9219" width="12.28515625" style="243" customWidth="1"/>
    <col min="9220" max="9220" width="8.28515625" style="243" customWidth="1"/>
    <col min="9221" max="9473" width="9.28515625" style="243"/>
    <col min="9474" max="9474" width="10.42578125" style="243" customWidth="1"/>
    <col min="9475" max="9475" width="12.28515625" style="243" customWidth="1"/>
    <col min="9476" max="9476" width="8.28515625" style="243" customWidth="1"/>
    <col min="9477" max="9729" width="9.28515625" style="243"/>
    <col min="9730" max="9730" width="10.42578125" style="243" customWidth="1"/>
    <col min="9731" max="9731" width="12.28515625" style="243" customWidth="1"/>
    <col min="9732" max="9732" width="8.28515625" style="243" customWidth="1"/>
    <col min="9733" max="9985" width="9.28515625" style="243"/>
    <col min="9986" max="9986" width="10.42578125" style="243" customWidth="1"/>
    <col min="9987" max="9987" width="12.28515625" style="243" customWidth="1"/>
    <col min="9988" max="9988" width="8.28515625" style="243" customWidth="1"/>
    <col min="9989" max="10241" width="9.28515625" style="243"/>
    <col min="10242" max="10242" width="10.42578125" style="243" customWidth="1"/>
    <col min="10243" max="10243" width="12.28515625" style="243" customWidth="1"/>
    <col min="10244" max="10244" width="8.28515625" style="243" customWidth="1"/>
    <col min="10245" max="10497" width="9.28515625" style="243"/>
    <col min="10498" max="10498" width="10.42578125" style="243" customWidth="1"/>
    <col min="10499" max="10499" width="12.28515625" style="243" customWidth="1"/>
    <col min="10500" max="10500" width="8.28515625" style="243" customWidth="1"/>
    <col min="10501" max="10753" width="9.28515625" style="243"/>
    <col min="10754" max="10754" width="10.42578125" style="243" customWidth="1"/>
    <col min="10755" max="10755" width="12.28515625" style="243" customWidth="1"/>
    <col min="10756" max="10756" width="8.28515625" style="243" customWidth="1"/>
    <col min="10757" max="11009" width="9.28515625" style="243"/>
    <col min="11010" max="11010" width="10.42578125" style="243" customWidth="1"/>
    <col min="11011" max="11011" width="12.28515625" style="243" customWidth="1"/>
    <col min="11012" max="11012" width="8.28515625" style="243" customWidth="1"/>
    <col min="11013" max="11265" width="9.28515625" style="243"/>
    <col min="11266" max="11266" width="10.42578125" style="243" customWidth="1"/>
    <col min="11267" max="11267" width="12.28515625" style="243" customWidth="1"/>
    <col min="11268" max="11268" width="8.28515625" style="243" customWidth="1"/>
    <col min="11269" max="11521" width="9.28515625" style="243"/>
    <col min="11522" max="11522" width="10.42578125" style="243" customWidth="1"/>
    <col min="11523" max="11523" width="12.28515625" style="243" customWidth="1"/>
    <col min="11524" max="11524" width="8.28515625" style="243" customWidth="1"/>
    <col min="11525" max="11777" width="9.28515625" style="243"/>
    <col min="11778" max="11778" width="10.42578125" style="243" customWidth="1"/>
    <col min="11779" max="11779" width="12.28515625" style="243" customWidth="1"/>
    <col min="11780" max="11780" width="8.28515625" style="243" customWidth="1"/>
    <col min="11781" max="12033" width="9.28515625" style="243"/>
    <col min="12034" max="12034" width="10.42578125" style="243" customWidth="1"/>
    <col min="12035" max="12035" width="12.28515625" style="243" customWidth="1"/>
    <col min="12036" max="12036" width="8.28515625" style="243" customWidth="1"/>
    <col min="12037" max="12289" width="9.28515625" style="243"/>
    <col min="12290" max="12290" width="10.42578125" style="243" customWidth="1"/>
    <col min="12291" max="12291" width="12.28515625" style="243" customWidth="1"/>
    <col min="12292" max="12292" width="8.28515625" style="243" customWidth="1"/>
    <col min="12293" max="12545" width="9.28515625" style="243"/>
    <col min="12546" max="12546" width="10.42578125" style="243" customWidth="1"/>
    <col min="12547" max="12547" width="12.28515625" style="243" customWidth="1"/>
    <col min="12548" max="12548" width="8.28515625" style="243" customWidth="1"/>
    <col min="12549" max="12801" width="9.28515625" style="243"/>
    <col min="12802" max="12802" width="10.42578125" style="243" customWidth="1"/>
    <col min="12803" max="12803" width="12.28515625" style="243" customWidth="1"/>
    <col min="12804" max="12804" width="8.28515625" style="243" customWidth="1"/>
    <col min="12805" max="13057" width="9.28515625" style="243"/>
    <col min="13058" max="13058" width="10.42578125" style="243" customWidth="1"/>
    <col min="13059" max="13059" width="12.28515625" style="243" customWidth="1"/>
    <col min="13060" max="13060" width="8.28515625" style="243" customWidth="1"/>
    <col min="13061" max="13313" width="9.28515625" style="243"/>
    <col min="13314" max="13314" width="10.42578125" style="243" customWidth="1"/>
    <col min="13315" max="13315" width="12.28515625" style="243" customWidth="1"/>
    <col min="13316" max="13316" width="8.28515625" style="243" customWidth="1"/>
    <col min="13317" max="13569" width="9.28515625" style="243"/>
    <col min="13570" max="13570" width="10.42578125" style="243" customWidth="1"/>
    <col min="13571" max="13571" width="12.28515625" style="243" customWidth="1"/>
    <col min="13572" max="13572" width="8.28515625" style="243" customWidth="1"/>
    <col min="13573" max="13825" width="9.28515625" style="243"/>
    <col min="13826" max="13826" width="10.42578125" style="243" customWidth="1"/>
    <col min="13827" max="13827" width="12.28515625" style="243" customWidth="1"/>
    <col min="13828" max="13828" width="8.28515625" style="243" customWidth="1"/>
    <col min="13829" max="14081" width="9.28515625" style="243"/>
    <col min="14082" max="14082" width="10.42578125" style="243" customWidth="1"/>
    <col min="14083" max="14083" width="12.28515625" style="243" customWidth="1"/>
    <col min="14084" max="14084" width="8.28515625" style="243" customWidth="1"/>
    <col min="14085" max="14337" width="9.28515625" style="243"/>
    <col min="14338" max="14338" width="10.42578125" style="243" customWidth="1"/>
    <col min="14339" max="14339" width="12.28515625" style="243" customWidth="1"/>
    <col min="14340" max="14340" width="8.28515625" style="243" customWidth="1"/>
    <col min="14341" max="14593" width="9.28515625" style="243"/>
    <col min="14594" max="14594" width="10.42578125" style="243" customWidth="1"/>
    <col min="14595" max="14595" width="12.28515625" style="243" customWidth="1"/>
    <col min="14596" max="14596" width="8.28515625" style="243" customWidth="1"/>
    <col min="14597" max="14849" width="9.28515625" style="243"/>
    <col min="14850" max="14850" width="10.42578125" style="243" customWidth="1"/>
    <col min="14851" max="14851" width="12.28515625" style="243" customWidth="1"/>
    <col min="14852" max="14852" width="8.28515625" style="243" customWidth="1"/>
    <col min="14853" max="15105" width="9.28515625" style="243"/>
    <col min="15106" max="15106" width="10.42578125" style="243" customWidth="1"/>
    <col min="15107" max="15107" width="12.28515625" style="243" customWidth="1"/>
    <col min="15108" max="15108" width="8.28515625" style="243" customWidth="1"/>
    <col min="15109" max="15361" width="9.28515625" style="243"/>
    <col min="15362" max="15362" width="10.42578125" style="243" customWidth="1"/>
    <col min="15363" max="15363" width="12.28515625" style="243" customWidth="1"/>
    <col min="15364" max="15364" width="8.28515625" style="243" customWidth="1"/>
    <col min="15365" max="15617" width="9.28515625" style="243"/>
    <col min="15618" max="15618" width="10.42578125" style="243" customWidth="1"/>
    <col min="15619" max="15619" width="12.28515625" style="243" customWidth="1"/>
    <col min="15620" max="15620" width="8.28515625" style="243" customWidth="1"/>
    <col min="15621" max="15873" width="9.28515625" style="243"/>
    <col min="15874" max="15874" width="10.42578125" style="243" customWidth="1"/>
    <col min="15875" max="15875" width="12.28515625" style="243" customWidth="1"/>
    <col min="15876" max="15876" width="8.28515625" style="243" customWidth="1"/>
    <col min="15877" max="16129" width="9.28515625" style="243"/>
    <col min="16130" max="16130" width="10.42578125" style="243" customWidth="1"/>
    <col min="16131" max="16131" width="12.28515625" style="243" customWidth="1"/>
    <col min="16132" max="16132" width="8.28515625" style="243" customWidth="1"/>
    <col min="16133" max="16384" width="9.28515625" style="243"/>
  </cols>
  <sheetData>
    <row r="1" spans="1:4">
      <c r="A1" s="242" t="s">
        <v>254</v>
      </c>
    </row>
    <row r="2" spans="1:4">
      <c r="A2" s="244" t="s">
        <v>255</v>
      </c>
      <c r="B2" s="243" t="s">
        <v>256</v>
      </c>
      <c r="C2" s="243" t="s">
        <v>256</v>
      </c>
    </row>
    <row r="3" spans="1:4">
      <c r="B3" s="243" t="s">
        <v>257</v>
      </c>
      <c r="C3" s="243" t="s">
        <v>258</v>
      </c>
    </row>
    <row r="4" spans="1:4">
      <c r="B4" s="243" t="s">
        <v>259</v>
      </c>
      <c r="C4" s="243" t="s">
        <v>259</v>
      </c>
    </row>
    <row r="5" spans="1:4" ht="25.5">
      <c r="A5" s="245" t="s">
        <v>260</v>
      </c>
      <c r="B5" s="246"/>
      <c r="C5" s="247" t="s">
        <v>264</v>
      </c>
      <c r="D5" s="246" t="s">
        <v>261</v>
      </c>
    </row>
    <row r="6" spans="1:4">
      <c r="A6" s="613">
        <v>37773</v>
      </c>
      <c r="B6" s="276">
        <v>77.974999999999994</v>
      </c>
      <c r="C6" s="276">
        <f>B6/$B$24*100</f>
        <v>66.347585620080835</v>
      </c>
      <c r="D6" s="246"/>
    </row>
    <row r="7" spans="1:4" ht="12" customHeight="1">
      <c r="A7" s="613">
        <v>38139</v>
      </c>
      <c r="B7" s="276">
        <v>79.849999999999994</v>
      </c>
      <c r="C7" s="276">
        <f t="shared" ref="C7:C34" si="0">B7/$B$24*100</f>
        <v>67.942990853009988</v>
      </c>
      <c r="D7" s="276">
        <f t="shared" ref="D7:D34" si="1">(C7/C6-1)*100</f>
        <v>2.4046168643795829</v>
      </c>
    </row>
    <row r="8" spans="1:4">
      <c r="A8" s="613">
        <v>38504</v>
      </c>
      <c r="B8" s="276">
        <v>81.775000000000006</v>
      </c>
      <c r="C8" s="276">
        <f t="shared" si="0"/>
        <v>69.580940225483943</v>
      </c>
      <c r="D8" s="276">
        <f t="shared" si="1"/>
        <v>2.4107701941139759</v>
      </c>
    </row>
    <row r="9" spans="1:4">
      <c r="A9" s="613">
        <v>38869</v>
      </c>
      <c r="B9" s="276">
        <v>84.4</v>
      </c>
      <c r="C9" s="276">
        <f t="shared" si="0"/>
        <v>71.814507551584768</v>
      </c>
      <c r="D9" s="276">
        <f t="shared" si="1"/>
        <v>3.2100275145215518</v>
      </c>
    </row>
    <row r="10" spans="1:4">
      <c r="A10" s="613">
        <v>39234</v>
      </c>
      <c r="B10" s="276">
        <v>86.899999999999991</v>
      </c>
      <c r="C10" s="276">
        <f t="shared" si="0"/>
        <v>73.941714528823638</v>
      </c>
      <c r="D10" s="276">
        <f t="shared" si="1"/>
        <v>2.962085308056861</v>
      </c>
    </row>
    <row r="11" spans="1:4">
      <c r="A11" s="613">
        <v>39600</v>
      </c>
      <c r="B11" s="276">
        <v>89.824999999999989</v>
      </c>
      <c r="C11" s="276">
        <f t="shared" si="0"/>
        <v>76.430546692193133</v>
      </c>
      <c r="D11" s="276">
        <f t="shared" si="1"/>
        <v>3.3659378596087475</v>
      </c>
    </row>
    <row r="12" spans="1:4">
      <c r="A12" s="613">
        <v>39965</v>
      </c>
      <c r="B12" s="276">
        <v>92.625</v>
      </c>
      <c r="C12" s="276">
        <f t="shared" si="0"/>
        <v>78.813018506700701</v>
      </c>
      <c r="D12" s="276">
        <f t="shared" si="1"/>
        <v>3.1171722794322454</v>
      </c>
    </row>
    <row r="13" spans="1:4">
      <c r="A13" s="613">
        <v>40330</v>
      </c>
      <c r="B13" s="276">
        <v>94.775000000000006</v>
      </c>
      <c r="C13" s="276">
        <f t="shared" si="0"/>
        <v>80.642416507126143</v>
      </c>
      <c r="D13" s="276">
        <f t="shared" si="1"/>
        <v>2.3211875843454743</v>
      </c>
    </row>
    <row r="14" spans="1:4">
      <c r="A14" s="613">
        <v>40695</v>
      </c>
      <c r="B14" s="276">
        <v>97.724999999999994</v>
      </c>
      <c r="C14" s="276">
        <f t="shared" si="0"/>
        <v>83.152520740268017</v>
      </c>
      <c r="D14" s="276">
        <f t="shared" si="1"/>
        <v>3.1126351886045844</v>
      </c>
    </row>
    <row r="15" spans="1:4">
      <c r="A15" s="613">
        <v>41061</v>
      </c>
      <c r="B15" s="276">
        <v>99.974999999999994</v>
      </c>
      <c r="C15" s="276">
        <f t="shared" si="0"/>
        <v>85.06700701978302</v>
      </c>
      <c r="D15" s="276">
        <f t="shared" si="1"/>
        <v>2.3023791250959436</v>
      </c>
    </row>
    <row r="16" spans="1:4">
      <c r="A16" s="613">
        <v>41426</v>
      </c>
      <c r="B16" s="276">
        <v>102.25000000000001</v>
      </c>
      <c r="C16" s="276">
        <f t="shared" si="0"/>
        <v>87.002765369070417</v>
      </c>
      <c r="D16" s="276">
        <f t="shared" si="1"/>
        <v>2.2755688922230677</v>
      </c>
    </row>
    <row r="17" spans="1:6">
      <c r="A17" s="613">
        <v>41791</v>
      </c>
      <c r="B17" s="276">
        <v>105.02500000000001</v>
      </c>
      <c r="C17" s="276">
        <f t="shared" si="0"/>
        <v>89.363965113805577</v>
      </c>
      <c r="D17" s="276">
        <f t="shared" si="1"/>
        <v>2.7139364303178537</v>
      </c>
    </row>
    <row r="18" spans="1:6">
      <c r="A18" s="613">
        <v>42156</v>
      </c>
      <c r="B18" s="276">
        <v>106.825</v>
      </c>
      <c r="C18" s="276">
        <f t="shared" si="0"/>
        <v>90.895554137417562</v>
      </c>
      <c r="D18" s="276">
        <f t="shared" si="1"/>
        <v>1.7138776481789852</v>
      </c>
    </row>
    <row r="19" spans="1:6">
      <c r="A19" s="613">
        <v>42522</v>
      </c>
      <c r="B19" s="276">
        <v>108.30000000000001</v>
      </c>
      <c r="C19" s="276">
        <f t="shared" si="0"/>
        <v>92.150606253988514</v>
      </c>
      <c r="D19" s="276">
        <f t="shared" si="1"/>
        <v>1.3807629300257585</v>
      </c>
    </row>
    <row r="20" spans="1:6">
      <c r="A20" s="613">
        <v>42887</v>
      </c>
      <c r="B20" s="276">
        <v>110.14999999999999</v>
      </c>
      <c r="C20" s="276">
        <f t="shared" si="0"/>
        <v>93.724739417145273</v>
      </c>
      <c r="D20" s="276">
        <f t="shared" si="1"/>
        <v>1.7082179132040354</v>
      </c>
    </row>
    <row r="21" spans="1:6">
      <c r="A21" s="613">
        <v>43252</v>
      </c>
      <c r="B21" s="276">
        <v>112.27500000000001</v>
      </c>
      <c r="C21" s="276">
        <f t="shared" si="0"/>
        <v>95.532865347798349</v>
      </c>
      <c r="D21" s="276">
        <f t="shared" si="1"/>
        <v>1.9291874716296231</v>
      </c>
    </row>
    <row r="22" spans="1:6">
      <c r="A22" s="614">
        <v>43617</v>
      </c>
      <c r="B22" s="276">
        <v>114.125</v>
      </c>
      <c r="C22" s="276">
        <f t="shared" si="0"/>
        <v>97.106998510955108</v>
      </c>
      <c r="D22" s="276">
        <f t="shared" si="1"/>
        <v>1.6477399242930124</v>
      </c>
    </row>
    <row r="23" spans="1:6">
      <c r="A23" s="613">
        <v>44012</v>
      </c>
      <c r="B23" s="276">
        <v>115.65</v>
      </c>
      <c r="C23" s="276">
        <f t="shared" si="0"/>
        <v>98.404594767070847</v>
      </c>
      <c r="D23" s="276">
        <f t="shared" si="1"/>
        <v>1.3362541073384637</v>
      </c>
    </row>
    <row r="24" spans="1:6">
      <c r="A24" s="613">
        <v>44377</v>
      </c>
      <c r="B24" s="276">
        <v>117.52500000000001</v>
      </c>
      <c r="C24" s="276">
        <f t="shared" si="0"/>
        <v>100</v>
      </c>
      <c r="D24" s="276">
        <f t="shared" si="1"/>
        <v>1.6212710765239891</v>
      </c>
      <c r="F24" s="257"/>
    </row>
    <row r="25" spans="1:6" s="257" customFormat="1">
      <c r="A25" s="613">
        <v>44742</v>
      </c>
      <c r="B25" s="276">
        <v>122.75</v>
      </c>
      <c r="C25" s="276">
        <f t="shared" si="0"/>
        <v>104.44586258242927</v>
      </c>
      <c r="D25" s="276">
        <f>(C25/C24-1)*100</f>
        <v>4.4458625824292719</v>
      </c>
      <c r="F25" s="290"/>
    </row>
    <row r="26" spans="1:6">
      <c r="A26" s="613">
        <v>45107</v>
      </c>
      <c r="B26" s="612">
        <v>131.38</v>
      </c>
      <c r="C26" s="612">
        <f t="shared" si="0"/>
        <v>111.78898106785789</v>
      </c>
      <c r="D26" s="276">
        <f>(C26/C25-1)*100</f>
        <v>7.0305498981669823</v>
      </c>
      <c r="F26" s="277"/>
    </row>
    <row r="27" spans="1:6">
      <c r="A27" s="613">
        <v>45473</v>
      </c>
      <c r="B27" s="612">
        <v>125.29116107655588</v>
      </c>
      <c r="C27" s="612">
        <f t="shared" si="0"/>
        <v>106.60809281136427</v>
      </c>
      <c r="D27" s="276">
        <f>(C27/C26-1)*100</f>
        <v>-4.6345249835927245</v>
      </c>
    </row>
    <row r="28" spans="1:6">
      <c r="A28" s="613">
        <v>45838</v>
      </c>
      <c r="B28" s="612">
        <v>128.53705971221228</v>
      </c>
      <c r="C28" s="612">
        <f t="shared" si="0"/>
        <v>109.36997210143566</v>
      </c>
      <c r="D28" s="276">
        <f t="shared" si="1"/>
        <v>2.5906844567216369</v>
      </c>
    </row>
    <row r="29" spans="1:6">
      <c r="A29" s="613">
        <v>46203</v>
      </c>
      <c r="B29" s="612">
        <v>131.74987048565055</v>
      </c>
      <c r="C29" s="612">
        <f t="shared" si="0"/>
        <v>112.10369749895813</v>
      </c>
      <c r="D29" s="276">
        <f t="shared" si="1"/>
        <v>2.4995209791103035</v>
      </c>
    </row>
    <row r="30" spans="1:6">
      <c r="A30" s="613">
        <v>46568</v>
      </c>
      <c r="B30" s="612">
        <v>134.75579813385582</v>
      </c>
      <c r="C30" s="612">
        <f t="shared" si="0"/>
        <v>114.66138960549314</v>
      </c>
      <c r="D30" s="276">
        <f t="shared" si="1"/>
        <v>2.2815412547465552</v>
      </c>
    </row>
    <row r="31" spans="1:6">
      <c r="A31" s="613">
        <v>46934</v>
      </c>
      <c r="B31" s="612">
        <v>137.74737685242741</v>
      </c>
      <c r="C31" s="612">
        <f t="shared" si="0"/>
        <v>117.20687245473509</v>
      </c>
      <c r="D31" s="276">
        <f t="shared" si="1"/>
        <v>2.2199999999999998</v>
      </c>
    </row>
    <row r="32" spans="1:6">
      <c r="A32" s="613">
        <v>47299</v>
      </c>
      <c r="B32" s="612">
        <v>141.1290749541545</v>
      </c>
      <c r="C32" s="612">
        <f t="shared" si="0"/>
        <v>120.08430117349882</v>
      </c>
      <c r="D32" s="276">
        <f t="shared" si="1"/>
        <v>2.454999999999985</v>
      </c>
    </row>
    <row r="33" spans="1:4">
      <c r="A33" s="613">
        <v>47664</v>
      </c>
      <c r="B33" s="612">
        <v>144.70669700424233</v>
      </c>
      <c r="C33" s="612">
        <f t="shared" si="0"/>
        <v>123.12843820824703</v>
      </c>
      <c r="D33" s="276">
        <f t="shared" si="1"/>
        <v>2.5350000000000206</v>
      </c>
    </row>
    <row r="34" spans="1:4">
      <c r="A34" s="613">
        <v>48029</v>
      </c>
      <c r="B34" s="612">
        <v>148.36777643844968</v>
      </c>
      <c r="C34" s="612">
        <f t="shared" si="0"/>
        <v>126.2435876949157</v>
      </c>
      <c r="D34" s="276">
        <f t="shared" si="1"/>
        <v>2.53000000000001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FA9A-DBFC-4CC1-AE65-9B90688FE8CB}">
  <sheetPr>
    <tabColor rgb="FF00B050"/>
    <pageSetUpPr fitToPage="1"/>
  </sheetPr>
  <dimension ref="A1:AJ45"/>
  <sheetViews>
    <sheetView zoomScaleNormal="100" workbookViewId="0">
      <pane xSplit="3" topLeftCell="D1" activePane="topRight" state="frozen"/>
      <selection activeCell="R40" sqref="R40"/>
      <selection pane="topRight" activeCell="D1" sqref="D1"/>
    </sheetView>
  </sheetViews>
  <sheetFormatPr defaultColWidth="9.140625" defaultRowHeight="15"/>
  <cols>
    <col min="1" max="2" width="9.140625" style="192"/>
    <col min="3" max="3" width="43.140625" style="192" customWidth="1"/>
    <col min="4" max="6" width="13.7109375" style="192" customWidth="1"/>
    <col min="7" max="26" width="13.5703125" style="192" customWidth="1"/>
    <col min="27" max="27" width="9.5703125" style="192" bestFit="1" customWidth="1"/>
    <col min="28" max="28" width="18.7109375" style="192" customWidth="1"/>
    <col min="29" max="29" width="9.5703125" style="192" bestFit="1" customWidth="1"/>
    <col min="30" max="16384" width="9.140625" style="192"/>
  </cols>
  <sheetData>
    <row r="1" spans="1:36">
      <c r="A1" s="191"/>
      <c r="B1" s="449"/>
      <c r="C1" s="450"/>
      <c r="D1" s="451"/>
      <c r="E1" s="557" t="s">
        <v>278</v>
      </c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</row>
    <row r="2" spans="1:36">
      <c r="A2" s="449" t="s">
        <v>305</v>
      </c>
      <c r="B2" s="452"/>
      <c r="C2" s="453"/>
      <c r="D2" s="450"/>
      <c r="E2" s="558" t="s">
        <v>280</v>
      </c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AB2" s="394" t="s">
        <v>306</v>
      </c>
      <c r="AC2" s="394"/>
      <c r="AD2" s="394"/>
      <c r="AE2" s="394"/>
      <c r="AF2" s="394"/>
      <c r="AG2" s="394"/>
    </row>
    <row r="3" spans="1:36">
      <c r="A3" s="454"/>
      <c r="B3" s="455"/>
      <c r="C3" s="456"/>
      <c r="D3" s="457"/>
      <c r="E3" s="553" t="s">
        <v>39</v>
      </c>
      <c r="F3" s="555"/>
      <c r="G3" s="547" t="s">
        <v>40</v>
      </c>
      <c r="H3" s="548"/>
      <c r="I3" s="548"/>
      <c r="J3" s="548"/>
      <c r="K3" s="549"/>
      <c r="L3" s="547" t="s">
        <v>41</v>
      </c>
      <c r="M3" s="548"/>
      <c r="N3" s="548"/>
      <c r="O3" s="548"/>
      <c r="P3" s="549"/>
      <c r="Q3" s="547" t="s">
        <v>42</v>
      </c>
      <c r="R3" s="548"/>
      <c r="S3" s="548"/>
      <c r="T3" s="548"/>
      <c r="U3" s="549"/>
      <c r="V3" s="547" t="s">
        <v>43</v>
      </c>
      <c r="W3" s="548"/>
      <c r="X3" s="548"/>
      <c r="Y3" s="548"/>
      <c r="Z3" s="549"/>
      <c r="AB3" s="556" t="s">
        <v>307</v>
      </c>
      <c r="AC3" s="556"/>
      <c r="AD3" s="556"/>
      <c r="AE3" s="556"/>
      <c r="AF3" s="556"/>
      <c r="AG3" s="556"/>
      <c r="AH3" s="556"/>
      <c r="AI3" s="556"/>
      <c r="AJ3" s="556"/>
    </row>
    <row r="4" spans="1:36" ht="30">
      <c r="A4" s="454"/>
      <c r="B4" s="454"/>
      <c r="C4" s="454"/>
      <c r="D4" s="458"/>
      <c r="E4" s="459" t="s">
        <v>44</v>
      </c>
      <c r="F4" s="459" t="s">
        <v>45</v>
      </c>
      <c r="G4" s="459" t="s">
        <v>46</v>
      </c>
      <c r="H4" s="459" t="s">
        <v>47</v>
      </c>
      <c r="I4" s="459" t="s">
        <v>48</v>
      </c>
      <c r="J4" s="459" t="s">
        <v>49</v>
      </c>
      <c r="K4" s="459" t="s">
        <v>50</v>
      </c>
      <c r="L4" s="459" t="s">
        <v>51</v>
      </c>
      <c r="M4" s="459" t="s">
        <v>52</v>
      </c>
      <c r="N4" s="459" t="s">
        <v>53</v>
      </c>
      <c r="O4" s="459" t="s">
        <v>54</v>
      </c>
      <c r="P4" s="459" t="s">
        <v>55</v>
      </c>
      <c r="Q4" s="459" t="s">
        <v>56</v>
      </c>
      <c r="R4" s="460" t="s">
        <v>158</v>
      </c>
      <c r="S4" s="460" t="s">
        <v>303</v>
      </c>
      <c r="T4" s="460" t="s">
        <v>57</v>
      </c>
      <c r="U4" s="460" t="s">
        <v>58</v>
      </c>
      <c r="V4" s="460" t="s">
        <v>59</v>
      </c>
      <c r="W4" s="460" t="s">
        <v>60</v>
      </c>
      <c r="X4" s="460" t="s">
        <v>61</v>
      </c>
      <c r="Y4" s="460" t="s">
        <v>62</v>
      </c>
      <c r="Z4" s="460" t="s">
        <v>63</v>
      </c>
      <c r="AB4" s="556" t="s">
        <v>308</v>
      </c>
      <c r="AC4" s="556"/>
      <c r="AD4" s="556"/>
      <c r="AE4" s="556"/>
      <c r="AF4" s="556"/>
      <c r="AG4" s="556"/>
      <c r="AH4" s="556"/>
      <c r="AI4" s="556"/>
      <c r="AJ4" s="556"/>
    </row>
    <row r="5" spans="1:36">
      <c r="A5" s="454" t="s">
        <v>64</v>
      </c>
      <c r="B5" s="454"/>
      <c r="C5" s="454"/>
      <c r="D5" s="458"/>
      <c r="E5" s="459" t="s">
        <v>65</v>
      </c>
      <c r="F5" s="459" t="s">
        <v>65</v>
      </c>
      <c r="G5" s="459" t="s">
        <v>65</v>
      </c>
      <c r="H5" s="459" t="s">
        <v>65</v>
      </c>
      <c r="I5" s="459" t="s">
        <v>65</v>
      </c>
      <c r="J5" s="459" t="s">
        <v>65</v>
      </c>
      <c r="K5" s="459" t="s">
        <v>65</v>
      </c>
      <c r="L5" s="459" t="s">
        <v>65</v>
      </c>
      <c r="M5" s="459" t="s">
        <v>65</v>
      </c>
      <c r="N5" s="459" t="s">
        <v>65</v>
      </c>
      <c r="O5" s="459" t="s">
        <v>65</v>
      </c>
      <c r="P5" s="459" t="s">
        <v>65</v>
      </c>
      <c r="Q5" s="459" t="s">
        <v>65</v>
      </c>
      <c r="R5" s="461" t="s">
        <v>65</v>
      </c>
      <c r="S5" s="461" t="s">
        <v>65</v>
      </c>
      <c r="T5" s="461" t="s">
        <v>65</v>
      </c>
      <c r="U5" s="461" t="s">
        <v>65</v>
      </c>
      <c r="V5" s="461" t="s">
        <v>65</v>
      </c>
      <c r="W5" s="461" t="s">
        <v>65</v>
      </c>
      <c r="X5" s="461" t="s">
        <v>65</v>
      </c>
      <c r="Y5" s="461" t="s">
        <v>65</v>
      </c>
      <c r="Z5" s="461" t="s">
        <v>65</v>
      </c>
      <c r="AB5" s="556" t="s">
        <v>309</v>
      </c>
      <c r="AC5" s="556"/>
      <c r="AD5" s="556"/>
      <c r="AE5" s="556"/>
      <c r="AF5" s="556"/>
      <c r="AG5" s="556"/>
      <c r="AH5" s="556"/>
      <c r="AI5" s="556"/>
      <c r="AJ5" s="556"/>
    </row>
    <row r="6" spans="1:36" ht="15" customHeight="1">
      <c r="A6" s="454" t="s">
        <v>66</v>
      </c>
      <c r="B6" s="454"/>
      <c r="C6" s="462"/>
      <c r="D6" s="463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5"/>
      <c r="S6" s="465"/>
      <c r="T6" s="465"/>
      <c r="U6" s="465"/>
      <c r="V6" s="465"/>
      <c r="W6" s="465"/>
      <c r="X6" s="465"/>
      <c r="Y6" s="465"/>
      <c r="Z6" s="465"/>
      <c r="AB6"/>
    </row>
    <row r="7" spans="1:36" ht="15" customHeight="1">
      <c r="A7" s="466"/>
      <c r="B7" s="466" t="s">
        <v>67</v>
      </c>
      <c r="C7" s="467" t="s">
        <v>68</v>
      </c>
      <c r="D7" s="463"/>
      <c r="E7" s="464">
        <f>'OEA_23 Oct 2023 from Report'!C9</f>
        <v>15725.551566784894</v>
      </c>
      <c r="F7" s="464">
        <f>'OEA_23 Oct 2023 from Report'!C10</f>
        <v>16727.661515837022</v>
      </c>
      <c r="G7" s="464">
        <f>'OEA_23 Oct 2023 from Report'!C11</f>
        <v>13702.010872172214</v>
      </c>
      <c r="H7" s="464">
        <f>'OEA_23 Oct 2023 from Report'!C12</f>
        <v>13006.181798580843</v>
      </c>
      <c r="I7" s="464">
        <f>'OEA_23 Oct 2023 from Report'!C13</f>
        <v>14008.605950667074</v>
      </c>
      <c r="J7" s="464">
        <f>'OEA_23 Oct 2023 from Report'!C14</f>
        <v>16397.395980922331</v>
      </c>
      <c r="K7" s="464">
        <f>'OEA_23 Oct 2023 from Report'!C15</f>
        <v>15942.245815642573</v>
      </c>
      <c r="L7" s="464">
        <f>'OEA_23 Oct 2023 from Report'!C16</f>
        <v>21166.049734106648</v>
      </c>
      <c r="M7" s="464">
        <f>'OEA_23 Oct 2023 from Report'!C17</f>
        <v>20321.155330431233</v>
      </c>
      <c r="N7" s="464">
        <f>'OEA_23 Oct 2023 from Report'!C18</f>
        <v>19876.567483734136</v>
      </c>
      <c r="O7" s="464">
        <f>'OEA_23 Oct 2023 from Report'!C19</f>
        <v>22612.24684554492</v>
      </c>
      <c r="P7" s="464">
        <f>'OEA_23 Oct 2023 from Report'!C20</f>
        <v>21725.092433787238</v>
      </c>
      <c r="Q7" s="464">
        <f>'OEA_23 Oct 2023 from Report'!C21</f>
        <v>19267</v>
      </c>
      <c r="R7" s="465">
        <f>'OEA_23 Oct 2023 from Report'!C22</f>
        <v>19934.729327902241</v>
      </c>
      <c r="S7" s="465">
        <f>'OEA_23 Oct 2023 from Report'!C23</f>
        <v>22057.57507136061</v>
      </c>
      <c r="T7" s="465">
        <f>'OEA_23 Oct 2023 from Report'!C24</f>
        <v>18137.526159893212</v>
      </c>
      <c r="U7" s="465">
        <f>'OEA_23 Oct 2023 from Report'!C25</f>
        <v>16669.367424939272</v>
      </c>
      <c r="V7" s="465">
        <f>'OEA_23 Oct 2023 from Report'!C26</f>
        <v>17973.603635358631</v>
      </c>
      <c r="W7" s="465">
        <f>'OEA_23 Oct 2023 from Report'!C27</f>
        <v>19419.616239740109</v>
      </c>
      <c r="X7" s="465">
        <f>'OEA_23 Oct 2023 from Report'!C28</f>
        <v>20050.365933653597</v>
      </c>
      <c r="Y7" s="465">
        <f>'OEA_23 Oct 2023 from Report'!C29</f>
        <v>20268.748360808928</v>
      </c>
      <c r="Z7" s="465">
        <f>'OEA_23 Oct 2023 from Report'!C30</f>
        <v>20221.915208197148</v>
      </c>
      <c r="AD7" s="396" t="s">
        <v>313</v>
      </c>
      <c r="AE7" s="396"/>
      <c r="AF7" s="396"/>
      <c r="AG7" s="396"/>
      <c r="AH7" s="396"/>
      <c r="AI7" s="396"/>
    </row>
    <row r="8" spans="1:36" ht="15" customHeight="1">
      <c r="A8" s="466"/>
      <c r="B8" s="466"/>
      <c r="C8" s="467" t="s">
        <v>69</v>
      </c>
      <c r="D8" s="463"/>
      <c r="E8" s="464">
        <f>'OEA_23 Oct 2023 from Report'!O9</f>
        <v>42007.01943319838</v>
      </c>
      <c r="F8" s="464">
        <f>'OEA_23 Oct 2023 from Report'!O10</f>
        <v>39071.092143255577</v>
      </c>
      <c r="G8" s="464">
        <f>'OEA_23 Oct 2023 from Report'!O11</f>
        <v>30344.397134688763</v>
      </c>
      <c r="H8" s="464">
        <f>'OEA_23 Oct 2023 from Report'!O12</f>
        <v>26801.716718125561</v>
      </c>
      <c r="I8" s="464">
        <f>'OEA_23 Oct 2023 from Report'!O13</f>
        <v>27124.202198887095</v>
      </c>
      <c r="J8" s="464">
        <f>'OEA_23 Oct 2023 from Report'!O14</f>
        <v>23561.302995854097</v>
      </c>
      <c r="K8" s="464">
        <f>'OEA_23 Oct 2023 from Report'!O15</f>
        <v>24352.806747912517</v>
      </c>
      <c r="L8" s="464">
        <f>'OEA_23 Oct 2023 from Report'!O16</f>
        <v>19547</v>
      </c>
      <c r="M8" s="464">
        <f>'OEA_23 Oct 2023 from Report'!O17</f>
        <v>20763</v>
      </c>
      <c r="N8" s="464">
        <f>'OEA_23 Oct 2023 from Report'!O18</f>
        <v>28015</v>
      </c>
      <c r="O8" s="464">
        <f>'OEA_23 Oct 2023 from Report'!O19</f>
        <v>26717</v>
      </c>
      <c r="P8" s="464">
        <f>'OEA_23 Oct 2023 from Report'!O20</f>
        <v>21277</v>
      </c>
      <c r="Q8" s="464">
        <f>'OEA_23 Oct 2023 from Report'!O21</f>
        <v>15221</v>
      </c>
      <c r="R8" s="465">
        <f>'OEA_23 Oct 2023 from Report'!O22</f>
        <v>19035.698981670062</v>
      </c>
      <c r="S8" s="465">
        <f>'OEA_23 Oct 2023 from Report'!O23</f>
        <v>17679.517221693626</v>
      </c>
      <c r="T8" s="465">
        <f>'OEA_23 Oct 2023 from Report'!O24</f>
        <v>20513.6593643911</v>
      </c>
      <c r="U8" s="465">
        <f>'OEA_23 Oct 2023 from Report'!O25</f>
        <v>19069.131988032746</v>
      </c>
      <c r="V8" s="465">
        <f>'OEA_23 Oct 2023 from Report'!O26</f>
        <v>18140.544166448355</v>
      </c>
      <c r="W8" s="465">
        <f>'OEA_23 Oct 2023 from Report'!O27</f>
        <v>20281.636508975436</v>
      </c>
      <c r="X8" s="465">
        <f>'OEA_23 Oct 2023 from Report'!O28</f>
        <v>21864.427436804817</v>
      </c>
      <c r="Y8" s="465">
        <f>'OEA_23 Oct 2023 from Report'!O29</f>
        <v>22372.087299068131</v>
      </c>
      <c r="Z8" s="465">
        <f>'OEA_23 Oct 2023 from Report'!O30</f>
        <v>23176.175831955465</v>
      </c>
      <c r="AD8" s="192" t="s">
        <v>314</v>
      </c>
    </row>
    <row r="9" spans="1:36" ht="15" customHeight="1">
      <c r="A9" s="466"/>
      <c r="B9" s="466" t="s">
        <v>67</v>
      </c>
      <c r="C9" s="467" t="s">
        <v>70</v>
      </c>
      <c r="D9" s="463"/>
      <c r="E9" s="464">
        <f>'OEA_23 Oct 2023 from Report'!U9</f>
        <v>48748.312642159632</v>
      </c>
      <c r="F9" s="464">
        <f>'OEA_23 Oct 2023 from Report'!U10</f>
        <v>63741.063265156772</v>
      </c>
      <c r="G9" s="464">
        <f>'OEA_23 Oct 2023 from Report'!U11</f>
        <v>39887.582526162929</v>
      </c>
      <c r="H9" s="464">
        <f>'OEA_23 Oct 2023 from Report'!U12</f>
        <v>36892.084436882898</v>
      </c>
      <c r="I9" s="464">
        <f>'OEA_23 Oct 2023 from Report'!U13</f>
        <v>37433.923813324662</v>
      </c>
      <c r="J9" s="464">
        <f>'OEA_23 Oct 2023 from Report'!U14</f>
        <v>36810.900036972656</v>
      </c>
      <c r="K9" s="464">
        <f>'OEA_23 Oct 2023 from Report'!U15</f>
        <v>24906.378375931443</v>
      </c>
      <c r="L9" s="464">
        <f>'OEA_23 Oct 2023 from Report'!U16</f>
        <v>14369.216631634348</v>
      </c>
      <c r="M9" s="464">
        <f>'OEA_23 Oct 2023 from Report'!U17</f>
        <v>15915.135216979121</v>
      </c>
      <c r="N9" s="464">
        <f>'OEA_23 Oct 2023 from Report'!U18</f>
        <v>18789.018422772209</v>
      </c>
      <c r="O9" s="464">
        <f>'OEA_23 Oct 2023 from Report'!U19</f>
        <v>30429.158854095105</v>
      </c>
      <c r="P9" s="464">
        <f>'OEA_23 Oct 2023 from Report'!U20</f>
        <v>27470.18111827111</v>
      </c>
      <c r="Q9" s="464">
        <f>'OEA_23 Oct 2023 from Report'!U21</f>
        <v>28600</v>
      </c>
      <c r="R9" s="465">
        <f>'OEA_23 Oct 2023 from Report'!U22</f>
        <v>27030.271283095724</v>
      </c>
      <c r="S9" s="465">
        <f>'OEA_23 Oct 2023 from Report'!U23</f>
        <v>32516.070028544244</v>
      </c>
      <c r="T9" s="465">
        <f>'OEA_23 Oct 2023 from Report'!U24</f>
        <v>42921.212437678405</v>
      </c>
      <c r="U9" s="465">
        <f>'OEA_23 Oct 2023 from Report'!U25</f>
        <v>55668.812531668889</v>
      </c>
      <c r="V9" s="465">
        <f>'OEA_23 Oct 2023 from Report'!U26</f>
        <v>49600.911965716979</v>
      </c>
      <c r="W9" s="465">
        <f>'OEA_23 Oct 2023 from Report'!U27</f>
        <v>42011.972434962277</v>
      </c>
      <c r="X9" s="465">
        <f>'OEA_23 Oct 2023 from Report'!U28</f>
        <v>42264.044269572049</v>
      </c>
      <c r="Y9" s="465">
        <f>'OEA_23 Oct 2023 from Report'!U29</f>
        <v>44290.371957165225</v>
      </c>
      <c r="Z9" s="465">
        <f>'OEA_23 Oct 2023 from Report'!U30</f>
        <v>39987.906220705328</v>
      </c>
      <c r="AD9" s="395" t="s">
        <v>311</v>
      </c>
      <c r="AE9" s="395"/>
      <c r="AF9" s="395"/>
      <c r="AG9" s="395"/>
    </row>
    <row r="10" spans="1:36" ht="15" customHeight="1">
      <c r="A10" s="468"/>
      <c r="B10" s="468" t="s">
        <v>67</v>
      </c>
      <c r="C10" s="462" t="s">
        <v>71</v>
      </c>
      <c r="D10" s="469"/>
      <c r="E10" s="470">
        <f t="shared" ref="E10:F10" si="0">SUM(E7:E9)</f>
        <v>106480.8836421429</v>
      </c>
      <c r="F10" s="470">
        <f t="shared" si="0"/>
        <v>119539.81692424938</v>
      </c>
      <c r="G10" s="470">
        <f>SUM(G7:G9)</f>
        <v>83933.990533023898</v>
      </c>
      <c r="H10" s="470">
        <f t="shared" ref="H10:Z10" si="1">SUM(H7:H9)</f>
        <v>76699.982953589293</v>
      </c>
      <c r="I10" s="470">
        <f t="shared" si="1"/>
        <v>78566.731962878839</v>
      </c>
      <c r="J10" s="470">
        <f t="shared" si="1"/>
        <v>76769.599013749088</v>
      </c>
      <c r="K10" s="470">
        <f t="shared" si="1"/>
        <v>65201.430939486527</v>
      </c>
      <c r="L10" s="470">
        <f t="shared" si="1"/>
        <v>55082.266365741001</v>
      </c>
      <c r="M10" s="470">
        <f t="shared" si="1"/>
        <v>56999.290547410354</v>
      </c>
      <c r="N10" s="470">
        <f t="shared" si="1"/>
        <v>66680.585906506341</v>
      </c>
      <c r="O10" s="470">
        <f>SUM(O7:O9)</f>
        <v>79758.405699640018</v>
      </c>
      <c r="P10" s="470">
        <f t="shared" si="1"/>
        <v>70472.273552058352</v>
      </c>
      <c r="Q10" s="470">
        <f t="shared" si="1"/>
        <v>63088</v>
      </c>
      <c r="R10" s="471">
        <f t="shared" si="1"/>
        <v>66000.699592668039</v>
      </c>
      <c r="S10" s="471">
        <f t="shared" si="1"/>
        <v>72253.162321598473</v>
      </c>
      <c r="T10" s="471">
        <f t="shared" si="1"/>
        <v>81572.397961962721</v>
      </c>
      <c r="U10" s="471">
        <f t="shared" si="1"/>
        <v>91407.311944640911</v>
      </c>
      <c r="V10" s="471">
        <f t="shared" si="1"/>
        <v>85715.05976752397</v>
      </c>
      <c r="W10" s="471">
        <f t="shared" si="1"/>
        <v>81713.225183677831</v>
      </c>
      <c r="X10" s="471">
        <f t="shared" si="1"/>
        <v>84178.837640030455</v>
      </c>
      <c r="Y10" s="471">
        <f t="shared" si="1"/>
        <v>86931.207617042295</v>
      </c>
      <c r="Z10" s="471">
        <f t="shared" si="1"/>
        <v>83385.997260857941</v>
      </c>
      <c r="AD10" s="395"/>
      <c r="AE10" s="395"/>
      <c r="AF10" s="395"/>
      <c r="AG10" s="395"/>
    </row>
    <row r="11" spans="1:36" ht="15" customHeight="1">
      <c r="A11" s="472" t="s">
        <v>72</v>
      </c>
      <c r="B11" s="472"/>
      <c r="C11" s="462"/>
      <c r="D11" s="463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5"/>
      <c r="S11" s="465"/>
      <c r="T11" s="465"/>
      <c r="U11" s="465"/>
      <c r="V11" s="465"/>
      <c r="W11" s="465"/>
      <c r="X11" s="465"/>
      <c r="Y11" s="465"/>
      <c r="Z11" s="465"/>
      <c r="AD11" s="395"/>
      <c r="AE11" s="395"/>
      <c r="AF11" s="395"/>
      <c r="AG11" s="395"/>
    </row>
    <row r="12" spans="1:36" ht="15" customHeight="1">
      <c r="A12" s="466"/>
      <c r="B12" s="466" t="s">
        <v>67</v>
      </c>
      <c r="C12" s="467" t="s">
        <v>73</v>
      </c>
      <c r="D12" s="463"/>
      <c r="E12" s="464">
        <f>'OEA_23 Oct 2023 from Report'!I9</f>
        <v>9608.9066223807986</v>
      </c>
      <c r="F12" s="464">
        <f>'OEA_23 Oct 2023 from Report'!I10</f>
        <v>5757.8479689555788</v>
      </c>
      <c r="G12" s="464">
        <f>'OEA_23 Oct 2023 from Report'!I11</f>
        <v>5689.2626823331912</v>
      </c>
      <c r="H12" s="464">
        <f>'OEA_23 Oct 2023 from Report'!I12</f>
        <v>4507.6162167117272</v>
      </c>
      <c r="I12" s="464">
        <f>'OEA_23 Oct 2023 from Report'!I13</f>
        <v>5427.9255974476091</v>
      </c>
      <c r="J12" s="464">
        <f>'OEA_23 Oct 2023 from Report'!I14</f>
        <v>4772.2169824422954</v>
      </c>
      <c r="K12" s="464">
        <f>'OEA_23 Oct 2023 from Report'!I15</f>
        <v>5601.3081061488547</v>
      </c>
      <c r="L12" s="464">
        <f>'OEA_23 Oct 2023 from Report'!I16</f>
        <v>5186.100248573408</v>
      </c>
      <c r="M12" s="464">
        <f>'OEA_23 Oct 2023 from Report'!I17</f>
        <v>5115.609240224695</v>
      </c>
      <c r="N12" s="464">
        <f>'OEA_23 Oct 2023 from Report'!I18</f>
        <v>5517.687782952572</v>
      </c>
      <c r="O12" s="464">
        <f>'OEA_23 Oct 2023 from Report'!I19</f>
        <v>4955.6412683726021</v>
      </c>
      <c r="P12" s="464">
        <f>'OEA_23 Oct 2023 from Report'!I20</f>
        <v>4616.6609957874825</v>
      </c>
      <c r="Q12" s="464">
        <f>'OEA_23 Oct 2023 from Report'!I21</f>
        <v>5774</v>
      </c>
      <c r="R12" s="465">
        <f>'OEA_23 Oct 2023 from Report'!I22</f>
        <v>6861.9281059063132</v>
      </c>
      <c r="S12" s="465">
        <f>'OEA_23 Oct 2023 from Report'!I23</f>
        <v>9000.3351094196005</v>
      </c>
      <c r="T12" s="465">
        <f>'OEA_23 Oct 2023 from Report'!I24</f>
        <v>9146.0569308796912</v>
      </c>
      <c r="U12" s="465">
        <f>'OEA_23 Oct 2023 from Report'!I25</f>
        <v>8370.0534108151551</v>
      </c>
      <c r="V12" s="465">
        <f>'OEA_23 Oct 2023 from Report'!I26</f>
        <v>8698.8272581569618</v>
      </c>
      <c r="W12" s="465">
        <f>'OEA_23 Oct 2023 from Report'!I27</f>
        <v>8915.8392545007791</v>
      </c>
      <c r="X12" s="465">
        <f>'OEA_23 Oct 2023 from Report'!I28</f>
        <v>8180.3400039087774</v>
      </c>
      <c r="Y12" s="465">
        <f>'OEA_23 Oct 2023 from Report'!I29</f>
        <v>7105.6857798035935</v>
      </c>
      <c r="Z12" s="465">
        <f>'OEA_23 Oct 2023 from Report'!I30</f>
        <v>7065.8301404458625</v>
      </c>
      <c r="AD12" s="395"/>
      <c r="AE12" s="395"/>
      <c r="AF12" s="395"/>
      <c r="AG12" s="395"/>
    </row>
    <row r="13" spans="1:36" ht="15" customHeight="1">
      <c r="A13" s="466"/>
      <c r="B13" s="466"/>
      <c r="C13" s="462" t="s">
        <v>74</v>
      </c>
      <c r="D13" s="463"/>
      <c r="E13" s="470">
        <f>SUM(E12)</f>
        <v>9608.9066223807986</v>
      </c>
      <c r="F13" s="470">
        <f t="shared" ref="F13:Z13" si="2">SUM(F12)</f>
        <v>5757.8479689555788</v>
      </c>
      <c r="G13" s="470">
        <f t="shared" si="2"/>
        <v>5689.2626823331912</v>
      </c>
      <c r="H13" s="470">
        <f t="shared" si="2"/>
        <v>4507.6162167117272</v>
      </c>
      <c r="I13" s="470">
        <f t="shared" si="2"/>
        <v>5427.9255974476091</v>
      </c>
      <c r="J13" s="470">
        <f t="shared" si="2"/>
        <v>4772.2169824422954</v>
      </c>
      <c r="K13" s="470">
        <f t="shared" si="2"/>
        <v>5601.3081061488547</v>
      </c>
      <c r="L13" s="470">
        <f t="shared" si="2"/>
        <v>5186.100248573408</v>
      </c>
      <c r="M13" s="470">
        <f t="shared" si="2"/>
        <v>5115.609240224695</v>
      </c>
      <c r="N13" s="470">
        <f t="shared" si="2"/>
        <v>5517.687782952572</v>
      </c>
      <c r="O13" s="470">
        <f t="shared" si="2"/>
        <v>4955.6412683726021</v>
      </c>
      <c r="P13" s="470">
        <f t="shared" si="2"/>
        <v>4616.6609957874825</v>
      </c>
      <c r="Q13" s="470">
        <f t="shared" si="2"/>
        <v>5774</v>
      </c>
      <c r="R13" s="471">
        <f t="shared" si="2"/>
        <v>6861.9281059063132</v>
      </c>
      <c r="S13" s="471">
        <f t="shared" si="2"/>
        <v>9000.3351094196005</v>
      </c>
      <c r="T13" s="471">
        <f t="shared" si="2"/>
        <v>9146.0569308796912</v>
      </c>
      <c r="U13" s="471">
        <f t="shared" si="2"/>
        <v>8370.0534108151551</v>
      </c>
      <c r="V13" s="471">
        <f t="shared" si="2"/>
        <v>8698.8272581569618</v>
      </c>
      <c r="W13" s="471">
        <f t="shared" si="2"/>
        <v>8915.8392545007791</v>
      </c>
      <c r="X13" s="471">
        <f t="shared" si="2"/>
        <v>8180.3400039087774</v>
      </c>
      <c r="Y13" s="471">
        <f t="shared" si="2"/>
        <v>7105.6857798035935</v>
      </c>
      <c r="Z13" s="471">
        <f t="shared" si="2"/>
        <v>7065.8301404458625</v>
      </c>
      <c r="AD13" s="395" t="s">
        <v>310</v>
      </c>
      <c r="AE13" s="395"/>
      <c r="AF13" s="395"/>
      <c r="AG13" s="395"/>
    </row>
    <row r="14" spans="1:36" ht="15" customHeight="1">
      <c r="A14" s="468"/>
      <c r="B14" s="468"/>
      <c r="C14" s="462"/>
      <c r="D14" s="469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1"/>
      <c r="S14" s="471"/>
      <c r="T14" s="471"/>
      <c r="U14" s="471"/>
      <c r="V14" s="471"/>
      <c r="W14" s="471"/>
      <c r="X14" s="471"/>
      <c r="Y14" s="471"/>
      <c r="Z14" s="471"/>
      <c r="AD14" s="395"/>
      <c r="AE14" s="395"/>
      <c r="AF14" s="395"/>
      <c r="AG14" s="395"/>
    </row>
    <row r="15" spans="1:36" ht="15" customHeight="1">
      <c r="A15" s="541" t="s">
        <v>75</v>
      </c>
      <c r="B15" s="542"/>
      <c r="C15" s="543"/>
      <c r="D15" s="469"/>
      <c r="E15" s="473">
        <f>SUM(E10,E13)</f>
        <v>116089.7902645237</v>
      </c>
      <c r="F15" s="473">
        <f>SUM(F10,F13)</f>
        <v>125297.66489320496</v>
      </c>
      <c r="G15" s="473">
        <f t="shared" ref="G15:Z15" si="3">SUM(G10,G13)</f>
        <v>89623.253215357094</v>
      </c>
      <c r="H15" s="473">
        <f t="shared" si="3"/>
        <v>81207.599170301022</v>
      </c>
      <c r="I15" s="473">
        <f t="shared" si="3"/>
        <v>83994.65756032645</v>
      </c>
      <c r="J15" s="473">
        <f t="shared" si="3"/>
        <v>81541.815996191377</v>
      </c>
      <c r="K15" s="473">
        <f t="shared" si="3"/>
        <v>70802.739045635375</v>
      </c>
      <c r="L15" s="473">
        <f t="shared" si="3"/>
        <v>60268.366614314407</v>
      </c>
      <c r="M15" s="473">
        <f t="shared" si="3"/>
        <v>62114.899787635048</v>
      </c>
      <c r="N15" s="473">
        <f t="shared" si="3"/>
        <v>72198.273689458918</v>
      </c>
      <c r="O15" s="473">
        <f t="shared" si="3"/>
        <v>84714.046968012626</v>
      </c>
      <c r="P15" s="473">
        <f t="shared" si="3"/>
        <v>75088.934547845827</v>
      </c>
      <c r="Q15" s="473">
        <f t="shared" si="3"/>
        <v>68862</v>
      </c>
      <c r="R15" s="474">
        <f t="shared" si="3"/>
        <v>72862.627698574346</v>
      </c>
      <c r="S15" s="474">
        <f t="shared" si="3"/>
        <v>81253.49743101807</v>
      </c>
      <c r="T15" s="474">
        <f t="shared" si="3"/>
        <v>90718.454892842419</v>
      </c>
      <c r="U15" s="474">
        <f t="shared" si="3"/>
        <v>99777.365355456073</v>
      </c>
      <c r="V15" s="474">
        <f t="shared" si="3"/>
        <v>94413.887025680931</v>
      </c>
      <c r="W15" s="474">
        <f t="shared" si="3"/>
        <v>90629.064438178611</v>
      </c>
      <c r="X15" s="474">
        <f t="shared" si="3"/>
        <v>92359.177643939227</v>
      </c>
      <c r="Y15" s="474">
        <f t="shared" si="3"/>
        <v>94036.893396845888</v>
      </c>
      <c r="Z15" s="474">
        <f t="shared" si="3"/>
        <v>90451.827401303803</v>
      </c>
      <c r="AD15" s="395" t="s">
        <v>312</v>
      </c>
      <c r="AE15" s="395"/>
      <c r="AF15" s="395"/>
      <c r="AG15" s="395"/>
    </row>
    <row r="16" spans="1:36" ht="15" customHeight="1">
      <c r="A16" s="550" t="s">
        <v>67</v>
      </c>
      <c r="B16" s="551"/>
      <c r="C16" s="552"/>
      <c r="D16" s="463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5"/>
      <c r="S16" s="465"/>
      <c r="T16" s="465"/>
      <c r="U16" s="465"/>
      <c r="V16" s="465"/>
      <c r="W16" s="465"/>
      <c r="X16" s="465"/>
      <c r="Y16" s="465"/>
      <c r="Z16" s="465"/>
    </row>
    <row r="17" spans="1:29">
      <c r="A17" s="472" t="s">
        <v>76</v>
      </c>
      <c r="B17" s="468"/>
      <c r="C17" s="462"/>
      <c r="D17" s="469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1"/>
      <c r="S17" s="471"/>
      <c r="T17" s="471"/>
      <c r="U17" s="471"/>
      <c r="V17" s="471"/>
      <c r="W17" s="471"/>
      <c r="X17" s="471"/>
      <c r="Y17" s="471"/>
      <c r="Z17" s="471"/>
      <c r="AA17" s="192" t="s">
        <v>304</v>
      </c>
    </row>
    <row r="18" spans="1:29" ht="15" customHeight="1">
      <c r="A18" s="468"/>
      <c r="B18" s="468"/>
      <c r="C18" s="467" t="s">
        <v>77</v>
      </c>
      <c r="D18" s="475"/>
      <c r="E18" s="476">
        <f t="shared" ref="E18:S20" si="4">(E27/E7)*-1</f>
        <v>0.23268183599492118</v>
      </c>
      <c r="F18" s="476">
        <f t="shared" si="4"/>
        <v>0.19743100066361671</v>
      </c>
      <c r="G18" s="476">
        <f t="shared" si="4"/>
        <v>0.20215541601971038</v>
      </c>
      <c r="H18" s="476">
        <f t="shared" si="4"/>
        <v>0.16961220223791404</v>
      </c>
      <c r="I18" s="476">
        <f t="shared" si="4"/>
        <v>0.12604554705839349</v>
      </c>
      <c r="J18" s="476">
        <f t="shared" si="4"/>
        <v>0.13498044153979724</v>
      </c>
      <c r="K18" s="476">
        <f t="shared" si="4"/>
        <v>0.15100891142280737</v>
      </c>
      <c r="L18" s="476">
        <f t="shared" si="4"/>
        <v>0.28339275994213031</v>
      </c>
      <c r="M18" s="477">
        <f t="shared" si="4"/>
        <v>0.25003980086188354</v>
      </c>
      <c r="N18" s="477">
        <f t="shared" si="4"/>
        <v>0.17038065182760118</v>
      </c>
      <c r="O18" s="477">
        <f t="shared" si="4"/>
        <v>0.28234847452880901</v>
      </c>
      <c r="P18" s="477">
        <f t="shared" si="4"/>
        <v>0.31556471267889225</v>
      </c>
      <c r="Q18" s="477">
        <f t="shared" si="4"/>
        <v>0.2705375253461404</v>
      </c>
      <c r="R18" s="477">
        <f t="shared" si="4"/>
        <v>0.23418067457565767</v>
      </c>
      <c r="S18" s="477">
        <f t="shared" si="4"/>
        <v>0.21820969140445065</v>
      </c>
      <c r="T18" s="478">
        <v>0.24</v>
      </c>
      <c r="U18" s="478">
        <v>0.24</v>
      </c>
      <c r="V18" s="478">
        <v>0.24</v>
      </c>
      <c r="W18" s="478">
        <v>0.24</v>
      </c>
      <c r="X18" s="478">
        <v>0.24</v>
      </c>
      <c r="Y18" s="478">
        <v>0.24</v>
      </c>
      <c r="Z18" s="478">
        <v>0.24</v>
      </c>
      <c r="AA18" s="479">
        <v>27</v>
      </c>
      <c r="AB18" s="192" t="s">
        <v>315</v>
      </c>
    </row>
    <row r="19" spans="1:29" ht="15" customHeight="1">
      <c r="A19" s="468"/>
      <c r="B19" s="468"/>
      <c r="C19" s="467" t="s">
        <v>78</v>
      </c>
      <c r="D19" s="475"/>
      <c r="E19" s="476">
        <f t="shared" si="4"/>
        <v>0.84242340413248573</v>
      </c>
      <c r="F19" s="476">
        <f t="shared" si="4"/>
        <v>0.77255709127096139</v>
      </c>
      <c r="G19" s="476">
        <f t="shared" si="4"/>
        <v>0.78974336079866847</v>
      </c>
      <c r="H19" s="476">
        <f t="shared" si="4"/>
        <v>0.57223434901610704</v>
      </c>
      <c r="I19" s="476">
        <f t="shared" si="4"/>
        <v>0.40372872239849111</v>
      </c>
      <c r="J19" s="476">
        <f t="shared" si="4"/>
        <v>0.60478040379463416</v>
      </c>
      <c r="K19" s="476">
        <f t="shared" si="4"/>
        <v>0.4923067265810156</v>
      </c>
      <c r="L19" s="476">
        <f t="shared" si="4"/>
        <v>0.37590226040790931</v>
      </c>
      <c r="M19" s="477">
        <f t="shared" si="4"/>
        <v>0.32208238912777343</v>
      </c>
      <c r="N19" s="477">
        <f t="shared" si="4"/>
        <v>0.21946348511328634</v>
      </c>
      <c r="O19" s="477">
        <f t="shared" si="4"/>
        <v>0.22759068477508329</v>
      </c>
      <c r="P19" s="477">
        <f>(P28/P8)*-1</f>
        <v>0.21049957785532608</v>
      </c>
      <c r="Q19" s="477">
        <f t="shared" si="4"/>
        <v>0.46067380580694661</v>
      </c>
      <c r="R19" s="477">
        <f t="shared" si="4"/>
        <v>0.38379515737641867</v>
      </c>
      <c r="S19" s="477">
        <f t="shared" si="4"/>
        <v>0.41163909768213708</v>
      </c>
      <c r="T19" s="478">
        <v>0.38</v>
      </c>
      <c r="U19" s="478">
        <v>0.38</v>
      </c>
      <c r="V19" s="478">
        <v>0.38</v>
      </c>
      <c r="W19" s="478">
        <v>0.38</v>
      </c>
      <c r="X19" s="478">
        <v>0.38</v>
      </c>
      <c r="Y19" s="478">
        <v>0.38</v>
      </c>
      <c r="Z19" s="478">
        <v>0.38</v>
      </c>
      <c r="AA19" s="479">
        <v>38</v>
      </c>
    </row>
    <row r="20" spans="1:29" ht="15" customHeight="1">
      <c r="A20" s="468"/>
      <c r="B20" s="468"/>
      <c r="C20" s="467" t="s">
        <v>79</v>
      </c>
      <c r="D20" s="475"/>
      <c r="E20" s="476">
        <f t="shared" si="4"/>
        <v>0.92510069151269014</v>
      </c>
      <c r="F20" s="476">
        <f t="shared" si="4"/>
        <v>1.2087372838362616</v>
      </c>
      <c r="G20" s="476">
        <f t="shared" si="4"/>
        <v>1.1522125423735716</v>
      </c>
      <c r="H20" s="476">
        <f t="shared" si="4"/>
        <v>0.72091534542112012</v>
      </c>
      <c r="I20" s="476">
        <f t="shared" si="4"/>
        <v>0.69788238562231109</v>
      </c>
      <c r="J20" s="476">
        <f t="shared" si="4"/>
        <v>0.7906363685908151</v>
      </c>
      <c r="K20" s="476">
        <f t="shared" si="4"/>
        <v>0.58062470202971594</v>
      </c>
      <c r="L20" s="476">
        <f t="shared" si="4"/>
        <v>0.69044001012357359</v>
      </c>
      <c r="M20" s="477">
        <f t="shared" si="4"/>
        <v>0.66686028095903838</v>
      </c>
      <c r="N20" s="477">
        <f t="shared" si="4"/>
        <v>0.68124660067454457</v>
      </c>
      <c r="O20" s="477">
        <f t="shared" si="4"/>
        <v>0.76553150029193828</v>
      </c>
      <c r="P20" s="477">
        <f t="shared" si="4"/>
        <v>0.81102104619311444</v>
      </c>
      <c r="Q20" s="477">
        <f>(Q29/Q9)*-1</f>
        <v>0.8365527324981803</v>
      </c>
      <c r="R20" s="477">
        <f>(R29/R9)*-1</f>
        <v>0.95088368991883943</v>
      </c>
      <c r="S20" s="477">
        <f>(S29/S9)*-1</f>
        <v>0.86236916352484527</v>
      </c>
      <c r="T20" s="478">
        <v>0.88</v>
      </c>
      <c r="U20" s="478">
        <v>0.88</v>
      </c>
      <c r="V20" s="478">
        <v>0.8</v>
      </c>
      <c r="W20" s="478">
        <v>0.8</v>
      </c>
      <c r="X20" s="478">
        <v>0.8</v>
      </c>
      <c r="Y20" s="478">
        <v>0.8</v>
      </c>
      <c r="Z20" s="478">
        <v>0.8</v>
      </c>
      <c r="AA20" s="479">
        <v>84</v>
      </c>
      <c r="AB20" s="346" t="s">
        <v>288</v>
      </c>
      <c r="AC20" s="347"/>
    </row>
    <row r="21" spans="1:29" ht="15" customHeight="1">
      <c r="A21" s="468"/>
      <c r="B21" s="468"/>
      <c r="C21" s="467"/>
      <c r="D21" s="475"/>
      <c r="E21" s="476"/>
      <c r="F21" s="476"/>
      <c r="G21" s="476"/>
      <c r="H21" s="476"/>
      <c r="I21" s="476"/>
      <c r="J21" s="476"/>
      <c r="K21" s="476"/>
      <c r="L21" s="476"/>
      <c r="M21" s="477"/>
      <c r="N21" s="477"/>
      <c r="O21" s="477"/>
      <c r="P21" s="477"/>
      <c r="Q21" s="477"/>
      <c r="R21" s="478"/>
      <c r="S21" s="478"/>
      <c r="T21" s="478"/>
      <c r="U21" s="478"/>
      <c r="V21" s="478"/>
      <c r="W21" s="478"/>
      <c r="X21" s="478"/>
      <c r="Y21" s="478"/>
      <c r="Z21" s="478"/>
      <c r="AA21" s="479"/>
      <c r="AB21" s="346" t="s">
        <v>281</v>
      </c>
      <c r="AC21" s="348"/>
    </row>
    <row r="22" spans="1:29" ht="15" customHeight="1">
      <c r="A22" s="468"/>
      <c r="B22" s="468"/>
      <c r="C22" s="467" t="s">
        <v>80</v>
      </c>
      <c r="D22" s="475"/>
      <c r="E22" s="476"/>
      <c r="F22" s="476"/>
      <c r="G22" s="476"/>
      <c r="H22" s="476"/>
      <c r="I22" s="476"/>
      <c r="J22" s="476"/>
      <c r="K22" s="476"/>
      <c r="L22" s="476"/>
      <c r="M22" s="477"/>
      <c r="N22" s="477"/>
      <c r="O22" s="477"/>
      <c r="P22" s="477"/>
      <c r="Q22" s="477"/>
      <c r="R22" s="478"/>
      <c r="S22" s="478"/>
      <c r="T22" s="478"/>
      <c r="U22" s="478"/>
      <c r="V22" s="478"/>
      <c r="W22" s="478"/>
      <c r="X22" s="478"/>
      <c r="Y22" s="478"/>
      <c r="Z22" s="478"/>
      <c r="AA22" s="479"/>
      <c r="AB22" s="349" t="s">
        <v>282</v>
      </c>
      <c r="AC22" s="350">
        <v>-9.7799999999999998E-2</v>
      </c>
    </row>
    <row r="23" spans="1:29" ht="30">
      <c r="A23" s="468"/>
      <c r="B23" s="468"/>
      <c r="C23" s="480" t="s">
        <v>81</v>
      </c>
      <c r="D23" s="475"/>
      <c r="E23" s="476">
        <f t="shared" ref="E23:S23" si="5">(E32/E13)*-1</f>
        <v>1.6450830321784795</v>
      </c>
      <c r="F23" s="476">
        <f t="shared" si="5"/>
        <v>2.3019147056629996</v>
      </c>
      <c r="G23" s="476">
        <f t="shared" si="5"/>
        <v>1.7134303289501149</v>
      </c>
      <c r="H23" s="476">
        <f t="shared" si="5"/>
        <v>2.2494122934240566</v>
      </c>
      <c r="I23" s="476">
        <f t="shared" si="5"/>
        <v>1.1472644766705888</v>
      </c>
      <c r="J23" s="476">
        <f t="shared" si="5"/>
        <v>1.6151751952905367</v>
      </c>
      <c r="K23" s="476">
        <f t="shared" si="5"/>
        <v>1.5749776243705411</v>
      </c>
      <c r="L23" s="476">
        <f t="shared" si="5"/>
        <v>1.3777951339746783</v>
      </c>
      <c r="M23" s="477">
        <f t="shared" si="5"/>
        <v>1.5652690429735368</v>
      </c>
      <c r="N23" s="477">
        <f t="shared" si="5"/>
        <v>1.7222560413592058</v>
      </c>
      <c r="O23" s="477">
        <f t="shared" si="5"/>
        <v>1.6841876252227643</v>
      </c>
      <c r="P23" s="477">
        <f t="shared" si="5"/>
        <v>1.7986970589776394</v>
      </c>
      <c r="Q23" s="477">
        <f t="shared" si="5"/>
        <v>2.0771359809031456</v>
      </c>
      <c r="R23" s="477">
        <f t="shared" si="5"/>
        <v>1.5623478254841363</v>
      </c>
      <c r="S23" s="477">
        <f t="shared" si="5"/>
        <v>1.3032263354236453</v>
      </c>
      <c r="T23" s="478">
        <v>1.43</v>
      </c>
      <c r="U23" s="478">
        <v>1.43</v>
      </c>
      <c r="V23" s="478">
        <v>1.4</v>
      </c>
      <c r="W23" s="478">
        <v>1.4</v>
      </c>
      <c r="X23" s="478">
        <v>1.4</v>
      </c>
      <c r="Y23" s="478">
        <v>1.4</v>
      </c>
      <c r="Z23" s="478">
        <v>1.4</v>
      </c>
      <c r="AA23" s="479">
        <v>178</v>
      </c>
      <c r="AB23" s="351" t="s">
        <v>283</v>
      </c>
      <c r="AC23" s="352">
        <v>-8.9099999999999999E-2</v>
      </c>
    </row>
    <row r="24" spans="1:29" ht="30">
      <c r="A24" s="468"/>
      <c r="B24" s="468"/>
      <c r="C24" s="480" t="s">
        <v>82</v>
      </c>
      <c r="D24" s="475"/>
      <c r="E24" s="481">
        <f t="shared" ref="E24:Z24" si="6">(E34/E13)*-1</f>
        <v>0.92195026875253061</v>
      </c>
      <c r="F24" s="481">
        <f t="shared" si="6"/>
        <v>1.185098256712295</v>
      </c>
      <c r="G24" s="481">
        <f t="shared" si="6"/>
        <v>0.55483763718284784</v>
      </c>
      <c r="H24" s="481">
        <f t="shared" si="6"/>
        <v>1.1664540231481455</v>
      </c>
      <c r="I24" s="481">
        <f t="shared" si="6"/>
        <v>0.21122185217539349</v>
      </c>
      <c r="J24" s="481">
        <f t="shared" si="6"/>
        <v>0.43240678183660225</v>
      </c>
      <c r="K24" s="481">
        <f t="shared" si="6"/>
        <v>0.91736794551155298</v>
      </c>
      <c r="L24" s="481">
        <f t="shared" si="6"/>
        <v>0.58017519500983361</v>
      </c>
      <c r="M24" s="482">
        <f t="shared" si="6"/>
        <v>3.1725307840301621E-2</v>
      </c>
      <c r="N24" s="482">
        <f t="shared" si="6"/>
        <v>0.26622361413389073</v>
      </c>
      <c r="O24" s="482">
        <f t="shared" si="6"/>
        <v>-0.16009484317913064</v>
      </c>
      <c r="P24" s="482">
        <f t="shared" si="6"/>
        <v>-0.26076271903401654</v>
      </c>
      <c r="Q24" s="482">
        <f t="shared" si="6"/>
        <v>8.5843431543948995E-2</v>
      </c>
      <c r="R24" s="482">
        <f t="shared" si="6"/>
        <v>-6.634892381296098E-2</v>
      </c>
      <c r="S24" s="483">
        <f t="shared" si="6"/>
        <v>-0.55162328706741681</v>
      </c>
      <c r="T24" s="483">
        <f t="shared" si="6"/>
        <v>8.6224491880975175E-3</v>
      </c>
      <c r="U24" s="483">
        <f t="shared" si="6"/>
        <v>0.11579094300800698</v>
      </c>
      <c r="V24" s="483">
        <f t="shared" si="6"/>
        <v>0.13546172678791735</v>
      </c>
      <c r="W24" s="483">
        <f t="shared" si="6"/>
        <v>0.16624065486071637</v>
      </c>
      <c r="X24" s="483">
        <f t="shared" si="6"/>
        <v>5.5312616010591689E-2</v>
      </c>
      <c r="Y24" s="483">
        <f t="shared" si="6"/>
        <v>-0.1480560695865796</v>
      </c>
      <c r="Z24" s="483">
        <f t="shared" si="6"/>
        <v>-0.15678806047634294</v>
      </c>
      <c r="AB24" s="351" t="s">
        <v>284</v>
      </c>
      <c r="AC24" s="352">
        <v>-0.1154</v>
      </c>
    </row>
    <row r="25" spans="1:29" ht="15" customHeight="1">
      <c r="A25" s="553"/>
      <c r="B25" s="554"/>
      <c r="C25" s="555"/>
      <c r="D25" s="469"/>
      <c r="E25" s="470"/>
      <c r="F25" s="470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1"/>
      <c r="S25" s="471"/>
      <c r="T25" s="471"/>
      <c r="U25" s="471"/>
      <c r="V25" s="471"/>
      <c r="W25" s="471"/>
      <c r="X25" s="471"/>
      <c r="Y25" s="471"/>
      <c r="Z25" s="471"/>
      <c r="AB25" s="89"/>
      <c r="AC25" s="89"/>
    </row>
    <row r="26" spans="1:29" ht="15" customHeight="1">
      <c r="A26" s="472" t="s">
        <v>83</v>
      </c>
      <c r="B26" s="472"/>
      <c r="C26" s="462"/>
      <c r="D26" s="463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5"/>
      <c r="S26" s="465"/>
      <c r="T26" s="465"/>
      <c r="U26" s="465"/>
      <c r="V26" s="465"/>
      <c r="W26" s="465"/>
      <c r="X26" s="465"/>
      <c r="Y26" s="465"/>
      <c r="Z26" s="465"/>
      <c r="AB26" s="346" t="s">
        <v>285</v>
      </c>
      <c r="AC26" s="348"/>
    </row>
    <row r="27" spans="1:29" ht="15" customHeight="1">
      <c r="A27" s="466"/>
      <c r="B27" s="466" t="s">
        <v>67</v>
      </c>
      <c r="C27" s="467" t="s">
        <v>68</v>
      </c>
      <c r="D27" s="484"/>
      <c r="E27" s="485">
        <f>'Summary excl EG'!B72</f>
        <v>-3659.0502105923183</v>
      </c>
      <c r="F27" s="485">
        <f>'Summary excl EG'!C72</f>
        <v>-3302.5589518339748</v>
      </c>
      <c r="G27" s="485">
        <f>'Summary excl EG'!D72</f>
        <v>-2769.9357081705684</v>
      </c>
      <c r="H27" s="485">
        <f>'Summary excl EG'!E72</f>
        <v>-2206.0071375639704</v>
      </c>
      <c r="I27" s="485">
        <f>'Summary excl EG'!F72</f>
        <v>-1765.7224005772978</v>
      </c>
      <c r="J27" s="485">
        <f>'Summary excl EG'!G72</f>
        <v>-2213.3277496077931</v>
      </c>
      <c r="K27" s="485">
        <f>'Summary excl EG'!H72</f>
        <v>-2407.4211862549905</v>
      </c>
      <c r="L27" s="485">
        <f>'Summary excl EG'!I72</f>
        <v>-5998.305251220876</v>
      </c>
      <c r="M27" s="485">
        <f>'Summary excl EG'!J72</f>
        <v>-5081.0976321044291</v>
      </c>
      <c r="N27" s="485">
        <f>'Summary excl EG'!K72</f>
        <v>-3386.5825239739247</v>
      </c>
      <c r="O27" s="485">
        <f>'Summary excl EG'!L72</f>
        <v>-6384.5334025084812</v>
      </c>
      <c r="P27" s="485">
        <f>'Summary excl EG'!M72</f>
        <v>-6855.6725517904461</v>
      </c>
      <c r="Q27" s="485">
        <f>'Summary excl EG'!N72</f>
        <v>-5212.4465008440875</v>
      </c>
      <c r="R27" s="485">
        <f>'Summary excl EG'!O72</f>
        <v>-4668.3283614912934</v>
      </c>
      <c r="S27" s="485">
        <f>'Summary excl EG'!P72</f>
        <v>-4813.1766494521025</v>
      </c>
      <c r="T27" s="486">
        <f t="shared" ref="T27:Z29" si="7">((T7*T18)*-1)</f>
        <v>-4353.0062783743706</v>
      </c>
      <c r="U27" s="486">
        <f t="shared" si="7"/>
        <v>-4000.6481819854253</v>
      </c>
      <c r="V27" s="486">
        <f t="shared" si="7"/>
        <v>-4313.6648724860715</v>
      </c>
      <c r="W27" s="486">
        <f t="shared" si="7"/>
        <v>-4660.7078975376262</v>
      </c>
      <c r="X27" s="486">
        <f t="shared" si="7"/>
        <v>-4812.0878240768634</v>
      </c>
      <c r="Y27" s="486">
        <f t="shared" si="7"/>
        <v>-4864.4996065941423</v>
      </c>
      <c r="Z27" s="486">
        <f t="shared" si="7"/>
        <v>-4853.2596499673155</v>
      </c>
      <c r="AB27" s="349" t="s">
        <v>282</v>
      </c>
      <c r="AC27" s="350">
        <v>-0.161</v>
      </c>
    </row>
    <row r="28" spans="1:29" ht="15" customHeight="1">
      <c r="A28" s="466"/>
      <c r="B28" s="466"/>
      <c r="C28" s="467" t="s">
        <v>69</v>
      </c>
      <c r="D28" s="484"/>
      <c r="E28" s="485">
        <f>'Summary excl EG'!B73</f>
        <v>-35387.696308374463</v>
      </c>
      <c r="F28" s="485">
        <f>'Summary excl EG'!C73</f>
        <v>-30184.649298973243</v>
      </c>
      <c r="G28" s="485">
        <f>'Summary excl EG'!D73</f>
        <v>-23964.286174558591</v>
      </c>
      <c r="H28" s="485">
        <f>'Summary excl EG'!E73</f>
        <v>-15336.862918710693</v>
      </c>
      <c r="I28" s="485">
        <f>'Summary excl EG'!F73</f>
        <v>-10950.81949983503</v>
      </c>
      <c r="J28" s="485">
        <f>'Summary excl EG'!G73</f>
        <v>-14249.414339760366</v>
      </c>
      <c r="K28" s="485">
        <f>'Summary excl EG'!H73</f>
        <v>-11989.05057312488</v>
      </c>
      <c r="L28" s="485">
        <f>'Summary excl EG'!I73</f>
        <v>-7347.7614841934037</v>
      </c>
      <c r="M28" s="485">
        <f>'Summary excl EG'!J73</f>
        <v>-6687.3966454599595</v>
      </c>
      <c r="N28" s="485">
        <f>'Summary excl EG'!K73</f>
        <v>-6148.2695354487169</v>
      </c>
      <c r="O28" s="485">
        <f>'Summary excl EG'!L73</f>
        <v>-6080.5403251359003</v>
      </c>
      <c r="P28" s="485">
        <f>'Summary excl EG'!M73</f>
        <v>-4478.799518027773</v>
      </c>
      <c r="Q28" s="485">
        <f>'Summary excl EG'!N73</f>
        <v>-7011.9159981875346</v>
      </c>
      <c r="R28" s="485">
        <f>'Summary excl EG'!O73</f>
        <v>-7305.8090864401947</v>
      </c>
      <c r="S28" s="485">
        <f>'Summary excl EG'!P73</f>
        <v>-7277.5805165937672</v>
      </c>
      <c r="T28" s="486">
        <f t="shared" si="7"/>
        <v>-7795.1905584686183</v>
      </c>
      <c r="U28" s="486">
        <f t="shared" si="7"/>
        <v>-7246.2701554524438</v>
      </c>
      <c r="V28" s="486">
        <f t="shared" si="7"/>
        <v>-6893.4067832503752</v>
      </c>
      <c r="W28" s="486">
        <f t="shared" si="7"/>
        <v>-7707.0218734106656</v>
      </c>
      <c r="X28" s="486">
        <f t="shared" si="7"/>
        <v>-8308.4824259858306</v>
      </c>
      <c r="Y28" s="486">
        <f t="shared" si="7"/>
        <v>-8501.393173645889</v>
      </c>
      <c r="Z28" s="486">
        <f t="shared" si="7"/>
        <v>-8806.9468161430759</v>
      </c>
      <c r="AB28" s="351" t="s">
        <v>283</v>
      </c>
      <c r="AC28" s="352">
        <v>-0.1469</v>
      </c>
    </row>
    <row r="29" spans="1:29" ht="15" customHeight="1">
      <c r="A29" s="466"/>
      <c r="B29" s="466" t="s">
        <v>67</v>
      </c>
      <c r="C29" s="467" t="s">
        <v>70</v>
      </c>
      <c r="D29" s="484"/>
      <c r="E29" s="485">
        <f>'Summary excl EG'!B74</f>
        <v>-45097.097735338692</v>
      </c>
      <c r="F29" s="485">
        <f>'Summary excl EG'!C74</f>
        <v>-77046.199679960904</v>
      </c>
      <c r="G29" s="485">
        <f>'Summary excl EG'!D74</f>
        <v>-45958.972871605838</v>
      </c>
      <c r="H29" s="485">
        <f>'Summary excl EG'!E74</f>
        <v>-26596.069795120566</v>
      </c>
      <c r="I29" s="485">
        <f>'Summary excl EG'!F74</f>
        <v>-26124.476054046856</v>
      </c>
      <c r="J29" s="485">
        <f>'Summary excl EG'!G74</f>
        <v>-29104.036329791561</v>
      </c>
      <c r="K29" s="485">
        <f>'Summary excl EG'!H74</f>
        <v>-14461.258523164555</v>
      </c>
      <c r="L29" s="485">
        <f>'Summary excl EG'!I74</f>
        <v>-9921.082076613442</v>
      </c>
      <c r="M29" s="485">
        <f>'Summary excl EG'!J74</f>
        <v>-10613.171542295782</v>
      </c>
      <c r="N29" s="485">
        <f>'Summary excl EG'!K74</f>
        <v>-12799.95493052496</v>
      </c>
      <c r="O29" s="485">
        <f>'Summary excl EG'!L74</f>
        <v>-23294.479630197144</v>
      </c>
      <c r="P29" s="485">
        <f>'Summary excl EG'!M74</f>
        <v>-22278.895029654574</v>
      </c>
      <c r="Q29" s="485">
        <f>'Summary excl EG'!N74</f>
        <v>-23925.408149447958</v>
      </c>
      <c r="R29" s="485">
        <f>'Summary excl EG'!O74</f>
        <v>-25702.644097177305</v>
      </c>
      <c r="S29" s="485">
        <f>'Summary excl EG'!P74</f>
        <v>-28040.85611163099</v>
      </c>
      <c r="T29" s="486">
        <f t="shared" si="7"/>
        <v>-37770.666945156998</v>
      </c>
      <c r="U29" s="486">
        <f t="shared" si="7"/>
        <v>-48988.555027868621</v>
      </c>
      <c r="V29" s="486">
        <f t="shared" si="7"/>
        <v>-39680.729572573589</v>
      </c>
      <c r="W29" s="486">
        <f t="shared" si="7"/>
        <v>-33609.577947969825</v>
      </c>
      <c r="X29" s="486">
        <f t="shared" si="7"/>
        <v>-33811.23541565764</v>
      </c>
      <c r="Y29" s="486">
        <f t="shared" si="7"/>
        <v>-35432.29756573218</v>
      </c>
      <c r="Z29" s="486">
        <f t="shared" si="7"/>
        <v>-31990.324976564265</v>
      </c>
      <c r="AB29" s="351" t="s">
        <v>284</v>
      </c>
      <c r="AC29" s="352">
        <v>-0.19139999999999999</v>
      </c>
    </row>
    <row r="30" spans="1:29" ht="15" customHeight="1">
      <c r="A30" s="466"/>
      <c r="B30" s="466"/>
      <c r="C30" s="462" t="s">
        <v>84</v>
      </c>
      <c r="D30" s="484"/>
      <c r="E30" s="487">
        <f>SUM(E27:E29)</f>
        <v>-84143.84425430547</v>
      </c>
      <c r="F30" s="487">
        <f t="shared" ref="F30:Z30" si="8">SUM(F27:F29)</f>
        <v>-110533.40793076812</v>
      </c>
      <c r="G30" s="487">
        <f t="shared" si="8"/>
        <v>-72693.194754334996</v>
      </c>
      <c r="H30" s="487">
        <f t="shared" si="8"/>
        <v>-44138.939851395233</v>
      </c>
      <c r="I30" s="487">
        <f t="shared" si="8"/>
        <v>-38841.017954459181</v>
      </c>
      <c r="J30" s="487">
        <f t="shared" si="8"/>
        <v>-45566.778419159717</v>
      </c>
      <c r="K30" s="487">
        <f t="shared" si="8"/>
        <v>-28857.730282544428</v>
      </c>
      <c r="L30" s="487">
        <f t="shared" si="8"/>
        <v>-23267.148812027721</v>
      </c>
      <c r="M30" s="487">
        <f t="shared" si="8"/>
        <v>-22381.665819860173</v>
      </c>
      <c r="N30" s="487">
        <f t="shared" si="8"/>
        <v>-22334.806989947603</v>
      </c>
      <c r="O30" s="487">
        <f t="shared" si="8"/>
        <v>-35759.553357841527</v>
      </c>
      <c r="P30" s="487">
        <f t="shared" si="8"/>
        <v>-33613.367099472795</v>
      </c>
      <c r="Q30" s="487">
        <f t="shared" si="8"/>
        <v>-36149.770648479578</v>
      </c>
      <c r="R30" s="488">
        <f t="shared" si="8"/>
        <v>-37676.781545108795</v>
      </c>
      <c r="S30" s="488">
        <f t="shared" si="8"/>
        <v>-40131.613277676865</v>
      </c>
      <c r="T30" s="488">
        <f t="shared" si="8"/>
        <v>-49918.863781999986</v>
      </c>
      <c r="U30" s="488">
        <f t="shared" si="8"/>
        <v>-60235.47336530649</v>
      </c>
      <c r="V30" s="488">
        <f t="shared" si="8"/>
        <v>-50887.80122831004</v>
      </c>
      <c r="W30" s="488">
        <f t="shared" si="8"/>
        <v>-45977.30771891812</v>
      </c>
      <c r="X30" s="488">
        <f t="shared" si="8"/>
        <v>-46931.805665720334</v>
      </c>
      <c r="Y30" s="488">
        <f t="shared" si="8"/>
        <v>-48798.190345972209</v>
      </c>
      <c r="Z30" s="488">
        <f t="shared" si="8"/>
        <v>-45650.531442674655</v>
      </c>
    </row>
    <row r="31" spans="1:29" ht="15" customHeight="1">
      <c r="A31" s="454" t="s">
        <v>85</v>
      </c>
      <c r="B31" s="466"/>
      <c r="C31" s="467"/>
      <c r="D31" s="484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6"/>
      <c r="S31" s="486"/>
      <c r="T31" s="486"/>
      <c r="U31" s="486"/>
      <c r="V31" s="486"/>
      <c r="W31" s="486"/>
      <c r="X31" s="486"/>
      <c r="Y31" s="486"/>
      <c r="Z31" s="486"/>
    </row>
    <row r="32" spans="1:29" ht="30">
      <c r="A32" s="468"/>
      <c r="B32" s="466" t="s">
        <v>67</v>
      </c>
      <c r="C32" s="467" t="s">
        <v>86</v>
      </c>
      <c r="D32" s="484"/>
      <c r="E32" s="485">
        <f t="shared" ref="E32:P32" si="9">(E33-E34)*-1</f>
        <v>-15807.449242266077</v>
      </c>
      <c r="F32" s="485">
        <f t="shared" si="9"/>
        <v>-13254.074912710681</v>
      </c>
      <c r="G32" s="485">
        <f t="shared" si="9"/>
        <v>-9748.1552292737724</v>
      </c>
      <c r="H32" s="485">
        <f t="shared" si="9"/>
        <v>-10139.487331908997</v>
      </c>
      <c r="I32" s="485">
        <f t="shared" si="9"/>
        <v>-6227.2662199626247</v>
      </c>
      <c r="J32" s="485">
        <f t="shared" si="9"/>
        <v>-7707.9664965850498</v>
      </c>
      <c r="K32" s="485">
        <f t="shared" si="9"/>
        <v>-8821.9349343897775</v>
      </c>
      <c r="L32" s="485">
        <f t="shared" si="9"/>
        <v>-7145.3836867893115</v>
      </c>
      <c r="M32" s="485">
        <f t="shared" si="9"/>
        <v>-8007.3047796730898</v>
      </c>
      <c r="N32" s="485">
        <f t="shared" si="9"/>
        <v>-9502.8711185239499</v>
      </c>
      <c r="O32" s="485">
        <f t="shared" si="9"/>
        <v>-8346.2296992363808</v>
      </c>
      <c r="P32" s="485">
        <f t="shared" si="9"/>
        <v>-8303.9745554197252</v>
      </c>
      <c r="Q32" s="485">
        <f>'RIN, Cont workings'!AY37+'RIN, Cont workings'!BA37</f>
        <v>-11993.383153734761</v>
      </c>
      <c r="R32" s="486">
        <f>'RIN, Cont workings'!BF37+'RIN, Cont workings'!BH37</f>
        <v>-10720.718454891206</v>
      </c>
      <c r="S32" s="486">
        <f>'RIN, Cont workings'!BJ37+'RIN, Cont workings'!BL37</f>
        <v>-11729.47374223368</v>
      </c>
      <c r="T32" s="486">
        <f t="shared" ref="T32:Z32" si="10">((T13*T23)*-1)</f>
        <v>-13078.861411157957</v>
      </c>
      <c r="U32" s="486">
        <f t="shared" si="10"/>
        <v>-11969.176377465672</v>
      </c>
      <c r="V32" s="486">
        <f t="shared" si="10"/>
        <v>-12178.358161419746</v>
      </c>
      <c r="W32" s="486">
        <f t="shared" si="10"/>
        <v>-12482.174956301091</v>
      </c>
      <c r="X32" s="486">
        <f t="shared" si="10"/>
        <v>-11452.476005472288</v>
      </c>
      <c r="Y32" s="486">
        <f t="shared" si="10"/>
        <v>-9947.96009172503</v>
      </c>
      <c r="Z32" s="486">
        <f t="shared" si="10"/>
        <v>-9892.1621966242074</v>
      </c>
    </row>
    <row r="33" spans="1:29" ht="15" customHeight="1">
      <c r="A33" s="466"/>
      <c r="B33" s="466"/>
      <c r="C33" s="467" t="s">
        <v>87</v>
      </c>
      <c r="D33" s="484"/>
      <c r="E33" s="485">
        <f>'Summary excl EG'!B88</f>
        <v>6948.5151993441286</v>
      </c>
      <c r="F33" s="485">
        <f>'Summary excl EG'!C88</f>
        <v>6430.4593222869962</v>
      </c>
      <c r="G33" s="485">
        <f>'Summary excl EG'!D88</f>
        <v>6591.5381652954738</v>
      </c>
      <c r="H33" s="485">
        <f>'Summary excl EG'!E88</f>
        <v>4881.5602611177792</v>
      </c>
      <c r="I33" s="485">
        <f>'Summary excl EG'!F88</f>
        <v>5080.7697217995119</v>
      </c>
      <c r="J33" s="485">
        <f>'Summary excl EG'!G88</f>
        <v>5644.4275089811954</v>
      </c>
      <c r="K33" s="485">
        <f>'Summary excl EG'!H88</f>
        <v>3683.4744248747952</v>
      </c>
      <c r="L33" s="485">
        <f>'Summary excl EG'!I88</f>
        <v>4136.5369637326876</v>
      </c>
      <c r="M33" s="485">
        <f>'Summary excl EG'!J88</f>
        <v>7845.0105017362703</v>
      </c>
      <c r="N33" s="485">
        <f>'Summary excl EG'!K88</f>
        <v>8033.9323352839019</v>
      </c>
      <c r="O33" s="485">
        <f>'Summary excl EG'!L88</f>
        <v>9139.6023109485213</v>
      </c>
      <c r="P33" s="485">
        <f>'Summary excl EG'!M88</f>
        <v>9507.827629539559</v>
      </c>
      <c r="Q33" s="485">
        <f>'Oct 23 RIN $ OEA forecast '!Q35</f>
        <v>11497.723180000001</v>
      </c>
      <c r="R33" s="485">
        <f>'Oct 23 RIN $ OEA forecast '!R35</f>
        <v>11176</v>
      </c>
      <c r="S33" s="485">
        <f>'Oct 23 RIN $ OEA forecast '!S35</f>
        <v>16694.268179999999</v>
      </c>
      <c r="T33" s="486">
        <v>13000</v>
      </c>
      <c r="U33" s="486">
        <v>11000</v>
      </c>
      <c r="V33" s="486">
        <v>11000</v>
      </c>
      <c r="W33" s="486">
        <v>11000</v>
      </c>
      <c r="X33" s="486">
        <v>11000</v>
      </c>
      <c r="Y33" s="486">
        <v>11000</v>
      </c>
      <c r="Z33" s="486">
        <v>11000</v>
      </c>
    </row>
    <row r="34" spans="1:29" ht="30">
      <c r="A34" s="466"/>
      <c r="B34" s="466" t="s">
        <v>67</v>
      </c>
      <c r="C34" s="462" t="s">
        <v>88</v>
      </c>
      <c r="D34" s="484"/>
      <c r="E34" s="487">
        <f>'Summary excl EG'!B75</f>
        <v>-8858.9340429219483</v>
      </c>
      <c r="F34" s="487">
        <f>'Summary excl EG'!C75</f>
        <v>-6823.6155904236848</v>
      </c>
      <c r="G34" s="487">
        <f>'Summary excl EG'!D75</f>
        <v>-3156.617063978299</v>
      </c>
      <c r="H34" s="487">
        <f>'Summary excl EG'!E75</f>
        <v>-5257.9270707912174</v>
      </c>
      <c r="I34" s="487">
        <f>'Summary excl EG'!F75</f>
        <v>-1146.4964981631133</v>
      </c>
      <c r="J34" s="487">
        <f>'Summary excl EG'!G75</f>
        <v>-2063.5389876038539</v>
      </c>
      <c r="K34" s="487">
        <f>'Summary excl EG'!H75</f>
        <v>-5138.4605095149827</v>
      </c>
      <c r="L34" s="487">
        <f>'Summary excl EG'!I75</f>
        <v>-3008.8467230566234</v>
      </c>
      <c r="M34" s="487">
        <f>'Summary excl EG'!J75</f>
        <v>-162.29427793681995</v>
      </c>
      <c r="N34" s="487">
        <f>'Summary excl EG'!K75</f>
        <v>-1468.9387832400487</v>
      </c>
      <c r="O34" s="487">
        <f>'Summary excl EG'!L75</f>
        <v>793.37261171213981</v>
      </c>
      <c r="P34" s="487">
        <f>'Summary excl EG'!M75</f>
        <v>1203.8530741198342</v>
      </c>
      <c r="Q34" s="487">
        <f>'Summary excl EG'!N75</f>
        <v>-495.65997373476148</v>
      </c>
      <c r="R34" s="488">
        <f t="shared" ref="R34:Z34" si="11">SUM(R32:R33)</f>
        <v>455.28154510879358</v>
      </c>
      <c r="S34" s="488">
        <f t="shared" si="11"/>
        <v>4964.7944377663189</v>
      </c>
      <c r="T34" s="488">
        <f t="shared" si="11"/>
        <v>-78.861411157957264</v>
      </c>
      <c r="U34" s="488">
        <f t="shared" si="11"/>
        <v>-969.17637746567198</v>
      </c>
      <c r="V34" s="488">
        <f t="shared" si="11"/>
        <v>-1178.3581614197465</v>
      </c>
      <c r="W34" s="488">
        <f t="shared" si="11"/>
        <v>-1482.1749563010908</v>
      </c>
      <c r="X34" s="488">
        <f t="shared" si="11"/>
        <v>-452.47600547228831</v>
      </c>
      <c r="Y34" s="488">
        <f t="shared" si="11"/>
        <v>1052.03990827497</v>
      </c>
      <c r="Z34" s="488">
        <f t="shared" si="11"/>
        <v>1107.8378033757926</v>
      </c>
    </row>
    <row r="35" spans="1:29" ht="15" customHeight="1">
      <c r="A35" s="466"/>
      <c r="B35" s="466"/>
      <c r="C35" s="467"/>
      <c r="D35" s="484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6"/>
      <c r="S35" s="486"/>
      <c r="T35" s="486"/>
      <c r="U35" s="486"/>
      <c r="V35" s="486"/>
      <c r="W35" s="486"/>
      <c r="X35" s="486"/>
      <c r="Y35" s="486"/>
      <c r="Z35" s="486"/>
    </row>
    <row r="36" spans="1:29" ht="15" customHeight="1">
      <c r="A36" s="541" t="s">
        <v>89</v>
      </c>
      <c r="B36" s="542"/>
      <c r="C36" s="543"/>
      <c r="D36" s="489"/>
      <c r="E36" s="490">
        <f>SUM(E30,E34)</f>
        <v>-93002.778297227414</v>
      </c>
      <c r="F36" s="490">
        <f t="shared" ref="F36:Z36" si="12">SUM(F30,F34)</f>
        <v>-117357.0235211918</v>
      </c>
      <c r="G36" s="490">
        <f t="shared" si="12"/>
        <v>-75849.81181831329</v>
      </c>
      <c r="H36" s="490">
        <f t="shared" si="12"/>
        <v>-49396.866922186447</v>
      </c>
      <c r="I36" s="490">
        <f t="shared" si="12"/>
        <v>-39987.514452622294</v>
      </c>
      <c r="J36" s="490">
        <f t="shared" si="12"/>
        <v>-47630.31740676357</v>
      </c>
      <c r="K36" s="490">
        <f t="shared" si="12"/>
        <v>-33996.190792059409</v>
      </c>
      <c r="L36" s="490">
        <f t="shared" si="12"/>
        <v>-26275.995535084345</v>
      </c>
      <c r="M36" s="490">
        <f t="shared" si="12"/>
        <v>-22543.960097796993</v>
      </c>
      <c r="N36" s="490">
        <f t="shared" si="12"/>
        <v>-23803.745773187653</v>
      </c>
      <c r="O36" s="490">
        <f t="shared" si="12"/>
        <v>-34966.180746129387</v>
      </c>
      <c r="P36" s="490">
        <f t="shared" si="12"/>
        <v>-32409.514025352961</v>
      </c>
      <c r="Q36" s="490">
        <f t="shared" si="12"/>
        <v>-36645.430622214342</v>
      </c>
      <c r="R36" s="491">
        <f t="shared" si="12"/>
        <v>-37221.5</v>
      </c>
      <c r="S36" s="491">
        <f t="shared" si="12"/>
        <v>-35166.818839910542</v>
      </c>
      <c r="T36" s="491">
        <f t="shared" si="12"/>
        <v>-49997.725193157945</v>
      </c>
      <c r="U36" s="491">
        <f t="shared" si="12"/>
        <v>-61204.649742772162</v>
      </c>
      <c r="V36" s="491">
        <f t="shared" si="12"/>
        <v>-52066.159389729786</v>
      </c>
      <c r="W36" s="491">
        <f t="shared" si="12"/>
        <v>-47459.482675219209</v>
      </c>
      <c r="X36" s="491">
        <f t="shared" si="12"/>
        <v>-47384.281671192621</v>
      </c>
      <c r="Y36" s="491">
        <f t="shared" si="12"/>
        <v>-47746.150437697237</v>
      </c>
      <c r="Z36" s="491">
        <f t="shared" si="12"/>
        <v>-44542.693639298865</v>
      </c>
      <c r="AA36" s="192">
        <v>-265170</v>
      </c>
      <c r="AB36" s="386">
        <f>SUM(V36:Z36)</f>
        <v>-239198.76781313773</v>
      </c>
      <c r="AC36" s="387">
        <f>AB36-AA36</f>
        <v>25971.232186862268</v>
      </c>
    </row>
    <row r="37" spans="1:29" ht="15" customHeight="1">
      <c r="A37" s="553"/>
      <c r="B37" s="554"/>
      <c r="C37" s="555"/>
      <c r="D37" s="489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1"/>
      <c r="S37" s="491"/>
      <c r="T37" s="491"/>
      <c r="U37" s="491"/>
      <c r="V37" s="491"/>
      <c r="W37" s="491"/>
      <c r="X37" s="491"/>
      <c r="Y37" s="491"/>
      <c r="Z37" s="491"/>
    </row>
    <row r="38" spans="1:29" ht="29.25" customHeight="1">
      <c r="A38" s="538" t="s">
        <v>90</v>
      </c>
      <c r="B38" s="539"/>
      <c r="C38" s="540"/>
      <c r="D38" s="492" t="s">
        <v>91</v>
      </c>
      <c r="E38" s="493">
        <f t="shared" ref="E38:Z38" si="13">E36/E15</f>
        <v>-0.80112797245399514</v>
      </c>
      <c r="F38" s="493">
        <f t="shared" si="13"/>
        <v>-0.9366257832595587</v>
      </c>
      <c r="G38" s="493">
        <f t="shared" si="13"/>
        <v>-0.84631843965820575</v>
      </c>
      <c r="H38" s="493">
        <f t="shared" si="13"/>
        <v>-0.60827887324431218</v>
      </c>
      <c r="I38" s="493">
        <f t="shared" si="13"/>
        <v>-0.47607211713319447</v>
      </c>
      <c r="J38" s="493">
        <f t="shared" si="13"/>
        <v>-0.58412137165289857</v>
      </c>
      <c r="K38" s="493">
        <f t="shared" si="13"/>
        <v>-0.48015361058485917</v>
      </c>
      <c r="L38" s="493">
        <f t="shared" si="13"/>
        <v>-0.43598320331521151</v>
      </c>
      <c r="M38" s="493">
        <f t="shared" si="13"/>
        <v>-0.36293965175622361</v>
      </c>
      <c r="N38" s="493">
        <f t="shared" si="13"/>
        <v>-0.32969965286944308</v>
      </c>
      <c r="O38" s="493">
        <f t="shared" si="13"/>
        <v>-0.41275540477168265</v>
      </c>
      <c r="P38" s="493">
        <f t="shared" si="13"/>
        <v>-0.43161504715054894</v>
      </c>
      <c r="Q38" s="493">
        <f t="shared" si="13"/>
        <v>-0.5321575124482929</v>
      </c>
      <c r="R38" s="494">
        <f t="shared" si="13"/>
        <v>-0.51084487583925398</v>
      </c>
      <c r="S38" s="494">
        <f t="shared" si="13"/>
        <v>-0.43280375555238321</v>
      </c>
      <c r="T38" s="494">
        <f t="shared" si="13"/>
        <v>-0.55113069608841747</v>
      </c>
      <c r="U38" s="494">
        <f t="shared" si="13"/>
        <v>-0.61341216542179766</v>
      </c>
      <c r="V38" s="494">
        <f t="shared" si="13"/>
        <v>-0.5514671732090386</v>
      </c>
      <c r="W38" s="494">
        <f t="shared" si="13"/>
        <v>-0.52366735736958925</v>
      </c>
      <c r="X38" s="494">
        <f t="shared" si="13"/>
        <v>-0.51304356405020524</v>
      </c>
      <c r="Y38" s="494">
        <f t="shared" si="13"/>
        <v>-0.50773849191511788</v>
      </c>
      <c r="Z38" s="494">
        <f t="shared" si="13"/>
        <v>-0.49244658642083788</v>
      </c>
    </row>
    <row r="39" spans="1:29" ht="15" customHeight="1">
      <c r="A39" s="541" t="s">
        <v>92</v>
      </c>
      <c r="B39" s="542"/>
      <c r="C39" s="543"/>
      <c r="D39" s="469"/>
      <c r="E39" s="464">
        <f t="shared" ref="E39:Z39" si="14">E15</f>
        <v>116089.7902645237</v>
      </c>
      <c r="F39" s="464">
        <f t="shared" si="14"/>
        <v>125297.66489320496</v>
      </c>
      <c r="G39" s="464">
        <f t="shared" si="14"/>
        <v>89623.253215357094</v>
      </c>
      <c r="H39" s="464">
        <f t="shared" si="14"/>
        <v>81207.599170301022</v>
      </c>
      <c r="I39" s="464">
        <f t="shared" si="14"/>
        <v>83994.65756032645</v>
      </c>
      <c r="J39" s="464">
        <f t="shared" si="14"/>
        <v>81541.815996191377</v>
      </c>
      <c r="K39" s="464">
        <f t="shared" si="14"/>
        <v>70802.739045635375</v>
      </c>
      <c r="L39" s="464">
        <f t="shared" si="14"/>
        <v>60268.366614314407</v>
      </c>
      <c r="M39" s="464">
        <f t="shared" si="14"/>
        <v>62114.899787635048</v>
      </c>
      <c r="N39" s="464">
        <f t="shared" si="14"/>
        <v>72198.273689458918</v>
      </c>
      <c r="O39" s="464">
        <f t="shared" si="14"/>
        <v>84714.046968012626</v>
      </c>
      <c r="P39" s="464">
        <f t="shared" si="14"/>
        <v>75088.934547845827</v>
      </c>
      <c r="Q39" s="464">
        <f t="shared" si="14"/>
        <v>68862</v>
      </c>
      <c r="R39" s="465">
        <f t="shared" si="14"/>
        <v>72862.627698574346</v>
      </c>
      <c r="S39" s="465">
        <f t="shared" si="14"/>
        <v>81253.49743101807</v>
      </c>
      <c r="T39" s="465">
        <f t="shared" si="14"/>
        <v>90718.454892842419</v>
      </c>
      <c r="U39" s="465">
        <f t="shared" si="14"/>
        <v>99777.365355456073</v>
      </c>
      <c r="V39" s="465">
        <f t="shared" si="14"/>
        <v>94413.887025680931</v>
      </c>
      <c r="W39" s="465">
        <f t="shared" si="14"/>
        <v>90629.064438178611</v>
      </c>
      <c r="X39" s="465">
        <f t="shared" si="14"/>
        <v>92359.177643939227</v>
      </c>
      <c r="Y39" s="465">
        <f t="shared" si="14"/>
        <v>94036.893396845888</v>
      </c>
      <c r="Z39" s="465">
        <f t="shared" si="14"/>
        <v>90451.827401303803</v>
      </c>
    </row>
    <row r="40" spans="1:29" ht="15" customHeight="1">
      <c r="A40" s="541" t="s">
        <v>93</v>
      </c>
      <c r="B40" s="542"/>
      <c r="C40" s="543"/>
      <c r="D40" s="469"/>
      <c r="E40" s="485">
        <f t="shared" ref="E40:Z40" si="15">E36</f>
        <v>-93002.778297227414</v>
      </c>
      <c r="F40" s="485">
        <f t="shared" si="15"/>
        <v>-117357.0235211918</v>
      </c>
      <c r="G40" s="485">
        <f t="shared" si="15"/>
        <v>-75849.81181831329</v>
      </c>
      <c r="H40" s="485">
        <f t="shared" si="15"/>
        <v>-49396.866922186447</v>
      </c>
      <c r="I40" s="485">
        <f t="shared" si="15"/>
        <v>-39987.514452622294</v>
      </c>
      <c r="J40" s="485">
        <f t="shared" si="15"/>
        <v>-47630.31740676357</v>
      </c>
      <c r="K40" s="485">
        <f t="shared" si="15"/>
        <v>-33996.190792059409</v>
      </c>
      <c r="L40" s="485">
        <f t="shared" si="15"/>
        <v>-26275.995535084345</v>
      </c>
      <c r="M40" s="485">
        <f t="shared" si="15"/>
        <v>-22543.960097796993</v>
      </c>
      <c r="N40" s="485">
        <f t="shared" si="15"/>
        <v>-23803.745773187653</v>
      </c>
      <c r="O40" s="485">
        <f t="shared" si="15"/>
        <v>-34966.180746129387</v>
      </c>
      <c r="P40" s="485">
        <f t="shared" si="15"/>
        <v>-32409.514025352961</v>
      </c>
      <c r="Q40" s="485">
        <f t="shared" si="15"/>
        <v>-36645.430622214342</v>
      </c>
      <c r="R40" s="486">
        <f t="shared" si="15"/>
        <v>-37221.5</v>
      </c>
      <c r="S40" s="486">
        <f t="shared" si="15"/>
        <v>-35166.818839910542</v>
      </c>
      <c r="T40" s="486">
        <f t="shared" si="15"/>
        <v>-49997.725193157945</v>
      </c>
      <c r="U40" s="486">
        <f t="shared" si="15"/>
        <v>-61204.649742772162</v>
      </c>
      <c r="V40" s="486">
        <f t="shared" si="15"/>
        <v>-52066.159389729786</v>
      </c>
      <c r="W40" s="486">
        <f t="shared" si="15"/>
        <v>-47459.482675219209</v>
      </c>
      <c r="X40" s="486">
        <f t="shared" si="15"/>
        <v>-47384.281671192621</v>
      </c>
      <c r="Y40" s="486">
        <f t="shared" si="15"/>
        <v>-47746.150437697237</v>
      </c>
      <c r="Z40" s="486">
        <f t="shared" si="15"/>
        <v>-44542.693639298865</v>
      </c>
    </row>
    <row r="41" spans="1:29" s="203" customFormat="1" ht="21.75" customHeight="1">
      <c r="A41" s="544" t="s">
        <v>94</v>
      </c>
      <c r="B41" s="545"/>
      <c r="C41" s="546"/>
      <c r="D41" s="495"/>
      <c r="E41" s="496">
        <f t="shared" ref="E41:F41" si="16">E39+E40</f>
        <v>23087.01196729629</v>
      </c>
      <c r="F41" s="496">
        <f t="shared" si="16"/>
        <v>7940.6413720131532</v>
      </c>
      <c r="G41" s="496">
        <f>SUM(G39,G40)</f>
        <v>13773.441397043804</v>
      </c>
      <c r="H41" s="496">
        <f t="shared" ref="H41:Z41" si="17">SUM(H39,H40)</f>
        <v>31810.732248114575</v>
      </c>
      <c r="I41" s="496">
        <f t="shared" si="17"/>
        <v>44007.143107704156</v>
      </c>
      <c r="J41" s="496">
        <f t="shared" si="17"/>
        <v>33911.498589427807</v>
      </c>
      <c r="K41" s="496">
        <f t="shared" si="17"/>
        <v>36806.548253575966</v>
      </c>
      <c r="L41" s="496">
        <f t="shared" si="17"/>
        <v>33992.371079230063</v>
      </c>
      <c r="M41" s="496">
        <f t="shared" si="17"/>
        <v>39570.939689838051</v>
      </c>
      <c r="N41" s="496">
        <f t="shared" si="17"/>
        <v>48394.527916271269</v>
      </c>
      <c r="O41" s="496">
        <f t="shared" si="17"/>
        <v>49747.86622188324</v>
      </c>
      <c r="P41" s="496">
        <f t="shared" si="17"/>
        <v>42679.420522492866</v>
      </c>
      <c r="Q41" s="496">
        <f t="shared" si="17"/>
        <v>32216.569377785658</v>
      </c>
      <c r="R41" s="497">
        <f t="shared" si="17"/>
        <v>35641.127698574346</v>
      </c>
      <c r="S41" s="497">
        <f t="shared" si="17"/>
        <v>46086.678591107528</v>
      </c>
      <c r="T41" s="497">
        <f t="shared" si="17"/>
        <v>40720.729699684474</v>
      </c>
      <c r="U41" s="497">
        <f t="shared" si="17"/>
        <v>38572.715612683911</v>
      </c>
      <c r="V41" s="497">
        <f t="shared" si="17"/>
        <v>42347.727635951145</v>
      </c>
      <c r="W41" s="497">
        <f t="shared" si="17"/>
        <v>43169.581762959402</v>
      </c>
      <c r="X41" s="497">
        <f t="shared" si="17"/>
        <v>44974.895972746606</v>
      </c>
      <c r="Y41" s="497">
        <f t="shared" si="17"/>
        <v>46290.742959148651</v>
      </c>
      <c r="Z41" s="497">
        <f t="shared" si="17"/>
        <v>45909.133762004938</v>
      </c>
      <c r="AA41" s="498">
        <f>SUM(V41:Z41)</f>
        <v>222692.08209281074</v>
      </c>
      <c r="AC41" s="388">
        <f>AA41+AC36</f>
        <v>248663.31427967301</v>
      </c>
    </row>
    <row r="42" spans="1:29" ht="4.5" customHeight="1">
      <c r="A42" s="204"/>
      <c r="B42" s="204"/>
      <c r="C42" s="499"/>
      <c r="D42" s="500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2"/>
      <c r="S42" s="502"/>
      <c r="T42" s="502"/>
      <c r="U42" s="502"/>
    </row>
    <row r="43" spans="1:29" ht="15" customHeight="1">
      <c r="A43" s="205"/>
      <c r="B43" s="205"/>
      <c r="C43" s="503"/>
      <c r="D43" s="504"/>
      <c r="E43" s="505"/>
      <c r="F43" s="505"/>
      <c r="G43" s="505"/>
      <c r="H43" s="505"/>
      <c r="Q43" s="506" t="s">
        <v>95</v>
      </c>
      <c r="R43" s="507"/>
      <c r="S43" s="507"/>
      <c r="T43" s="507"/>
      <c r="U43" s="507"/>
      <c r="V43" s="507"/>
      <c r="W43" s="507"/>
      <c r="X43" s="507"/>
      <c r="Y43" s="507"/>
      <c r="Z43" s="508"/>
    </row>
    <row r="44" spans="1:29" s="206" customFormat="1">
      <c r="Q44" s="509" t="s">
        <v>96</v>
      </c>
      <c r="R44" s="510"/>
      <c r="S44" s="510"/>
      <c r="T44" s="510"/>
      <c r="U44" s="510"/>
      <c r="V44" s="510"/>
      <c r="W44" s="510"/>
      <c r="X44" s="510"/>
      <c r="Y44" s="510"/>
      <c r="Z44" s="511"/>
    </row>
    <row r="45" spans="1:29" s="206" customFormat="1">
      <c r="Q45" s="512" t="s">
        <v>97</v>
      </c>
      <c r="R45" s="513"/>
      <c r="S45" s="513"/>
      <c r="T45" s="513"/>
      <c r="U45" s="513"/>
      <c r="V45" s="513"/>
      <c r="W45" s="513"/>
      <c r="X45" s="513"/>
      <c r="Y45" s="513"/>
      <c r="Z45" s="514"/>
    </row>
  </sheetData>
  <mergeCells count="19">
    <mergeCell ref="AB3:AJ3"/>
    <mergeCell ref="AB4:AJ4"/>
    <mergeCell ref="AB5:AJ5"/>
    <mergeCell ref="E1:U1"/>
    <mergeCell ref="E2:U2"/>
    <mergeCell ref="E3:F3"/>
    <mergeCell ref="G3:K3"/>
    <mergeCell ref="L3:P3"/>
    <mergeCell ref="Q3:U3"/>
    <mergeCell ref="A38:C38"/>
    <mergeCell ref="A39:C39"/>
    <mergeCell ref="A40:C40"/>
    <mergeCell ref="A41:C41"/>
    <mergeCell ref="V3:Z3"/>
    <mergeCell ref="A15:C15"/>
    <mergeCell ref="A16:C16"/>
    <mergeCell ref="A25:C25"/>
    <mergeCell ref="A36:C36"/>
    <mergeCell ref="A37:C37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C42D-4BF4-4B5D-885A-C5FA30D9524C}">
  <dimension ref="A1:AN47"/>
  <sheetViews>
    <sheetView zoomScale="90" zoomScaleNormal="90" workbookViewId="0"/>
  </sheetViews>
  <sheetFormatPr defaultRowHeight="15"/>
  <cols>
    <col min="1" max="1" width="31" bestFit="1" customWidth="1"/>
    <col min="2" max="2" width="1.140625" bestFit="1" customWidth="1"/>
    <col min="3" max="3" width="18" customWidth="1"/>
    <col min="4" max="16" width="8.85546875" hidden="1" customWidth="1"/>
    <col min="17" max="17" width="8.85546875" customWidth="1"/>
    <col min="18" max="18" width="9.42578125" bestFit="1" customWidth="1"/>
    <col min="19" max="19" width="11.140625" customWidth="1"/>
    <col min="20" max="20" width="10.42578125" customWidth="1"/>
    <col min="21" max="22" width="10.140625" customWidth="1"/>
    <col min="23" max="23" width="9.85546875" customWidth="1"/>
    <col min="24" max="25" width="9.7109375" customWidth="1"/>
    <col min="26" max="26" width="10.28515625" bestFit="1" customWidth="1"/>
    <col min="27" max="28" width="9.42578125" bestFit="1" customWidth="1"/>
    <col min="29" max="29" width="10.28515625" customWidth="1"/>
    <col min="30" max="30" width="10.42578125" customWidth="1"/>
    <col min="31" max="32" width="10.140625" customWidth="1"/>
    <col min="33" max="34" width="9.85546875" customWidth="1"/>
    <col min="35" max="38" width="9.7109375" customWidth="1"/>
    <col min="39" max="40" width="10.7109375" customWidth="1"/>
  </cols>
  <sheetData>
    <row r="1" spans="1:40">
      <c r="A1" s="191"/>
      <c r="B1" s="449"/>
      <c r="C1" s="450"/>
      <c r="D1" s="451"/>
      <c r="E1" s="557" t="s">
        <v>274</v>
      </c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</row>
    <row r="2" spans="1:40">
      <c r="A2" s="334" t="s">
        <v>277</v>
      </c>
      <c r="B2" s="452"/>
      <c r="C2" s="453"/>
      <c r="D2" s="450"/>
      <c r="E2" s="559" t="s">
        <v>275</v>
      </c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  <c r="AH2" s="559"/>
      <c r="AI2" s="559"/>
      <c r="AJ2" s="559"/>
      <c r="AK2" s="559"/>
      <c r="AL2" s="559"/>
      <c r="AM2" s="559"/>
      <c r="AN2" s="559"/>
    </row>
    <row r="3" spans="1:40">
      <c r="A3" s="193"/>
      <c r="B3" s="455"/>
      <c r="C3" s="456"/>
      <c r="D3" s="457"/>
      <c r="E3" s="553" t="s">
        <v>39</v>
      </c>
      <c r="F3" s="555"/>
      <c r="G3" s="547" t="s">
        <v>40</v>
      </c>
      <c r="H3" s="548"/>
      <c r="I3" s="548"/>
      <c r="J3" s="548"/>
      <c r="K3" s="549"/>
      <c r="L3" s="547" t="s">
        <v>41</v>
      </c>
      <c r="M3" s="548"/>
      <c r="N3" s="548"/>
      <c r="O3" s="548"/>
      <c r="P3" s="549"/>
      <c r="Q3" s="547" t="s">
        <v>42</v>
      </c>
      <c r="R3" s="548"/>
      <c r="S3" s="548"/>
      <c r="T3" s="548"/>
      <c r="U3" s="549"/>
      <c r="V3" s="547" t="s">
        <v>43</v>
      </c>
      <c r="W3" s="548"/>
      <c r="X3" s="548"/>
      <c r="Y3" s="548"/>
      <c r="Z3" s="549"/>
      <c r="AE3" s="547" t="s">
        <v>43</v>
      </c>
      <c r="AF3" s="548"/>
      <c r="AG3" s="548"/>
      <c r="AH3" s="548"/>
      <c r="AI3" s="548"/>
      <c r="AJ3" s="548"/>
      <c r="AK3" s="548"/>
      <c r="AL3" s="548"/>
      <c r="AM3" s="549"/>
    </row>
    <row r="4" spans="1:40" ht="60">
      <c r="A4" s="193"/>
      <c r="B4" s="454"/>
      <c r="C4" s="454"/>
      <c r="D4" s="458"/>
      <c r="E4" s="459" t="s">
        <v>44</v>
      </c>
      <c r="F4" s="459" t="s">
        <v>45</v>
      </c>
      <c r="G4" s="459" t="s">
        <v>46</v>
      </c>
      <c r="H4" s="459" t="s">
        <v>47</v>
      </c>
      <c r="I4" s="459" t="s">
        <v>48</v>
      </c>
      <c r="J4" s="459" t="s">
        <v>49</v>
      </c>
      <c r="K4" s="459" t="s">
        <v>50</v>
      </c>
      <c r="L4" s="459" t="s">
        <v>51</v>
      </c>
      <c r="M4" s="459" t="s">
        <v>52</v>
      </c>
      <c r="N4" s="459" t="s">
        <v>53</v>
      </c>
      <c r="O4" s="459" t="s">
        <v>54</v>
      </c>
      <c r="P4" s="459" t="s">
        <v>55</v>
      </c>
      <c r="Q4" s="459" t="s">
        <v>56</v>
      </c>
      <c r="R4" s="460" t="s">
        <v>273</v>
      </c>
      <c r="S4" s="460" t="s">
        <v>290</v>
      </c>
      <c r="T4" s="460" t="s">
        <v>57</v>
      </c>
      <c r="U4" s="460" t="s">
        <v>58</v>
      </c>
      <c r="V4" s="460" t="s">
        <v>59</v>
      </c>
      <c r="W4" s="460" t="s">
        <v>60</v>
      </c>
      <c r="X4" s="460" t="s">
        <v>61</v>
      </c>
      <c r="Y4" s="460" t="s">
        <v>62</v>
      </c>
      <c r="Z4" s="460" t="s">
        <v>63</v>
      </c>
      <c r="AA4" s="515" t="s">
        <v>98</v>
      </c>
      <c r="AB4" s="515" t="s">
        <v>99</v>
      </c>
      <c r="AC4" s="515" t="s">
        <v>100</v>
      </c>
      <c r="AD4" s="515" t="s">
        <v>101</v>
      </c>
      <c r="AE4" s="460" t="s">
        <v>59</v>
      </c>
      <c r="AF4" s="460" t="s">
        <v>59</v>
      </c>
      <c r="AG4" s="460" t="s">
        <v>60</v>
      </c>
      <c r="AH4" s="460" t="s">
        <v>60</v>
      </c>
      <c r="AI4" s="460" t="s">
        <v>61</v>
      </c>
      <c r="AJ4" s="460" t="s">
        <v>61</v>
      </c>
      <c r="AK4" s="460" t="s">
        <v>62</v>
      </c>
      <c r="AL4" s="460" t="s">
        <v>62</v>
      </c>
      <c r="AM4" s="460" t="s">
        <v>63</v>
      </c>
      <c r="AN4" s="460" t="s">
        <v>63</v>
      </c>
    </row>
    <row r="5" spans="1:40">
      <c r="A5" s="193" t="s">
        <v>64</v>
      </c>
      <c r="B5" s="454"/>
      <c r="C5" s="454"/>
      <c r="D5" s="458"/>
      <c r="E5" s="459" t="s">
        <v>65</v>
      </c>
      <c r="F5" s="459" t="s">
        <v>65</v>
      </c>
      <c r="G5" s="459" t="s">
        <v>65</v>
      </c>
      <c r="H5" s="459" t="s">
        <v>65</v>
      </c>
      <c r="I5" s="459" t="s">
        <v>65</v>
      </c>
      <c r="J5" s="459" t="s">
        <v>65</v>
      </c>
      <c r="K5" s="459" t="s">
        <v>65</v>
      </c>
      <c r="L5" s="459" t="s">
        <v>65</v>
      </c>
      <c r="M5" s="459" t="s">
        <v>65</v>
      </c>
      <c r="N5" s="459" t="s">
        <v>65</v>
      </c>
      <c r="O5" s="459" t="s">
        <v>65</v>
      </c>
      <c r="P5" s="459" t="s">
        <v>65</v>
      </c>
      <c r="Q5" s="459" t="s">
        <v>65</v>
      </c>
      <c r="R5" s="461" t="s">
        <v>65</v>
      </c>
      <c r="S5" s="461" t="s">
        <v>65</v>
      </c>
      <c r="T5" s="461" t="s">
        <v>65</v>
      </c>
      <c r="U5" s="461" t="s">
        <v>65</v>
      </c>
      <c r="V5" s="461" t="s">
        <v>65</v>
      </c>
      <c r="W5" s="461" t="s">
        <v>65</v>
      </c>
      <c r="X5" s="461" t="s">
        <v>65</v>
      </c>
      <c r="Y5" s="461" t="s">
        <v>65</v>
      </c>
      <c r="Z5" s="461" t="s">
        <v>65</v>
      </c>
      <c r="AE5" s="461" t="s">
        <v>102</v>
      </c>
      <c r="AF5" s="461" t="s">
        <v>103</v>
      </c>
      <c r="AG5" s="461" t="s">
        <v>102</v>
      </c>
      <c r="AH5" s="461" t="s">
        <v>103</v>
      </c>
      <c r="AI5" s="461" t="s">
        <v>102</v>
      </c>
      <c r="AJ5" s="461" t="s">
        <v>103</v>
      </c>
      <c r="AK5" s="461" t="s">
        <v>102</v>
      </c>
      <c r="AL5" s="461" t="s">
        <v>103</v>
      </c>
      <c r="AM5" s="461" t="s">
        <v>102</v>
      </c>
      <c r="AN5" s="461" t="s">
        <v>103</v>
      </c>
    </row>
    <row r="6" spans="1:40">
      <c r="A6" s="193" t="s">
        <v>66</v>
      </c>
      <c r="B6" s="454"/>
      <c r="C6" s="462"/>
      <c r="D6" s="463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5"/>
      <c r="S6" s="465"/>
      <c r="T6" s="465"/>
      <c r="U6" s="465"/>
      <c r="V6" s="465"/>
      <c r="W6" s="465"/>
      <c r="X6" s="465"/>
      <c r="Y6" s="465"/>
      <c r="Z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</row>
    <row r="7" spans="1:40" ht="45">
      <c r="A7" s="194"/>
      <c r="B7" s="466" t="s">
        <v>67</v>
      </c>
      <c r="C7" s="467" t="s">
        <v>68</v>
      </c>
      <c r="D7" s="463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>
        <f>'Summary excl EG'!N5</f>
        <v>19266.840544729366</v>
      </c>
      <c r="R7" s="464">
        <f>'Summary excl EG'!O5</f>
        <v>19934.972580937279</v>
      </c>
      <c r="S7" s="465">
        <f>'OEA_23 Oct 2023 from Report'!C23</f>
        <v>22057.57507136061</v>
      </c>
      <c r="T7" s="465">
        <f>'OEA_23 Oct 2023 from Report'!C24</f>
        <v>18137.526159893212</v>
      </c>
      <c r="U7" s="465">
        <f>'OEA_23 Oct 2023 from Report'!C25</f>
        <v>16669.367424939272</v>
      </c>
      <c r="V7" s="465">
        <f>'OEA_23 Oct 2023 from Report'!C26</f>
        <v>17973.603635358631</v>
      </c>
      <c r="W7" s="465">
        <f>'OEA_23 Oct 2023 from Report'!C27</f>
        <v>19419.616239740109</v>
      </c>
      <c r="X7" s="465">
        <f>'OEA_23 Oct 2023 from Report'!C28</f>
        <v>20050.365933653597</v>
      </c>
      <c r="Y7" s="465">
        <f>'OEA_23 Oct 2023 from Report'!C29</f>
        <v>20268.748360808928</v>
      </c>
      <c r="Z7" s="465">
        <f>'OEA_23 Oct 2023 from Report'!C30</f>
        <v>20221.915208197148</v>
      </c>
      <c r="AA7" s="516">
        <f>SUM(V7:Z7)</f>
        <v>97934.249377758417</v>
      </c>
      <c r="AB7" s="516">
        <f>SUM(Q7:U7)</f>
        <v>96066.281781859725</v>
      </c>
      <c r="AC7" s="516">
        <f>AA7-AB7</f>
        <v>1867.9675958986918</v>
      </c>
      <c r="AD7" s="517">
        <f>(AA7/AB7)-1</f>
        <v>1.9444570574099318E-2</v>
      </c>
      <c r="AE7" s="465">
        <f>V7/2</f>
        <v>8986.8018176793157</v>
      </c>
      <c r="AF7" s="465">
        <f>V7/2</f>
        <v>8986.8018176793157</v>
      </c>
      <c r="AG7" s="465">
        <f>W7/2</f>
        <v>9709.8081198700547</v>
      </c>
      <c r="AH7" s="465">
        <f>W7/2</f>
        <v>9709.8081198700547</v>
      </c>
      <c r="AI7" s="465">
        <f>X7/2</f>
        <v>10025.182966826798</v>
      </c>
      <c r="AJ7" s="465">
        <f>X7/2</f>
        <v>10025.182966826798</v>
      </c>
      <c r="AK7" s="465">
        <f>Y7/2</f>
        <v>10134.374180404464</v>
      </c>
      <c r="AL7" s="465">
        <f>Y7/2</f>
        <v>10134.374180404464</v>
      </c>
      <c r="AM7" s="465">
        <f>Z7/2</f>
        <v>10110.957604098574</v>
      </c>
      <c r="AN7" s="465">
        <f>Z7/2</f>
        <v>10110.957604098574</v>
      </c>
    </row>
    <row r="8" spans="1:40" ht="45">
      <c r="A8" s="194"/>
      <c r="B8" s="466"/>
      <c r="C8" s="467" t="s">
        <v>69</v>
      </c>
      <c r="D8" s="463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>
        <f>'Summary excl EG'!N6</f>
        <v>15221.142347689527</v>
      </c>
      <c r="R8" s="464">
        <f>'Summary excl EG'!O6</f>
        <v>19035.927035790181</v>
      </c>
      <c r="S8" s="465">
        <f>'OEA_23 Oct 2023 from Report'!O23</f>
        <v>17679.517221693626</v>
      </c>
      <c r="T8" s="465">
        <f>'OEA_23 Oct 2023 from Report'!O24</f>
        <v>20513.6593643911</v>
      </c>
      <c r="U8" s="465">
        <f>'OEA_23 Oct 2023 from Report'!O25</f>
        <v>19069.131988032746</v>
      </c>
      <c r="V8" s="465">
        <f>'OEA_23 Oct 2023 from Report'!O26</f>
        <v>18140.544166448355</v>
      </c>
      <c r="W8" s="465">
        <f>'OEA_23 Oct 2023 from Report'!O27</f>
        <v>20281.636508975436</v>
      </c>
      <c r="X8" s="465">
        <f>'OEA_23 Oct 2023 from Report'!O28</f>
        <v>21864.427436804817</v>
      </c>
      <c r="Y8" s="465">
        <f>'OEA_23 Oct 2023 from Report'!O29</f>
        <v>22372.087299068131</v>
      </c>
      <c r="Z8" s="465">
        <f>'OEA_23 Oct 2023 from Report'!O30</f>
        <v>23176.175831955465</v>
      </c>
      <c r="AA8" s="516">
        <f t="shared" ref="AA8:AA43" si="0">SUM(V8:Z8)</f>
        <v>105834.8712432522</v>
      </c>
      <c r="AB8" s="516">
        <f t="shared" ref="AB8:AB43" si="1">SUM(Q8:U8)</f>
        <v>91519.377957597186</v>
      </c>
      <c r="AC8" s="516">
        <f t="shared" ref="AC8:AC15" si="2">AA8-AB8</f>
        <v>14315.493285655015</v>
      </c>
      <c r="AD8" s="517">
        <f t="shared" ref="AD8:AD15" si="3">(AA8/AB8)-1</f>
        <v>0.15642035167992163</v>
      </c>
      <c r="AE8" s="465">
        <f t="shared" ref="AE8:AE15" si="4">V8/2</f>
        <v>9070.2720832241775</v>
      </c>
      <c r="AF8" s="465">
        <f t="shared" ref="AF8:AF15" si="5">V8/2</f>
        <v>9070.2720832241775</v>
      </c>
      <c r="AG8" s="465">
        <f t="shared" ref="AG8:AG15" si="6">W8/2</f>
        <v>10140.818254487718</v>
      </c>
      <c r="AH8" s="465">
        <f t="shared" ref="AH8:AH15" si="7">W8/2</f>
        <v>10140.818254487718</v>
      </c>
      <c r="AI8" s="465">
        <f t="shared" ref="AI8:AI15" si="8">X8/2</f>
        <v>10932.213718402409</v>
      </c>
      <c r="AJ8" s="465">
        <f t="shared" ref="AJ8:AJ15" si="9">X8/2</f>
        <v>10932.213718402409</v>
      </c>
      <c r="AK8" s="465">
        <f t="shared" ref="AK8:AK15" si="10">Y8/2</f>
        <v>11186.043649534065</v>
      </c>
      <c r="AL8" s="465">
        <f t="shared" ref="AL8:AL15" si="11">Y8/2</f>
        <v>11186.043649534065</v>
      </c>
      <c r="AM8" s="465">
        <f t="shared" ref="AM8:AM15" si="12">Z8/2</f>
        <v>11588.087915977732</v>
      </c>
      <c r="AN8" s="465">
        <f t="shared" ref="AN8:AN15" si="13">Z8/2</f>
        <v>11588.087915977732</v>
      </c>
    </row>
    <row r="9" spans="1:40" ht="30">
      <c r="A9" s="194"/>
      <c r="B9" s="466" t="s">
        <v>67</v>
      </c>
      <c r="C9" s="467" t="s">
        <v>70</v>
      </c>
      <c r="D9" s="463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>
        <f>'Summary excl EG'!N7</f>
        <v>28599.701641112093</v>
      </c>
      <c r="R9" s="464">
        <f>'Summary excl EG'!O7</f>
        <v>27029.888528705371</v>
      </c>
      <c r="S9" s="465">
        <f>'OEA_23 Oct 2023 from Report'!U23</f>
        <v>32516.070028544244</v>
      </c>
      <c r="T9" s="465">
        <f>'OEA_23 Oct 2023 from Report'!U24</f>
        <v>42921.212437678405</v>
      </c>
      <c r="U9" s="465">
        <f>'OEA_23 Oct 2023 from Report'!U25</f>
        <v>55668.812531668889</v>
      </c>
      <c r="V9" s="465">
        <f>'OEA_23 Oct 2023 from Report'!U26</f>
        <v>49600.911965716979</v>
      </c>
      <c r="W9" s="465">
        <f>'OEA_23 Oct 2023 from Report'!U27</f>
        <v>42011.972434962277</v>
      </c>
      <c r="X9" s="465">
        <f>'OEA_23 Oct 2023 from Report'!U28</f>
        <v>42264.044269572049</v>
      </c>
      <c r="Y9" s="465">
        <f>'OEA_23 Oct 2023 from Report'!U29</f>
        <v>44290.371957165225</v>
      </c>
      <c r="Z9" s="465">
        <f>'OEA_23 Oct 2023 from Report'!U30</f>
        <v>39987.906220705328</v>
      </c>
      <c r="AA9" s="516">
        <f t="shared" si="0"/>
        <v>218155.20684812186</v>
      </c>
      <c r="AB9" s="516">
        <f t="shared" si="1"/>
        <v>186735.68516770899</v>
      </c>
      <c r="AC9" s="516">
        <f t="shared" si="2"/>
        <v>31419.521680412872</v>
      </c>
      <c r="AD9" s="517">
        <f t="shared" si="3"/>
        <v>0.16825665459815409</v>
      </c>
      <c r="AE9" s="465">
        <f t="shared" si="4"/>
        <v>24800.45598285849</v>
      </c>
      <c r="AF9" s="465">
        <f t="shared" si="5"/>
        <v>24800.45598285849</v>
      </c>
      <c r="AG9" s="465">
        <f t="shared" si="6"/>
        <v>21005.986217481139</v>
      </c>
      <c r="AH9" s="465">
        <f t="shared" si="7"/>
        <v>21005.986217481139</v>
      </c>
      <c r="AI9" s="465">
        <f t="shared" si="8"/>
        <v>21132.022134786024</v>
      </c>
      <c r="AJ9" s="465">
        <f t="shared" si="9"/>
        <v>21132.022134786024</v>
      </c>
      <c r="AK9" s="465">
        <f t="shared" si="10"/>
        <v>22145.185978582613</v>
      </c>
      <c r="AL9" s="465">
        <f t="shared" si="11"/>
        <v>22145.185978582613</v>
      </c>
      <c r="AM9" s="465">
        <f t="shared" si="12"/>
        <v>19993.953110352664</v>
      </c>
      <c r="AN9" s="465">
        <f t="shared" si="13"/>
        <v>19993.953110352664</v>
      </c>
    </row>
    <row r="10" spans="1:40" ht="30">
      <c r="A10" s="195"/>
      <c r="B10" s="468" t="s">
        <v>67</v>
      </c>
      <c r="C10" s="462" t="s">
        <v>71</v>
      </c>
      <c r="D10" s="469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>
        <f t="shared" ref="Q10:Z10" si="14">SUM(Q7:Q9)</f>
        <v>63087.684533530984</v>
      </c>
      <c r="R10" s="471">
        <f t="shared" si="14"/>
        <v>66000.788145432831</v>
      </c>
      <c r="S10" s="471">
        <f t="shared" si="14"/>
        <v>72253.162321598473</v>
      </c>
      <c r="T10" s="471">
        <f t="shared" si="14"/>
        <v>81572.397961962721</v>
      </c>
      <c r="U10" s="471">
        <f t="shared" si="14"/>
        <v>91407.311944640911</v>
      </c>
      <c r="V10" s="471">
        <f t="shared" si="14"/>
        <v>85715.05976752397</v>
      </c>
      <c r="W10" s="471">
        <f t="shared" si="14"/>
        <v>81713.225183677831</v>
      </c>
      <c r="X10" s="471">
        <f t="shared" si="14"/>
        <v>84178.837640030455</v>
      </c>
      <c r="Y10" s="471">
        <f t="shared" si="14"/>
        <v>86931.207617042295</v>
      </c>
      <c r="Z10" s="471">
        <f t="shared" si="14"/>
        <v>83385.997260857941</v>
      </c>
      <c r="AA10" s="516">
        <f t="shared" si="0"/>
        <v>421924.32746913249</v>
      </c>
      <c r="AB10" s="516">
        <f t="shared" si="1"/>
        <v>374321.34490716597</v>
      </c>
      <c r="AC10" s="516">
        <f t="shared" si="2"/>
        <v>47602.982561966521</v>
      </c>
      <c r="AD10" s="517">
        <f t="shared" si="3"/>
        <v>0.12717143494387795</v>
      </c>
      <c r="AE10" s="465">
        <f t="shared" si="4"/>
        <v>42857.529883761985</v>
      </c>
      <c r="AF10" s="465">
        <f t="shared" si="5"/>
        <v>42857.529883761985</v>
      </c>
      <c r="AG10" s="465">
        <f t="shared" si="6"/>
        <v>40856.612591838915</v>
      </c>
      <c r="AH10" s="465">
        <f t="shared" si="7"/>
        <v>40856.612591838915</v>
      </c>
      <c r="AI10" s="465">
        <f t="shared" si="8"/>
        <v>42089.418820015228</v>
      </c>
      <c r="AJ10" s="465">
        <f t="shared" si="9"/>
        <v>42089.418820015228</v>
      </c>
      <c r="AK10" s="465">
        <f t="shared" si="10"/>
        <v>43465.603808521148</v>
      </c>
      <c r="AL10" s="465">
        <f t="shared" si="11"/>
        <v>43465.603808521148</v>
      </c>
      <c r="AM10" s="465">
        <f t="shared" si="12"/>
        <v>41692.998630428971</v>
      </c>
      <c r="AN10" s="465">
        <f t="shared" si="13"/>
        <v>41692.998630428971</v>
      </c>
    </row>
    <row r="11" spans="1:40">
      <c r="A11" s="196" t="s">
        <v>72</v>
      </c>
      <c r="B11" s="472"/>
      <c r="C11" s="462"/>
      <c r="D11" s="463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5"/>
      <c r="S11" s="465"/>
      <c r="T11" s="465"/>
      <c r="U11" s="465"/>
      <c r="V11" s="465"/>
      <c r="W11" s="465"/>
      <c r="X11" s="465"/>
      <c r="Y11" s="465"/>
      <c r="Z11" s="465"/>
      <c r="AA11" s="516"/>
      <c r="AB11" s="516"/>
      <c r="AC11" s="516"/>
      <c r="AD11" s="517"/>
      <c r="AE11" s="465"/>
      <c r="AF11" s="465"/>
      <c r="AG11" s="465"/>
      <c r="AH11" s="465"/>
      <c r="AI11" s="465"/>
      <c r="AJ11" s="465"/>
      <c r="AK11" s="465">
        <f t="shared" si="10"/>
        <v>0</v>
      </c>
      <c r="AL11" s="465">
        <f t="shared" si="11"/>
        <v>0</v>
      </c>
      <c r="AM11" s="465">
        <f t="shared" si="12"/>
        <v>0</v>
      </c>
      <c r="AN11" s="465">
        <f t="shared" si="13"/>
        <v>0</v>
      </c>
    </row>
    <row r="12" spans="1:40" ht="45">
      <c r="A12" s="194"/>
      <c r="B12" s="466" t="s">
        <v>67</v>
      </c>
      <c r="C12" s="467" t="s">
        <v>73</v>
      </c>
      <c r="D12" s="463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>
        <f>'Summary excl EG'!N8</f>
        <v>5774.2061281658907</v>
      </c>
      <c r="R12" s="464">
        <f>'Summary excl EG'!O8</f>
        <v>6861.8931950142269</v>
      </c>
      <c r="S12" s="465">
        <f>'OEA_23 Oct 2023 from Report'!I23</f>
        <v>9000.3351094196005</v>
      </c>
      <c r="T12" s="465">
        <f>'OEA_23 Oct 2023 from Report'!I24</f>
        <v>9146.0569308796912</v>
      </c>
      <c r="U12" s="465">
        <f>'OEA_23 Oct 2023 from Report'!I25</f>
        <v>8370.0534108151551</v>
      </c>
      <c r="V12" s="465">
        <f>'OEA_23 Oct 2023 from Report'!I26</f>
        <v>8698.8272581569618</v>
      </c>
      <c r="W12" s="465">
        <f>'OEA_23 Oct 2023 from Report'!I27</f>
        <v>8915.8392545007791</v>
      </c>
      <c r="X12" s="465">
        <f>'OEA_23 Oct 2023 from Report'!I28</f>
        <v>8180.3400039087774</v>
      </c>
      <c r="Y12" s="465">
        <f>'OEA_23 Oct 2023 from Report'!I29</f>
        <v>7105.6857798035935</v>
      </c>
      <c r="Z12" s="465">
        <f>'OEA_23 Oct 2023 from Report'!I30</f>
        <v>7065.8301404458625</v>
      </c>
      <c r="AA12" s="516">
        <f t="shared" si="0"/>
        <v>39966.522436815976</v>
      </c>
      <c r="AB12" s="516">
        <f t="shared" si="1"/>
        <v>39152.544774294569</v>
      </c>
      <c r="AC12" s="516">
        <f t="shared" si="2"/>
        <v>813.97766252140718</v>
      </c>
      <c r="AD12" s="517">
        <f t="shared" si="3"/>
        <v>2.0789904390986713E-2</v>
      </c>
      <c r="AE12" s="465">
        <f t="shared" si="4"/>
        <v>4349.4136290784809</v>
      </c>
      <c r="AF12" s="465">
        <f t="shared" si="5"/>
        <v>4349.4136290784809</v>
      </c>
      <c r="AG12" s="465">
        <f t="shared" si="6"/>
        <v>4457.9196272503896</v>
      </c>
      <c r="AH12" s="465">
        <f t="shared" si="7"/>
        <v>4457.9196272503896</v>
      </c>
      <c r="AI12" s="465">
        <f t="shared" si="8"/>
        <v>4090.1700019543887</v>
      </c>
      <c r="AJ12" s="465">
        <f t="shared" si="9"/>
        <v>4090.1700019543887</v>
      </c>
      <c r="AK12" s="465">
        <f t="shared" si="10"/>
        <v>3552.8428899017968</v>
      </c>
      <c r="AL12" s="465">
        <f t="shared" si="11"/>
        <v>3552.8428899017968</v>
      </c>
      <c r="AM12" s="465">
        <f t="shared" si="12"/>
        <v>3532.9150702229313</v>
      </c>
      <c r="AN12" s="465">
        <f t="shared" si="13"/>
        <v>3532.9150702229313</v>
      </c>
    </row>
    <row r="13" spans="1:40" ht="30">
      <c r="A13" s="194"/>
      <c r="B13" s="466"/>
      <c r="C13" s="462" t="s">
        <v>74</v>
      </c>
      <c r="D13" s="463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>
        <f t="shared" ref="Q13:Z13" si="15">SUM(Q12)</f>
        <v>5774.2061281658907</v>
      </c>
      <c r="R13" s="471">
        <f t="shared" si="15"/>
        <v>6861.8931950142269</v>
      </c>
      <c r="S13" s="471">
        <f t="shared" si="15"/>
        <v>9000.3351094196005</v>
      </c>
      <c r="T13" s="471">
        <f t="shared" si="15"/>
        <v>9146.0569308796912</v>
      </c>
      <c r="U13" s="471">
        <f t="shared" si="15"/>
        <v>8370.0534108151551</v>
      </c>
      <c r="V13" s="471">
        <f t="shared" si="15"/>
        <v>8698.8272581569618</v>
      </c>
      <c r="W13" s="471">
        <f t="shared" si="15"/>
        <v>8915.8392545007791</v>
      </c>
      <c r="X13" s="471">
        <f t="shared" si="15"/>
        <v>8180.3400039087774</v>
      </c>
      <c r="Y13" s="471">
        <f t="shared" si="15"/>
        <v>7105.6857798035935</v>
      </c>
      <c r="Z13" s="471">
        <f t="shared" si="15"/>
        <v>7065.8301404458625</v>
      </c>
      <c r="AA13" s="516">
        <f t="shared" si="0"/>
        <v>39966.522436815976</v>
      </c>
      <c r="AB13" s="516">
        <f t="shared" si="1"/>
        <v>39152.544774294569</v>
      </c>
      <c r="AC13" s="516">
        <f t="shared" si="2"/>
        <v>813.97766252140718</v>
      </c>
      <c r="AD13" s="517">
        <f t="shared" si="3"/>
        <v>2.0789904390986713E-2</v>
      </c>
      <c r="AE13" s="465">
        <f t="shared" si="4"/>
        <v>4349.4136290784809</v>
      </c>
      <c r="AF13" s="465">
        <f t="shared" si="5"/>
        <v>4349.4136290784809</v>
      </c>
      <c r="AG13" s="465">
        <f t="shared" si="6"/>
        <v>4457.9196272503896</v>
      </c>
      <c r="AH13" s="465">
        <f t="shared" si="7"/>
        <v>4457.9196272503896</v>
      </c>
      <c r="AI13" s="465">
        <f t="shared" si="8"/>
        <v>4090.1700019543887</v>
      </c>
      <c r="AJ13" s="465">
        <f t="shared" si="9"/>
        <v>4090.1700019543887</v>
      </c>
      <c r="AK13" s="465">
        <f t="shared" si="10"/>
        <v>3552.8428899017968</v>
      </c>
      <c r="AL13" s="465">
        <f t="shared" si="11"/>
        <v>3552.8428899017968</v>
      </c>
      <c r="AM13" s="465">
        <f t="shared" si="12"/>
        <v>3532.9150702229313</v>
      </c>
      <c r="AN13" s="465">
        <f t="shared" si="13"/>
        <v>3532.9150702229313</v>
      </c>
    </row>
    <row r="14" spans="1:40">
      <c r="A14" s="195"/>
      <c r="B14" s="468"/>
      <c r="C14" s="462"/>
      <c r="D14" s="469"/>
      <c r="E14" s="470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1"/>
      <c r="S14" s="471"/>
      <c r="T14" s="471"/>
      <c r="U14" s="471"/>
      <c r="V14" s="471"/>
      <c r="W14" s="471"/>
      <c r="X14" s="471"/>
      <c r="Y14" s="471"/>
      <c r="Z14" s="471"/>
      <c r="AA14" s="516"/>
      <c r="AB14" s="516"/>
      <c r="AC14" s="516"/>
      <c r="AD14" s="517"/>
      <c r="AE14" s="465"/>
      <c r="AF14" s="465"/>
      <c r="AG14" s="465"/>
      <c r="AH14" s="465"/>
      <c r="AI14" s="465"/>
      <c r="AJ14" s="465"/>
      <c r="AK14" s="465">
        <f t="shared" si="10"/>
        <v>0</v>
      </c>
      <c r="AL14" s="465">
        <f t="shared" si="11"/>
        <v>0</v>
      </c>
      <c r="AM14" s="465">
        <f t="shared" si="12"/>
        <v>0</v>
      </c>
      <c r="AN14" s="465">
        <f t="shared" si="13"/>
        <v>0</v>
      </c>
    </row>
    <row r="15" spans="1:40">
      <c r="A15" s="569" t="s">
        <v>75</v>
      </c>
      <c r="B15" s="570"/>
      <c r="C15" s="571"/>
      <c r="D15" s="469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>
        <f t="shared" ref="Q15:Z15" si="16">SUM(Q10,Q13)</f>
        <v>68861.890661696874</v>
      </c>
      <c r="R15" s="474">
        <f t="shared" si="16"/>
        <v>72862.681340447059</v>
      </c>
      <c r="S15" s="474">
        <f t="shared" si="16"/>
        <v>81253.49743101807</v>
      </c>
      <c r="T15" s="474">
        <f t="shared" si="16"/>
        <v>90718.454892842419</v>
      </c>
      <c r="U15" s="474">
        <f t="shared" si="16"/>
        <v>99777.365355456073</v>
      </c>
      <c r="V15" s="474">
        <f t="shared" si="16"/>
        <v>94413.887025680931</v>
      </c>
      <c r="W15" s="474">
        <f t="shared" si="16"/>
        <v>90629.064438178611</v>
      </c>
      <c r="X15" s="474">
        <f t="shared" si="16"/>
        <v>92359.177643939227</v>
      </c>
      <c r="Y15" s="474">
        <f t="shared" si="16"/>
        <v>94036.893396845888</v>
      </c>
      <c r="Z15" s="474">
        <f t="shared" si="16"/>
        <v>90451.827401303803</v>
      </c>
      <c r="AA15" s="516">
        <f t="shared" si="0"/>
        <v>461890.84990594845</v>
      </c>
      <c r="AB15" s="516">
        <f t="shared" si="1"/>
        <v>413473.88968146051</v>
      </c>
      <c r="AC15" s="516">
        <f t="shared" si="2"/>
        <v>48416.960224487935</v>
      </c>
      <c r="AD15" s="517">
        <f t="shared" si="3"/>
        <v>0.11709798715896724</v>
      </c>
      <c r="AE15" s="465">
        <f t="shared" si="4"/>
        <v>47206.943512840466</v>
      </c>
      <c r="AF15" s="465">
        <f t="shared" si="5"/>
        <v>47206.943512840466</v>
      </c>
      <c r="AG15" s="465">
        <f t="shared" si="6"/>
        <v>45314.532219089306</v>
      </c>
      <c r="AH15" s="465">
        <f t="shared" si="7"/>
        <v>45314.532219089306</v>
      </c>
      <c r="AI15" s="465">
        <f t="shared" si="8"/>
        <v>46179.588821969613</v>
      </c>
      <c r="AJ15" s="465">
        <f t="shared" si="9"/>
        <v>46179.588821969613</v>
      </c>
      <c r="AK15" s="465">
        <f t="shared" si="10"/>
        <v>47018.446698422944</v>
      </c>
      <c r="AL15" s="465">
        <f t="shared" si="11"/>
        <v>47018.446698422944</v>
      </c>
      <c r="AM15" s="465">
        <f t="shared" si="12"/>
        <v>45225.913700651901</v>
      </c>
      <c r="AN15" s="465">
        <f t="shared" si="13"/>
        <v>45225.913700651901</v>
      </c>
    </row>
    <row r="16" spans="1:40">
      <c r="A16" s="572" t="s">
        <v>67</v>
      </c>
      <c r="B16" s="573"/>
      <c r="C16" s="574"/>
      <c r="D16" s="463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5"/>
      <c r="S16" s="465"/>
      <c r="T16" s="465"/>
      <c r="U16" s="465"/>
      <c r="V16" s="465"/>
      <c r="W16" s="465"/>
      <c r="X16" s="465"/>
      <c r="Y16" s="465"/>
      <c r="Z16" s="465"/>
      <c r="AA16" s="516"/>
      <c r="AB16" s="516"/>
      <c r="AC16" s="516"/>
      <c r="AD16" s="517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</row>
    <row r="17" spans="1:40">
      <c r="A17" s="197" t="s">
        <v>76</v>
      </c>
      <c r="B17" s="468"/>
      <c r="C17" s="462"/>
      <c r="D17" s="469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1"/>
      <c r="S17" s="471"/>
      <c r="T17" s="471"/>
      <c r="U17" s="471"/>
      <c r="V17" s="471"/>
      <c r="W17" s="471"/>
      <c r="X17" s="471"/>
      <c r="Y17" s="471"/>
      <c r="Z17" s="471"/>
      <c r="AA17" s="516"/>
      <c r="AB17" s="516"/>
      <c r="AC17" s="516"/>
      <c r="AD17" s="517"/>
      <c r="AE17" s="471"/>
      <c r="AF17" s="471"/>
      <c r="AG17" s="471"/>
      <c r="AH17" s="471"/>
      <c r="AI17" s="471"/>
      <c r="AJ17" s="471"/>
      <c r="AK17" s="471"/>
      <c r="AL17" s="471"/>
      <c r="AM17" s="471"/>
      <c r="AN17" s="471"/>
    </row>
    <row r="18" spans="1:40" ht="45">
      <c r="A18" s="198"/>
      <c r="B18" s="468"/>
      <c r="C18" s="467" t="s">
        <v>77</v>
      </c>
      <c r="D18" s="475"/>
      <c r="E18" s="476"/>
      <c r="F18" s="476"/>
      <c r="G18" s="476"/>
      <c r="H18" s="476"/>
      <c r="I18" s="476"/>
      <c r="J18" s="476"/>
      <c r="K18" s="476"/>
      <c r="L18" s="476"/>
      <c r="M18" s="477"/>
      <c r="N18" s="477"/>
      <c r="O18" s="477"/>
      <c r="P18" s="477"/>
      <c r="Q18" s="477">
        <f t="shared" ref="Q18:S19" si="17">(Q27/Q7)*-1</f>
        <v>0.27053976435539678</v>
      </c>
      <c r="R18" s="477">
        <f t="shared" si="17"/>
        <v>0.23417781702671414</v>
      </c>
      <c r="S18" s="477">
        <f t="shared" si="17"/>
        <v>0.21820969140445065</v>
      </c>
      <c r="T18" s="478">
        <v>0.24</v>
      </c>
      <c r="U18" s="478">
        <v>0.24</v>
      </c>
      <c r="V18" s="478">
        <v>0.24</v>
      </c>
      <c r="W18" s="478">
        <v>0.24</v>
      </c>
      <c r="X18" s="478">
        <v>0.24</v>
      </c>
      <c r="Y18" s="478">
        <v>0.24</v>
      </c>
      <c r="Z18" s="478">
        <v>0.24</v>
      </c>
      <c r="AA18" s="516"/>
      <c r="AB18" s="516"/>
      <c r="AC18" s="516"/>
      <c r="AD18" s="517"/>
      <c r="AE18" s="478">
        <v>0.24</v>
      </c>
      <c r="AF18" s="478">
        <v>0.24</v>
      </c>
      <c r="AG18" s="478">
        <v>0.24</v>
      </c>
      <c r="AH18" s="478">
        <v>0.24</v>
      </c>
      <c r="AI18" s="478">
        <v>0.24</v>
      </c>
      <c r="AJ18" s="478">
        <v>0.24</v>
      </c>
      <c r="AK18" s="478">
        <v>0.24</v>
      </c>
      <c r="AL18" s="478">
        <v>0.24</v>
      </c>
      <c r="AM18" s="478">
        <v>0.24</v>
      </c>
      <c r="AN18" s="478">
        <v>0.24</v>
      </c>
    </row>
    <row r="19" spans="1:40" ht="45">
      <c r="A19" s="198"/>
      <c r="B19" s="468"/>
      <c r="C19" s="467" t="s">
        <v>78</v>
      </c>
      <c r="D19" s="475"/>
      <c r="E19" s="476"/>
      <c r="F19" s="476"/>
      <c r="G19" s="476"/>
      <c r="H19" s="476"/>
      <c r="I19" s="476"/>
      <c r="J19" s="476"/>
      <c r="K19" s="476"/>
      <c r="L19" s="476"/>
      <c r="M19" s="477"/>
      <c r="N19" s="477"/>
      <c r="O19" s="477"/>
      <c r="P19" s="477"/>
      <c r="Q19" s="477">
        <f t="shared" si="17"/>
        <v>0.46066949759864106</v>
      </c>
      <c r="R19" s="477">
        <f t="shared" si="17"/>
        <v>0.38379055943554846</v>
      </c>
      <c r="S19" s="477">
        <f t="shared" si="17"/>
        <v>0.41163909768213708</v>
      </c>
      <c r="T19" s="478">
        <v>0.38</v>
      </c>
      <c r="U19" s="478">
        <v>0.38</v>
      </c>
      <c r="V19" s="478">
        <v>0.38</v>
      </c>
      <c r="W19" s="478">
        <v>0.38</v>
      </c>
      <c r="X19" s="478">
        <v>0.38</v>
      </c>
      <c r="Y19" s="478">
        <v>0.38</v>
      </c>
      <c r="Z19" s="478">
        <v>0.38</v>
      </c>
      <c r="AA19" s="516"/>
      <c r="AB19" s="516"/>
      <c r="AC19" s="516"/>
      <c r="AD19" s="517"/>
      <c r="AE19" s="478">
        <v>0.38</v>
      </c>
      <c r="AF19" s="478">
        <v>0.38</v>
      </c>
      <c r="AG19" s="478">
        <v>0.38</v>
      </c>
      <c r="AH19" s="478">
        <v>0.38</v>
      </c>
      <c r="AI19" s="478">
        <v>0.38</v>
      </c>
      <c r="AJ19" s="478">
        <v>0.38</v>
      </c>
      <c r="AK19" s="478">
        <v>0.38</v>
      </c>
      <c r="AL19" s="478">
        <v>0.38</v>
      </c>
      <c r="AM19" s="478">
        <v>0.38</v>
      </c>
      <c r="AN19" s="478">
        <v>0.38</v>
      </c>
    </row>
    <row r="20" spans="1:40" ht="30">
      <c r="A20" s="198"/>
      <c r="B20" s="468"/>
      <c r="C20" s="467" t="s">
        <v>79</v>
      </c>
      <c r="D20" s="475"/>
      <c r="E20" s="476"/>
      <c r="F20" s="476"/>
      <c r="G20" s="476"/>
      <c r="H20" s="476"/>
      <c r="I20" s="476"/>
      <c r="J20" s="476"/>
      <c r="K20" s="476"/>
      <c r="L20" s="476"/>
      <c r="M20" s="477"/>
      <c r="N20" s="477"/>
      <c r="O20" s="477"/>
      <c r="P20" s="477"/>
      <c r="Q20" s="477">
        <f>(Q29/Q9)*-1</f>
        <v>0.83656145961519979</v>
      </c>
      <c r="R20" s="477">
        <f>(R29/R9)*-1</f>
        <v>0.95089715482479509</v>
      </c>
      <c r="S20" s="477">
        <f>(S29/S9)*-1</f>
        <v>0.86236916352484527</v>
      </c>
      <c r="T20" s="478">
        <v>0.88</v>
      </c>
      <c r="U20" s="478">
        <v>0.88</v>
      </c>
      <c r="V20" s="478">
        <v>0.88</v>
      </c>
      <c r="W20" s="478">
        <v>0.88</v>
      </c>
      <c r="X20" s="478">
        <v>0.88</v>
      </c>
      <c r="Y20" s="478">
        <v>0.88</v>
      </c>
      <c r="Z20" s="478">
        <v>0.88</v>
      </c>
      <c r="AA20" s="516"/>
      <c r="AB20" s="516"/>
      <c r="AC20" s="516"/>
      <c r="AD20" s="517"/>
      <c r="AE20" s="478">
        <v>0.88</v>
      </c>
      <c r="AF20" s="478">
        <v>0.88</v>
      </c>
      <c r="AG20" s="478">
        <v>0.88</v>
      </c>
      <c r="AH20" s="478">
        <v>0.88</v>
      </c>
      <c r="AI20" s="478">
        <v>0.88</v>
      </c>
      <c r="AJ20" s="478">
        <v>0.88</v>
      </c>
      <c r="AK20" s="478">
        <v>0.88</v>
      </c>
      <c r="AL20" s="478">
        <v>0.88</v>
      </c>
      <c r="AM20" s="478">
        <v>0.88</v>
      </c>
      <c r="AN20" s="478">
        <v>0.88</v>
      </c>
    </row>
    <row r="21" spans="1:40">
      <c r="A21" s="198"/>
      <c r="B21" s="468"/>
      <c r="C21" s="467"/>
      <c r="D21" s="475"/>
      <c r="E21" s="476"/>
      <c r="F21" s="476"/>
      <c r="G21" s="476"/>
      <c r="H21" s="476"/>
      <c r="I21" s="476"/>
      <c r="J21" s="476"/>
      <c r="K21" s="476"/>
      <c r="L21" s="476"/>
      <c r="M21" s="477"/>
      <c r="N21" s="477"/>
      <c r="O21" s="477"/>
      <c r="P21" s="477"/>
      <c r="Q21" s="477"/>
      <c r="R21" s="478"/>
      <c r="S21" s="478"/>
      <c r="T21" s="478"/>
      <c r="U21" s="478"/>
      <c r="V21" s="478"/>
      <c r="W21" s="478"/>
      <c r="X21" s="478"/>
      <c r="Y21" s="478"/>
      <c r="Z21" s="478"/>
      <c r="AA21" s="516"/>
      <c r="AB21" s="516"/>
      <c r="AC21" s="516"/>
      <c r="AD21" s="517"/>
      <c r="AE21" s="478"/>
      <c r="AF21" s="478"/>
      <c r="AG21" s="478"/>
      <c r="AH21" s="478"/>
      <c r="AI21" s="478"/>
      <c r="AJ21" s="478"/>
      <c r="AK21" s="478"/>
      <c r="AL21" s="478"/>
      <c r="AM21" s="478"/>
      <c r="AN21" s="478"/>
    </row>
    <row r="22" spans="1:40" ht="30">
      <c r="A22" s="198"/>
      <c r="B22" s="468"/>
      <c r="C22" s="467" t="s">
        <v>80</v>
      </c>
      <c r="D22" s="475"/>
      <c r="E22" s="476"/>
      <c r="F22" s="476"/>
      <c r="G22" s="476"/>
      <c r="H22" s="476"/>
      <c r="I22" s="476"/>
      <c r="J22" s="476"/>
      <c r="K22" s="476"/>
      <c r="L22" s="476"/>
      <c r="M22" s="477"/>
      <c r="N22" s="477"/>
      <c r="O22" s="477"/>
      <c r="P22" s="477"/>
      <c r="Q22" s="477"/>
      <c r="R22" s="478"/>
      <c r="S22" s="478"/>
      <c r="T22" s="478"/>
      <c r="U22" s="478"/>
      <c r="V22" s="478"/>
      <c r="W22" s="478"/>
      <c r="X22" s="478"/>
      <c r="Y22" s="478"/>
      <c r="Z22" s="478"/>
      <c r="AA22" s="516"/>
      <c r="AB22" s="516"/>
      <c r="AC22" s="516"/>
      <c r="AD22" s="517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</row>
    <row r="23" spans="1:40" ht="45">
      <c r="A23" s="198"/>
      <c r="B23" s="468"/>
      <c r="C23" s="480" t="s">
        <v>81</v>
      </c>
      <c r="D23" s="475"/>
      <c r="E23" s="476"/>
      <c r="F23" s="476"/>
      <c r="G23" s="476"/>
      <c r="H23" s="476"/>
      <c r="I23" s="476"/>
      <c r="J23" s="476"/>
      <c r="K23" s="476"/>
      <c r="L23" s="476"/>
      <c r="M23" s="477"/>
      <c r="N23" s="477"/>
      <c r="O23" s="477"/>
      <c r="P23" s="477"/>
      <c r="Q23" s="477">
        <f t="shared" ref="Q23:S23" si="18">(Q32/Q13)*-1</f>
        <v>2.0770618311030611</v>
      </c>
      <c r="R23" s="477">
        <f t="shared" si="18"/>
        <v>1.5623557741587639</v>
      </c>
      <c r="S23" s="477">
        <f t="shared" si="18"/>
        <v>1.3032263354236453</v>
      </c>
      <c r="T23" s="478">
        <v>1.43</v>
      </c>
      <c r="U23" s="478">
        <v>1.43</v>
      </c>
      <c r="V23" s="478">
        <v>1.43</v>
      </c>
      <c r="W23" s="478">
        <v>1.43</v>
      </c>
      <c r="X23" s="478">
        <v>1.43</v>
      </c>
      <c r="Y23" s="478">
        <v>1.43</v>
      </c>
      <c r="Z23" s="478">
        <v>1.43</v>
      </c>
      <c r="AA23" s="516"/>
      <c r="AB23" s="516"/>
      <c r="AC23" s="516"/>
      <c r="AD23" s="517"/>
      <c r="AE23" s="478">
        <v>1.43</v>
      </c>
      <c r="AF23" s="478">
        <v>1.43</v>
      </c>
      <c r="AG23" s="478">
        <v>1.43</v>
      </c>
      <c r="AH23" s="478">
        <v>1.43</v>
      </c>
      <c r="AI23" s="478">
        <v>1.43</v>
      </c>
      <c r="AJ23" s="478">
        <v>1.43</v>
      </c>
      <c r="AK23" s="478">
        <v>1.43</v>
      </c>
      <c r="AL23" s="478">
        <v>1.43</v>
      </c>
      <c r="AM23" s="478">
        <v>1.43</v>
      </c>
      <c r="AN23" s="478">
        <v>1.43</v>
      </c>
    </row>
    <row r="24" spans="1:40" ht="60">
      <c r="A24" s="198"/>
      <c r="B24" s="468"/>
      <c r="C24" s="480" t="s">
        <v>82</v>
      </c>
      <c r="D24" s="475"/>
      <c r="E24" s="481"/>
      <c r="F24" s="481"/>
      <c r="G24" s="481"/>
      <c r="H24" s="481"/>
      <c r="I24" s="481"/>
      <c r="J24" s="481"/>
      <c r="K24" s="481"/>
      <c r="L24" s="481"/>
      <c r="M24" s="482"/>
      <c r="N24" s="482"/>
      <c r="O24" s="482"/>
      <c r="P24" s="482"/>
      <c r="Q24" s="482">
        <f t="shared" ref="Q24:Z24" si="19">(Q36/Q13)*-1</f>
        <v>-1.9912214640061903</v>
      </c>
      <c r="R24" s="482">
        <f t="shared" si="19"/>
        <v>-1.628705035531645</v>
      </c>
      <c r="S24" s="482">
        <f t="shared" si="19"/>
        <v>-0.55162328706741681</v>
      </c>
      <c r="T24" s="483">
        <f t="shared" si="19"/>
        <v>0.2080526532404752</v>
      </c>
      <c r="U24" s="483">
        <f t="shared" si="19"/>
        <v>9.4763598096135077E-2</v>
      </c>
      <c r="V24" s="483">
        <f t="shared" si="19"/>
        <v>0.14522911441652403</v>
      </c>
      <c r="W24" s="483">
        <f t="shared" si="19"/>
        <v>0.17650050533848771</v>
      </c>
      <c r="X24" s="483">
        <f t="shared" si="19"/>
        <v>6.379761786676115E-2</v>
      </c>
      <c r="Y24" s="483">
        <f t="shared" si="19"/>
        <v>-0.14282496669996472</v>
      </c>
      <c r="Z24" s="483">
        <f t="shared" si="19"/>
        <v>-0.15169666944396451</v>
      </c>
      <c r="AA24" s="516"/>
      <c r="AB24" s="516"/>
      <c r="AC24" s="516"/>
      <c r="AD24" s="517"/>
      <c r="AE24" s="483">
        <f t="shared" ref="AE24:AN24" si="20">(AE36/AE13)*-1</f>
        <v>0.14522911441652403</v>
      </c>
      <c r="AF24" s="483">
        <f t="shared" si="20"/>
        <v>0.14522911441652403</v>
      </c>
      <c r="AG24" s="483">
        <f t="shared" si="20"/>
        <v>0.17650050533848771</v>
      </c>
      <c r="AH24" s="483">
        <f t="shared" si="20"/>
        <v>0.17650050533848771</v>
      </c>
      <c r="AI24" s="483">
        <f t="shared" si="20"/>
        <v>6.379761786676115E-2</v>
      </c>
      <c r="AJ24" s="483">
        <f t="shared" si="20"/>
        <v>6.379761786676115E-2</v>
      </c>
      <c r="AK24" s="483">
        <f t="shared" si="20"/>
        <v>-0.14282496669996472</v>
      </c>
      <c r="AL24" s="483">
        <f t="shared" si="20"/>
        <v>-0.14282496669996472</v>
      </c>
      <c r="AM24" s="483">
        <f t="shared" si="20"/>
        <v>-0.15169666944396451</v>
      </c>
      <c r="AN24" s="483">
        <f t="shared" si="20"/>
        <v>-0.15169666944396451</v>
      </c>
    </row>
    <row r="25" spans="1:40">
      <c r="A25" s="575"/>
      <c r="B25" s="576"/>
      <c r="C25" s="577"/>
      <c r="D25" s="469"/>
      <c r="E25" s="470"/>
      <c r="F25" s="470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1"/>
      <c r="S25" s="471"/>
      <c r="T25" s="471"/>
      <c r="U25" s="471"/>
      <c r="V25" s="471"/>
      <c r="W25" s="471"/>
      <c r="X25" s="471"/>
      <c r="Y25" s="471"/>
      <c r="Z25" s="471"/>
      <c r="AA25" s="516"/>
      <c r="AB25" s="516"/>
      <c r="AC25" s="516"/>
      <c r="AD25" s="517"/>
      <c r="AE25" s="471"/>
      <c r="AF25" s="471"/>
      <c r="AG25" s="471"/>
      <c r="AH25" s="471"/>
      <c r="AI25" s="471"/>
      <c r="AJ25" s="471"/>
      <c r="AK25" s="471"/>
      <c r="AL25" s="471"/>
      <c r="AM25" s="471"/>
      <c r="AN25" s="471"/>
    </row>
    <row r="26" spans="1:40">
      <c r="A26" s="199" t="s">
        <v>83</v>
      </c>
      <c r="B26" s="472"/>
      <c r="C26" s="462"/>
      <c r="D26" s="463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5"/>
      <c r="S26" s="465"/>
      <c r="T26" s="465"/>
      <c r="U26" s="465"/>
      <c r="V26" s="465"/>
      <c r="W26" s="465"/>
      <c r="X26" s="465"/>
      <c r="Y26" s="465"/>
      <c r="Z26" s="465"/>
      <c r="AA26" s="516"/>
      <c r="AB26" s="516"/>
      <c r="AC26" s="516"/>
      <c r="AD26" s="517"/>
      <c r="AE26" s="465"/>
      <c r="AF26" s="465"/>
      <c r="AG26" s="465"/>
      <c r="AH26" s="465"/>
      <c r="AI26" s="465"/>
      <c r="AJ26" s="465"/>
      <c r="AK26" s="465"/>
      <c r="AL26" s="465"/>
      <c r="AM26" s="465"/>
      <c r="AN26" s="465"/>
    </row>
    <row r="27" spans="1:40" ht="45">
      <c r="A27" s="200"/>
      <c r="B27" s="466" t="s">
        <v>67</v>
      </c>
      <c r="C27" s="467" t="s">
        <v>68</v>
      </c>
      <c r="D27" s="484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>
        <f>'Summary excl EG'!N72</f>
        <v>-5212.4465008440875</v>
      </c>
      <c r="R27" s="485">
        <f>'Summary excl EG'!O72</f>
        <v>-4668.3283614912934</v>
      </c>
      <c r="S27" s="485">
        <f>'Summary excl EG'!P72</f>
        <v>-4813.1766494521025</v>
      </c>
      <c r="T27" s="486">
        <f t="shared" ref="T27:Z29" si="21">((T7*T18)*-1)</f>
        <v>-4353.0062783743706</v>
      </c>
      <c r="U27" s="486">
        <f t="shared" si="21"/>
        <v>-4000.6481819854253</v>
      </c>
      <c r="V27" s="486">
        <f t="shared" si="21"/>
        <v>-4313.6648724860715</v>
      </c>
      <c r="W27" s="486">
        <f t="shared" si="21"/>
        <v>-4660.7078975376262</v>
      </c>
      <c r="X27" s="486">
        <f t="shared" si="21"/>
        <v>-4812.0878240768634</v>
      </c>
      <c r="Y27" s="486">
        <f t="shared" si="21"/>
        <v>-4864.4996065941423</v>
      </c>
      <c r="Z27" s="486">
        <f t="shared" si="21"/>
        <v>-4853.2596499673155</v>
      </c>
      <c r="AA27" s="516">
        <f t="shared" si="0"/>
        <v>-23504.219850662019</v>
      </c>
      <c r="AB27" s="516">
        <f t="shared" si="1"/>
        <v>-23047.605972147277</v>
      </c>
      <c r="AC27" s="516">
        <f t="shared" ref="AC27:AC43" si="22">AA27-AB27</f>
        <v>-456.61387851474137</v>
      </c>
      <c r="AD27" s="517">
        <f t="shared" ref="AD27:AD43" si="23">(AA27/AB27)-1</f>
        <v>1.9811770431451992E-2</v>
      </c>
      <c r="AE27" s="486">
        <f t="shared" ref="AE27:AM27" si="24">((AE7*AE18)*-1)</f>
        <v>-2156.8324362430358</v>
      </c>
      <c r="AF27" s="486">
        <f t="shared" ref="AF27" si="25">((AF7*AF18)*-1)</f>
        <v>-2156.8324362430358</v>
      </c>
      <c r="AG27" s="486">
        <f t="shared" si="24"/>
        <v>-2330.3539487688131</v>
      </c>
      <c r="AH27" s="486">
        <f t="shared" ref="AH27" si="26">((AH7*AH18)*-1)</f>
        <v>-2330.3539487688131</v>
      </c>
      <c r="AI27" s="486">
        <f t="shared" si="24"/>
        <v>-2406.0439120384317</v>
      </c>
      <c r="AJ27" s="486">
        <f t="shared" ref="AJ27" si="27">((AJ7*AJ18)*-1)</f>
        <v>-2406.0439120384317</v>
      </c>
      <c r="AK27" s="486">
        <f t="shared" si="24"/>
        <v>-2432.2498032970711</v>
      </c>
      <c r="AL27" s="486">
        <f t="shared" ref="AL27" si="28">((AL7*AL18)*-1)</f>
        <v>-2432.2498032970711</v>
      </c>
      <c r="AM27" s="486">
        <f t="shared" si="24"/>
        <v>-2426.6298249836577</v>
      </c>
      <c r="AN27" s="486">
        <f t="shared" ref="AN27" si="29">((AN7*AN18)*-1)</f>
        <v>-2426.6298249836577</v>
      </c>
    </row>
    <row r="28" spans="1:40" ht="45">
      <c r="A28" s="200"/>
      <c r="B28" s="466"/>
      <c r="C28" s="467" t="s">
        <v>69</v>
      </c>
      <c r="D28" s="484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>
        <f>'Summary excl EG'!N73</f>
        <v>-7011.9159981875346</v>
      </c>
      <c r="R28" s="485">
        <f>'Summary excl EG'!O73</f>
        <v>-7305.8090864401947</v>
      </c>
      <c r="S28" s="485">
        <f>'Summary excl EG'!P73</f>
        <v>-7277.5805165937672</v>
      </c>
      <c r="T28" s="486">
        <f t="shared" si="21"/>
        <v>-7795.1905584686183</v>
      </c>
      <c r="U28" s="486">
        <f t="shared" si="21"/>
        <v>-7246.2701554524438</v>
      </c>
      <c r="V28" s="486">
        <f t="shared" si="21"/>
        <v>-6893.4067832503752</v>
      </c>
      <c r="W28" s="486">
        <f t="shared" si="21"/>
        <v>-7707.0218734106656</v>
      </c>
      <c r="X28" s="486">
        <f t="shared" si="21"/>
        <v>-8308.4824259858306</v>
      </c>
      <c r="Y28" s="486">
        <f t="shared" si="21"/>
        <v>-8501.393173645889</v>
      </c>
      <c r="Z28" s="486">
        <f t="shared" si="21"/>
        <v>-8806.9468161430759</v>
      </c>
      <c r="AA28" s="516">
        <f t="shared" si="0"/>
        <v>-40217.251072435836</v>
      </c>
      <c r="AB28" s="516">
        <f t="shared" si="1"/>
        <v>-36636.766315142559</v>
      </c>
      <c r="AC28" s="516">
        <f t="shared" si="22"/>
        <v>-3580.4847572932777</v>
      </c>
      <c r="AD28" s="517">
        <f t="shared" si="23"/>
        <v>9.772927901154338E-2</v>
      </c>
      <c r="AE28" s="486">
        <f t="shared" ref="AE28:AM28" si="30">((AE8*AE19)*-1)</f>
        <v>-3446.7033916251876</v>
      </c>
      <c r="AF28" s="486">
        <f t="shared" ref="AF28" si="31">((AF8*AF19)*-1)</f>
        <v>-3446.7033916251876</v>
      </c>
      <c r="AG28" s="486">
        <f t="shared" si="30"/>
        <v>-3853.5109367053328</v>
      </c>
      <c r="AH28" s="486">
        <f t="shared" ref="AH28" si="32">((AH8*AH19)*-1)</f>
        <v>-3853.5109367053328</v>
      </c>
      <c r="AI28" s="486">
        <f t="shared" si="30"/>
        <v>-4154.2412129929153</v>
      </c>
      <c r="AJ28" s="486">
        <f t="shared" ref="AJ28" si="33">((AJ8*AJ19)*-1)</f>
        <v>-4154.2412129929153</v>
      </c>
      <c r="AK28" s="486">
        <f t="shared" si="30"/>
        <v>-4250.6965868229445</v>
      </c>
      <c r="AL28" s="486">
        <f t="shared" ref="AL28" si="34">((AL8*AL19)*-1)</f>
        <v>-4250.6965868229445</v>
      </c>
      <c r="AM28" s="486">
        <f t="shared" si="30"/>
        <v>-4403.473408071538</v>
      </c>
      <c r="AN28" s="486">
        <f t="shared" ref="AN28" si="35">((AN8*AN19)*-1)</f>
        <v>-4403.473408071538</v>
      </c>
    </row>
    <row r="29" spans="1:40" ht="30">
      <c r="A29" s="200"/>
      <c r="B29" s="466" t="s">
        <v>67</v>
      </c>
      <c r="C29" s="467" t="s">
        <v>70</v>
      </c>
      <c r="D29" s="484"/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>
        <f>'Summary excl EG'!N74</f>
        <v>-23925.408149447958</v>
      </c>
      <c r="R29" s="485">
        <f>'Summary excl EG'!O74</f>
        <v>-25702.644097177305</v>
      </c>
      <c r="S29" s="485">
        <f>'Summary excl EG'!P74</f>
        <v>-28040.85611163099</v>
      </c>
      <c r="T29" s="486">
        <f t="shared" si="21"/>
        <v>-37770.666945156998</v>
      </c>
      <c r="U29" s="486">
        <f t="shared" si="21"/>
        <v>-48988.555027868621</v>
      </c>
      <c r="V29" s="486">
        <f t="shared" si="21"/>
        <v>-43648.802529830944</v>
      </c>
      <c r="W29" s="486">
        <f t="shared" si="21"/>
        <v>-36970.535742766806</v>
      </c>
      <c r="X29" s="486">
        <f t="shared" si="21"/>
        <v>-37192.358957223405</v>
      </c>
      <c r="Y29" s="486">
        <f t="shared" si="21"/>
        <v>-38975.527322305396</v>
      </c>
      <c r="Z29" s="486">
        <f t="shared" si="21"/>
        <v>-35189.357474220691</v>
      </c>
      <c r="AA29" s="516">
        <f t="shared" si="0"/>
        <v>-191976.58202634723</v>
      </c>
      <c r="AB29" s="516">
        <f t="shared" si="1"/>
        <v>-164428.13033128186</v>
      </c>
      <c r="AC29" s="516">
        <f t="shared" si="22"/>
        <v>-27548.451695065363</v>
      </c>
      <c r="AD29" s="517">
        <f t="shared" si="23"/>
        <v>0.16754098972944642</v>
      </c>
      <c r="AE29" s="486">
        <f t="shared" ref="AE29:AM29" si="36">((AE9*AE20)*-1)</f>
        <v>-21824.401264915472</v>
      </c>
      <c r="AF29" s="486">
        <f t="shared" ref="AF29" si="37">((AF9*AF20)*-1)</f>
        <v>-21824.401264915472</v>
      </c>
      <c r="AG29" s="486">
        <f t="shared" si="36"/>
        <v>-18485.267871383403</v>
      </c>
      <c r="AH29" s="486">
        <f t="shared" ref="AH29" si="38">((AH9*AH20)*-1)</f>
        <v>-18485.267871383403</v>
      </c>
      <c r="AI29" s="486">
        <f t="shared" si="36"/>
        <v>-18596.179478611703</v>
      </c>
      <c r="AJ29" s="486">
        <f t="shared" ref="AJ29" si="39">((AJ9*AJ20)*-1)</f>
        <v>-18596.179478611703</v>
      </c>
      <c r="AK29" s="486">
        <f t="shared" si="36"/>
        <v>-19487.763661152698</v>
      </c>
      <c r="AL29" s="486">
        <f t="shared" ref="AL29" si="40">((AL9*AL20)*-1)</f>
        <v>-19487.763661152698</v>
      </c>
      <c r="AM29" s="486">
        <f t="shared" si="36"/>
        <v>-17594.678737110346</v>
      </c>
      <c r="AN29" s="486">
        <f t="shared" ref="AN29" si="41">((AN9*AN20)*-1)</f>
        <v>-17594.678737110346</v>
      </c>
    </row>
    <row r="30" spans="1:40" ht="45">
      <c r="A30" s="200"/>
      <c r="B30" s="466"/>
      <c r="C30" s="462" t="s">
        <v>84</v>
      </c>
      <c r="D30" s="484"/>
      <c r="E30" s="487"/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>
        <f t="shared" ref="Q30:Z30" si="42">SUM(Q27:Q29)</f>
        <v>-36149.770648479578</v>
      </c>
      <c r="R30" s="487">
        <f t="shared" si="42"/>
        <v>-37676.781545108795</v>
      </c>
      <c r="S30" s="488">
        <f t="shared" si="42"/>
        <v>-40131.613277676865</v>
      </c>
      <c r="T30" s="488">
        <f t="shared" si="42"/>
        <v>-49918.863781999986</v>
      </c>
      <c r="U30" s="488">
        <f t="shared" si="42"/>
        <v>-60235.47336530649</v>
      </c>
      <c r="V30" s="488">
        <f t="shared" si="42"/>
        <v>-54855.874185567387</v>
      </c>
      <c r="W30" s="488">
        <f t="shared" si="42"/>
        <v>-49338.265513715101</v>
      </c>
      <c r="X30" s="488">
        <f t="shared" si="42"/>
        <v>-50312.929207286099</v>
      </c>
      <c r="Y30" s="488">
        <f t="shared" si="42"/>
        <v>-52341.420102545424</v>
      </c>
      <c r="Z30" s="488">
        <f t="shared" si="42"/>
        <v>-48849.563940331078</v>
      </c>
      <c r="AA30" s="516">
        <f t="shared" si="0"/>
        <v>-255698.05294944506</v>
      </c>
      <c r="AB30" s="516">
        <f t="shared" si="1"/>
        <v>-224112.50261857174</v>
      </c>
      <c r="AC30" s="516">
        <f t="shared" si="22"/>
        <v>-31585.550330873317</v>
      </c>
      <c r="AD30" s="517">
        <f t="shared" si="23"/>
        <v>0.14093613681442108</v>
      </c>
      <c r="AE30" s="488">
        <f t="shared" ref="AE30:AM30" si="43">SUM(AE27:AE29)</f>
        <v>-27427.937092783694</v>
      </c>
      <c r="AF30" s="488">
        <f t="shared" ref="AF30" si="44">SUM(AF27:AF29)</f>
        <v>-27427.937092783694</v>
      </c>
      <c r="AG30" s="488">
        <f t="shared" si="43"/>
        <v>-24669.132756857551</v>
      </c>
      <c r="AH30" s="488">
        <f t="shared" ref="AH30" si="45">SUM(AH27:AH29)</f>
        <v>-24669.132756857551</v>
      </c>
      <c r="AI30" s="488">
        <f t="shared" si="43"/>
        <v>-25156.464603643049</v>
      </c>
      <c r="AJ30" s="488">
        <f t="shared" ref="AJ30" si="46">SUM(AJ27:AJ29)</f>
        <v>-25156.464603643049</v>
      </c>
      <c r="AK30" s="488">
        <f t="shared" si="43"/>
        <v>-26170.710051272712</v>
      </c>
      <c r="AL30" s="488">
        <f t="shared" ref="AL30" si="47">SUM(AL27:AL29)</f>
        <v>-26170.710051272712</v>
      </c>
      <c r="AM30" s="488">
        <f t="shared" si="43"/>
        <v>-24424.781970165539</v>
      </c>
      <c r="AN30" s="488">
        <f t="shared" ref="AN30" si="48">SUM(AN27:AN29)</f>
        <v>-24424.781970165539</v>
      </c>
    </row>
    <row r="31" spans="1:40">
      <c r="A31" s="201" t="s">
        <v>85</v>
      </c>
      <c r="B31" s="466"/>
      <c r="C31" s="467"/>
      <c r="D31" s="484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6"/>
      <c r="S31" s="486"/>
      <c r="T31" s="486"/>
      <c r="U31" s="486"/>
      <c r="V31" s="486"/>
      <c r="W31" s="486"/>
      <c r="X31" s="486"/>
      <c r="Y31" s="486"/>
      <c r="Z31" s="486"/>
      <c r="AA31" s="516"/>
      <c r="AB31" s="516"/>
      <c r="AC31" s="516"/>
      <c r="AD31" s="517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</row>
    <row r="32" spans="1:40" ht="60">
      <c r="A32" s="202"/>
      <c r="B32" s="466" t="s">
        <v>67</v>
      </c>
      <c r="C32" s="467" t="s">
        <v>86</v>
      </c>
      <c r="D32" s="484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>
        <f>'RIN, Cont workings'!AY37+'RIN, Cont workings'!BA37</f>
        <v>-11993.383153734761</v>
      </c>
      <c r="R32" s="485">
        <f>'RIN, Cont workings'!BF37+'RIN, Cont workings'!BH37</f>
        <v>-10720.718454891206</v>
      </c>
      <c r="S32" s="485">
        <f>'RIN, Cont workings'!BJ37+'RIN, Cont workings'!BL37</f>
        <v>-11729.47374223368</v>
      </c>
      <c r="T32" s="486">
        <f t="shared" ref="T32:Z32" si="49">((T13*T23)*-1)</f>
        <v>-13078.861411157957</v>
      </c>
      <c r="U32" s="486">
        <f t="shared" si="49"/>
        <v>-11969.176377465672</v>
      </c>
      <c r="V32" s="486">
        <f t="shared" si="49"/>
        <v>-12439.322979164455</v>
      </c>
      <c r="W32" s="486">
        <f t="shared" si="49"/>
        <v>-12749.650133936113</v>
      </c>
      <c r="X32" s="486">
        <f t="shared" si="49"/>
        <v>-11697.886205589552</v>
      </c>
      <c r="Y32" s="486">
        <f t="shared" si="49"/>
        <v>-10161.130665119139</v>
      </c>
      <c r="Z32" s="486">
        <f t="shared" si="49"/>
        <v>-10104.137100837583</v>
      </c>
      <c r="AA32" s="516">
        <f t="shared" si="0"/>
        <v>-57152.12708464684</v>
      </c>
      <c r="AB32" s="516">
        <f t="shared" si="1"/>
        <v>-59491.613139483285</v>
      </c>
      <c r="AC32" s="516">
        <f t="shared" si="22"/>
        <v>2339.486054836445</v>
      </c>
      <c r="AD32" s="517">
        <f t="shared" si="23"/>
        <v>-3.932463638784367E-2</v>
      </c>
      <c r="AE32" s="486">
        <f t="shared" ref="AE32:AM32" si="50">((AE13*AE23)*-1)</f>
        <v>-6219.6614895822277</v>
      </c>
      <c r="AF32" s="486">
        <f t="shared" ref="AF32" si="51">((AF13*AF23)*-1)</f>
        <v>-6219.6614895822277</v>
      </c>
      <c r="AG32" s="486">
        <f t="shared" si="50"/>
        <v>-6374.8250669680565</v>
      </c>
      <c r="AH32" s="486">
        <f t="shared" ref="AH32" si="52">((AH13*AH23)*-1)</f>
        <v>-6374.8250669680565</v>
      </c>
      <c r="AI32" s="486">
        <f t="shared" si="50"/>
        <v>-5848.9431027947758</v>
      </c>
      <c r="AJ32" s="486">
        <f t="shared" ref="AJ32" si="53">((AJ13*AJ23)*-1)</f>
        <v>-5848.9431027947758</v>
      </c>
      <c r="AK32" s="486">
        <f t="shared" si="50"/>
        <v>-5080.5653325595695</v>
      </c>
      <c r="AL32" s="486">
        <f t="shared" ref="AL32" si="54">((AL13*AL23)*-1)</f>
        <v>-5080.5653325595695</v>
      </c>
      <c r="AM32" s="486">
        <f t="shared" si="50"/>
        <v>-5052.0685504187913</v>
      </c>
      <c r="AN32" s="486">
        <f t="shared" ref="AN32" si="55">((AN13*AN23)*-1)</f>
        <v>-5052.0685504187913</v>
      </c>
    </row>
    <row r="33" spans="1:40" ht="75">
      <c r="A33" s="202"/>
      <c r="B33" s="466"/>
      <c r="C33" s="467" t="s">
        <v>104</v>
      </c>
      <c r="D33" s="484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>
        <f>Q32+Q30</f>
        <v>-48143.153802214336</v>
      </c>
      <c r="R33" s="485">
        <f>R32+R30</f>
        <v>-48397.5</v>
      </c>
      <c r="S33" s="485">
        <f t="shared" ref="S33:Z33" si="56">S32+S30</f>
        <v>-51861.087019910541</v>
      </c>
      <c r="T33" s="485">
        <f t="shared" si="56"/>
        <v>-62997.725193157945</v>
      </c>
      <c r="U33" s="485">
        <f t="shared" si="56"/>
        <v>-72204.649742772162</v>
      </c>
      <c r="V33" s="486">
        <f t="shared" si="56"/>
        <v>-67295.197164731842</v>
      </c>
      <c r="W33" s="486">
        <f t="shared" si="56"/>
        <v>-62087.915647651214</v>
      </c>
      <c r="X33" s="486">
        <f t="shared" si="56"/>
        <v>-62010.815412875651</v>
      </c>
      <c r="Y33" s="486">
        <f t="shared" si="56"/>
        <v>-62502.550767664565</v>
      </c>
      <c r="Z33" s="486">
        <f t="shared" si="56"/>
        <v>-58953.701041168664</v>
      </c>
      <c r="AA33" s="516">
        <f t="shared" ref="AA33" si="57">SUM(V33:Z33)</f>
        <v>-312850.18003409193</v>
      </c>
      <c r="AB33" s="516">
        <f t="shared" ref="AB33" si="58">SUM(Q33:U33)</f>
        <v>-283604.11575805501</v>
      </c>
      <c r="AC33" s="516">
        <f t="shared" ref="AC33" si="59">AA33-AB33</f>
        <v>-29246.064276036923</v>
      </c>
      <c r="AD33" s="517">
        <f t="shared" ref="AD33" si="60">(AA33/AB33)-1</f>
        <v>0.1031228485449307</v>
      </c>
      <c r="AE33" s="486">
        <f>V33/2</f>
        <v>-33647.598582365921</v>
      </c>
      <c r="AF33" s="486">
        <f>V33/2</f>
        <v>-33647.598582365921</v>
      </c>
      <c r="AG33" s="486">
        <f>W33/2</f>
        <v>-31043.957823825607</v>
      </c>
      <c r="AH33" s="486">
        <f>W33/2</f>
        <v>-31043.957823825607</v>
      </c>
      <c r="AI33" s="486">
        <f>X33/2</f>
        <v>-31005.407706437825</v>
      </c>
      <c r="AJ33" s="486">
        <f>X33/2</f>
        <v>-31005.407706437825</v>
      </c>
      <c r="AK33" s="486">
        <f>Y33/2</f>
        <v>-31251.275383832282</v>
      </c>
      <c r="AL33" s="486">
        <f>Y33/2</f>
        <v>-31251.275383832282</v>
      </c>
      <c r="AM33" s="486">
        <f>Z33/2</f>
        <v>-29476.850520584332</v>
      </c>
      <c r="AN33" s="486">
        <f>Z33/2</f>
        <v>-29476.850520584332</v>
      </c>
    </row>
    <row r="34" spans="1:40" s="275" customFormat="1">
      <c r="A34" s="274" t="s">
        <v>105</v>
      </c>
      <c r="B34" s="466"/>
      <c r="C34" s="467"/>
      <c r="D34" s="484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>
        <f>Q15+Q33</f>
        <v>20718.736859482538</v>
      </c>
      <c r="R34" s="485">
        <f t="shared" ref="R34:Z34" si="61">R15+R33</f>
        <v>24465.181340447059</v>
      </c>
      <c r="S34" s="485">
        <f t="shared" si="61"/>
        <v>29392.410411107528</v>
      </c>
      <c r="T34" s="485">
        <f t="shared" si="61"/>
        <v>27720.729699684474</v>
      </c>
      <c r="U34" s="485">
        <f t="shared" si="61"/>
        <v>27572.715612683911</v>
      </c>
      <c r="V34" s="485">
        <f t="shared" si="61"/>
        <v>27118.689860949089</v>
      </c>
      <c r="W34" s="485">
        <f t="shared" si="61"/>
        <v>28541.148790527397</v>
      </c>
      <c r="X34" s="485">
        <f t="shared" si="61"/>
        <v>30348.362231063576</v>
      </c>
      <c r="Y34" s="485">
        <f t="shared" si="61"/>
        <v>31534.342629181323</v>
      </c>
      <c r="Z34" s="485">
        <f t="shared" si="61"/>
        <v>31498.126360135138</v>
      </c>
      <c r="AA34" s="516">
        <f t="shared" ref="AA34" si="62">SUM(V34:Z34)</f>
        <v>149040.66987185652</v>
      </c>
      <c r="AB34" s="516">
        <f t="shared" ref="AB34" si="63">SUM(Q34:U34)</f>
        <v>129869.7739234055</v>
      </c>
      <c r="AC34" s="516">
        <f t="shared" ref="AC34" si="64">AA34-AB34</f>
        <v>19170.895948451012</v>
      </c>
      <c r="AD34" s="517">
        <f t="shared" ref="AD34" si="65">(AA34/AB34)-1</f>
        <v>0.14761630338832821</v>
      </c>
      <c r="AE34" s="486">
        <f>V34/2</f>
        <v>13559.344930474545</v>
      </c>
      <c r="AF34" s="486">
        <f>V34/2</f>
        <v>13559.344930474545</v>
      </c>
      <c r="AG34" s="486">
        <f>W34/2</f>
        <v>14270.574395263699</v>
      </c>
      <c r="AH34" s="486">
        <f>W34/2</f>
        <v>14270.574395263699</v>
      </c>
      <c r="AI34" s="486">
        <f>X34/2</f>
        <v>15174.181115531788</v>
      </c>
      <c r="AJ34" s="486">
        <f>X34/2</f>
        <v>15174.181115531788</v>
      </c>
      <c r="AK34" s="486">
        <f>Y34/2</f>
        <v>15767.171314590661</v>
      </c>
      <c r="AL34" s="486">
        <f>Y34/2</f>
        <v>15767.171314590661</v>
      </c>
      <c r="AM34" s="486">
        <f>Z34/2</f>
        <v>15749.063180067569</v>
      </c>
      <c r="AN34" s="486">
        <f>Z34/2</f>
        <v>15749.063180067569</v>
      </c>
    </row>
    <row r="35" spans="1:40">
      <c r="A35" s="200"/>
      <c r="B35" s="466"/>
      <c r="C35" s="467" t="s">
        <v>87</v>
      </c>
      <c r="D35" s="484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>
        <f>'RIN, Cont workings'!AZ39</f>
        <v>11497.723180000001</v>
      </c>
      <c r="R35" s="486">
        <f>'RIN, Cont workings'!BG39</f>
        <v>11176</v>
      </c>
      <c r="S35" s="486">
        <f>'RIN, Cont workings'!BK39</f>
        <v>16694.268179999999</v>
      </c>
      <c r="T35" s="486">
        <f>R35</f>
        <v>11176</v>
      </c>
      <c r="U35" s="486">
        <f>R35</f>
        <v>11176</v>
      </c>
      <c r="V35" s="486">
        <f>R35</f>
        <v>11176</v>
      </c>
      <c r="W35" s="486">
        <f>V35</f>
        <v>11176</v>
      </c>
      <c r="X35" s="486">
        <f>V35</f>
        <v>11176</v>
      </c>
      <c r="Y35" s="486">
        <f>V35</f>
        <v>11176</v>
      </c>
      <c r="Z35" s="486">
        <f>V35</f>
        <v>11176</v>
      </c>
      <c r="AA35" s="516">
        <f t="shared" si="0"/>
        <v>55880</v>
      </c>
      <c r="AB35" s="516">
        <f t="shared" si="1"/>
        <v>61719.99136</v>
      </c>
      <c r="AC35" s="516">
        <f t="shared" si="22"/>
        <v>-5839.99136</v>
      </c>
      <c r="AD35" s="517">
        <f t="shared" si="23"/>
        <v>-9.4620741696746724E-2</v>
      </c>
      <c r="AE35" s="486">
        <v>5588</v>
      </c>
      <c r="AF35" s="486">
        <v>5588</v>
      </c>
      <c r="AG35" s="486">
        <v>5588</v>
      </c>
      <c r="AH35" s="486">
        <v>5588</v>
      </c>
      <c r="AI35" s="486">
        <v>5588</v>
      </c>
      <c r="AJ35" s="486">
        <v>5588</v>
      </c>
      <c r="AK35" s="486">
        <v>5588</v>
      </c>
      <c r="AL35" s="486">
        <v>5588</v>
      </c>
      <c r="AM35" s="486">
        <v>5588</v>
      </c>
      <c r="AN35" s="486">
        <v>5588</v>
      </c>
    </row>
    <row r="36" spans="1:40" ht="60">
      <c r="A36" s="200"/>
      <c r="B36" s="466" t="s">
        <v>67</v>
      </c>
      <c r="C36" s="462" t="s">
        <v>88</v>
      </c>
      <c r="D36" s="484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>
        <f>'RIN, Cont workings'!AZ37</f>
        <v>11497.723180000001</v>
      </c>
      <c r="R36" s="488">
        <f>'RIN, Cont workings'!BG39</f>
        <v>11176</v>
      </c>
      <c r="S36" s="488">
        <f t="shared" ref="S36:Z36" si="66">SUM(S32+S35)</f>
        <v>4964.7944377663189</v>
      </c>
      <c r="T36" s="488">
        <f t="shared" si="66"/>
        <v>-1902.8614111579573</v>
      </c>
      <c r="U36" s="488">
        <f t="shared" si="66"/>
        <v>-793.17637746567198</v>
      </c>
      <c r="V36" s="486">
        <f t="shared" si="66"/>
        <v>-1263.3229791644553</v>
      </c>
      <c r="W36" s="486">
        <f t="shared" si="66"/>
        <v>-1573.650133936113</v>
      </c>
      <c r="X36" s="486">
        <f t="shared" si="66"/>
        <v>-521.88620558955154</v>
      </c>
      <c r="Y36" s="486">
        <f t="shared" si="66"/>
        <v>1014.8693348808611</v>
      </c>
      <c r="Z36" s="486">
        <f t="shared" si="66"/>
        <v>1071.8628991624173</v>
      </c>
      <c r="AA36" s="516">
        <f t="shared" si="0"/>
        <v>-1272.1270846468415</v>
      </c>
      <c r="AB36" s="516">
        <f t="shared" si="1"/>
        <v>24942.479829142692</v>
      </c>
      <c r="AC36" s="516">
        <f t="shared" si="22"/>
        <v>-26214.606913789532</v>
      </c>
      <c r="AD36" s="517">
        <f t="shared" si="23"/>
        <v>-1.0510024301256724</v>
      </c>
      <c r="AE36" s="488">
        <f>SUM(AE32+AE35)</f>
        <v>-631.66148958222766</v>
      </c>
      <c r="AF36" s="488">
        <f t="shared" ref="AF36:AN36" si="67">SUM(AF32+AF35)</f>
        <v>-631.66148958222766</v>
      </c>
      <c r="AG36" s="488">
        <f t="shared" si="67"/>
        <v>-786.82506696805649</v>
      </c>
      <c r="AH36" s="488">
        <f t="shared" si="67"/>
        <v>-786.82506696805649</v>
      </c>
      <c r="AI36" s="488">
        <f t="shared" si="67"/>
        <v>-260.94310279477577</v>
      </c>
      <c r="AJ36" s="488">
        <f t="shared" si="67"/>
        <v>-260.94310279477577</v>
      </c>
      <c r="AK36" s="488">
        <f t="shared" si="67"/>
        <v>507.43466744043053</v>
      </c>
      <c r="AL36" s="488">
        <f t="shared" si="67"/>
        <v>507.43466744043053</v>
      </c>
      <c r="AM36" s="488">
        <f t="shared" si="67"/>
        <v>535.93144958120865</v>
      </c>
      <c r="AN36" s="488">
        <f t="shared" si="67"/>
        <v>535.93144958120865</v>
      </c>
    </row>
    <row r="37" spans="1:40">
      <c r="A37" s="200"/>
      <c r="B37" s="466"/>
      <c r="C37" s="467"/>
      <c r="D37" s="484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6"/>
      <c r="S37" s="486"/>
      <c r="T37" s="486"/>
      <c r="U37" s="486"/>
      <c r="V37" s="486"/>
      <c r="W37" s="486"/>
      <c r="X37" s="486"/>
      <c r="Y37" s="486"/>
      <c r="Z37" s="486"/>
      <c r="AA37" s="516"/>
      <c r="AB37" s="516"/>
      <c r="AC37" s="516"/>
      <c r="AD37" s="517"/>
      <c r="AE37" s="486"/>
      <c r="AF37" s="486"/>
      <c r="AG37" s="486"/>
      <c r="AH37" s="486"/>
      <c r="AI37" s="486"/>
      <c r="AJ37" s="486"/>
      <c r="AK37" s="486"/>
      <c r="AL37" s="486"/>
      <c r="AM37" s="486"/>
      <c r="AN37" s="486"/>
    </row>
    <row r="38" spans="1:40">
      <c r="A38" s="578" t="s">
        <v>89</v>
      </c>
      <c r="B38" s="579"/>
      <c r="C38" s="580"/>
      <c r="D38" s="489"/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>
        <f t="shared" ref="Q38:Z38" si="68">SUM(Q30,Q36)</f>
        <v>-24652.047468479577</v>
      </c>
      <c r="R38" s="491">
        <f t="shared" si="68"/>
        <v>-26500.781545108795</v>
      </c>
      <c r="S38" s="491">
        <f t="shared" si="68"/>
        <v>-35166.818839910542</v>
      </c>
      <c r="T38" s="491">
        <f t="shared" si="68"/>
        <v>-51821.725193157945</v>
      </c>
      <c r="U38" s="491">
        <f t="shared" si="68"/>
        <v>-61028.649742772162</v>
      </c>
      <c r="V38" s="491">
        <f t="shared" si="68"/>
        <v>-56119.197164731842</v>
      </c>
      <c r="W38" s="491">
        <f t="shared" si="68"/>
        <v>-50911.915647651214</v>
      </c>
      <c r="X38" s="491">
        <f t="shared" si="68"/>
        <v>-50834.815412875651</v>
      </c>
      <c r="Y38" s="491">
        <f t="shared" si="68"/>
        <v>-51326.550767664565</v>
      </c>
      <c r="Z38" s="491">
        <f t="shared" si="68"/>
        <v>-47777.701041168664</v>
      </c>
      <c r="AA38" s="516">
        <f t="shared" si="0"/>
        <v>-256970.18003409193</v>
      </c>
      <c r="AB38" s="516">
        <f t="shared" si="1"/>
        <v>-199170.02278942903</v>
      </c>
      <c r="AC38" s="516">
        <f t="shared" si="22"/>
        <v>-57800.1572446629</v>
      </c>
      <c r="AD38" s="517">
        <f t="shared" si="23"/>
        <v>0.29020510433827518</v>
      </c>
      <c r="AE38" s="491">
        <f t="shared" ref="AE38:AN38" si="69">SUM(AE30,AE36)</f>
        <v>-28059.598582365921</v>
      </c>
      <c r="AF38" s="491">
        <f t="shared" si="69"/>
        <v>-28059.598582365921</v>
      </c>
      <c r="AG38" s="491">
        <f t="shared" si="69"/>
        <v>-25455.957823825607</v>
      </c>
      <c r="AH38" s="491">
        <f t="shared" si="69"/>
        <v>-25455.957823825607</v>
      </c>
      <c r="AI38" s="491">
        <f t="shared" si="69"/>
        <v>-25417.407706437825</v>
      </c>
      <c r="AJ38" s="491">
        <f t="shared" si="69"/>
        <v>-25417.407706437825</v>
      </c>
      <c r="AK38" s="491">
        <f t="shared" si="69"/>
        <v>-25663.275383832282</v>
      </c>
      <c r="AL38" s="491">
        <f t="shared" si="69"/>
        <v>-25663.275383832282</v>
      </c>
      <c r="AM38" s="491">
        <f t="shared" si="69"/>
        <v>-23888.850520584332</v>
      </c>
      <c r="AN38" s="491">
        <f t="shared" si="69"/>
        <v>-23888.850520584332</v>
      </c>
    </row>
    <row r="39" spans="1:40">
      <c r="A39" s="581"/>
      <c r="B39" s="582"/>
      <c r="C39" s="583"/>
      <c r="D39" s="489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1"/>
      <c r="S39" s="491"/>
      <c r="T39" s="491"/>
      <c r="U39" s="491"/>
      <c r="V39" s="491"/>
      <c r="W39" s="491"/>
      <c r="X39" s="491"/>
      <c r="Y39" s="491"/>
      <c r="Z39" s="491"/>
      <c r="AA39" s="516"/>
      <c r="AB39" s="516"/>
      <c r="AC39" s="516"/>
      <c r="AD39" s="517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</row>
    <row r="40" spans="1:40" ht="38.25">
      <c r="A40" s="560" t="s">
        <v>90</v>
      </c>
      <c r="B40" s="561"/>
      <c r="C40" s="562"/>
      <c r="D40" s="492" t="s">
        <v>91</v>
      </c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>
        <f t="shared" ref="Q40:Z40" si="70">Q38/Q15</f>
        <v>-0.35799260275309014</v>
      </c>
      <c r="R40" s="494">
        <f t="shared" si="70"/>
        <v>-0.3637085687429657</v>
      </c>
      <c r="S40" s="494">
        <f t="shared" si="70"/>
        <v>-0.43280375555238321</v>
      </c>
      <c r="T40" s="494">
        <f t="shared" si="70"/>
        <v>-0.57123685863444551</v>
      </c>
      <c r="U40" s="494">
        <f t="shared" si="70"/>
        <v>-0.61164823830893988</v>
      </c>
      <c r="V40" s="494">
        <f t="shared" si="70"/>
        <v>-0.59439558027588901</v>
      </c>
      <c r="W40" s="494">
        <f t="shared" si="70"/>
        <v>-0.56176146099775848</v>
      </c>
      <c r="X40" s="494">
        <f t="shared" si="70"/>
        <v>-0.55040350845102526</v>
      </c>
      <c r="Y40" s="494">
        <f t="shared" si="70"/>
        <v>-0.54581291356639094</v>
      </c>
      <c r="Z40" s="494">
        <f t="shared" si="70"/>
        <v>-0.52821156204169717</v>
      </c>
      <c r="AA40" s="516"/>
      <c r="AB40" s="516"/>
      <c r="AC40" s="516"/>
      <c r="AD40" s="517"/>
      <c r="AE40" s="494">
        <f t="shared" ref="AE40:AN40" si="71">AE38/AE15</f>
        <v>-0.59439558027588901</v>
      </c>
      <c r="AF40" s="494">
        <f t="shared" si="71"/>
        <v>-0.59439558027588901</v>
      </c>
      <c r="AG40" s="494">
        <f t="shared" si="71"/>
        <v>-0.56176146099775848</v>
      </c>
      <c r="AH40" s="494">
        <f t="shared" si="71"/>
        <v>-0.56176146099775848</v>
      </c>
      <c r="AI40" s="494">
        <f t="shared" si="71"/>
        <v>-0.55040350845102526</v>
      </c>
      <c r="AJ40" s="494">
        <f t="shared" si="71"/>
        <v>-0.55040350845102526</v>
      </c>
      <c r="AK40" s="494">
        <f t="shared" si="71"/>
        <v>-0.54581291356639094</v>
      </c>
      <c r="AL40" s="494">
        <f t="shared" si="71"/>
        <v>-0.54581291356639094</v>
      </c>
      <c r="AM40" s="494">
        <f t="shared" si="71"/>
        <v>-0.52821156204169717</v>
      </c>
      <c r="AN40" s="494">
        <f t="shared" si="71"/>
        <v>-0.52821156204169717</v>
      </c>
    </row>
    <row r="41" spans="1:40">
      <c r="A41" s="563" t="s">
        <v>92</v>
      </c>
      <c r="B41" s="564"/>
      <c r="C41" s="565"/>
      <c r="D41" s="469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>
        <f t="shared" ref="Q41:Z41" si="72">Q15</f>
        <v>68861.890661696874</v>
      </c>
      <c r="R41" s="465">
        <f t="shared" si="72"/>
        <v>72862.681340447059</v>
      </c>
      <c r="S41" s="465">
        <f t="shared" si="72"/>
        <v>81253.49743101807</v>
      </c>
      <c r="T41" s="465">
        <f t="shared" si="72"/>
        <v>90718.454892842419</v>
      </c>
      <c r="U41" s="465">
        <f t="shared" si="72"/>
        <v>99777.365355456073</v>
      </c>
      <c r="V41" s="465">
        <f t="shared" si="72"/>
        <v>94413.887025680931</v>
      </c>
      <c r="W41" s="465">
        <f t="shared" si="72"/>
        <v>90629.064438178611</v>
      </c>
      <c r="X41" s="465">
        <f t="shared" si="72"/>
        <v>92359.177643939227</v>
      </c>
      <c r="Y41" s="465">
        <f t="shared" si="72"/>
        <v>94036.893396845888</v>
      </c>
      <c r="Z41" s="465">
        <f t="shared" si="72"/>
        <v>90451.827401303803</v>
      </c>
      <c r="AA41" s="516">
        <f t="shared" si="0"/>
        <v>461890.84990594845</v>
      </c>
      <c r="AB41" s="516">
        <f t="shared" si="1"/>
        <v>413473.88968146051</v>
      </c>
      <c r="AC41" s="516">
        <f t="shared" si="22"/>
        <v>48416.960224487935</v>
      </c>
      <c r="AD41" s="517">
        <f t="shared" si="23"/>
        <v>0.11709798715896724</v>
      </c>
      <c r="AE41" s="465">
        <f t="shared" ref="AE41:AN41" si="73">AE15</f>
        <v>47206.943512840466</v>
      </c>
      <c r="AF41" s="465">
        <f t="shared" si="73"/>
        <v>47206.943512840466</v>
      </c>
      <c r="AG41" s="465">
        <f t="shared" si="73"/>
        <v>45314.532219089306</v>
      </c>
      <c r="AH41" s="465">
        <f t="shared" si="73"/>
        <v>45314.532219089306</v>
      </c>
      <c r="AI41" s="465">
        <f t="shared" si="73"/>
        <v>46179.588821969613</v>
      </c>
      <c r="AJ41" s="465">
        <f t="shared" si="73"/>
        <v>46179.588821969613</v>
      </c>
      <c r="AK41" s="465">
        <f t="shared" si="73"/>
        <v>47018.446698422944</v>
      </c>
      <c r="AL41" s="465">
        <f t="shared" si="73"/>
        <v>47018.446698422944</v>
      </c>
      <c r="AM41" s="465">
        <f t="shared" si="73"/>
        <v>45225.913700651901</v>
      </c>
      <c r="AN41" s="465">
        <f t="shared" si="73"/>
        <v>45225.913700651901</v>
      </c>
    </row>
    <row r="42" spans="1:40">
      <c r="A42" s="563" t="s">
        <v>93</v>
      </c>
      <c r="B42" s="564"/>
      <c r="C42" s="565"/>
      <c r="D42" s="469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>
        <f t="shared" ref="Q42:Z42" si="74">Q38</f>
        <v>-24652.047468479577</v>
      </c>
      <c r="R42" s="486">
        <f t="shared" si="74"/>
        <v>-26500.781545108795</v>
      </c>
      <c r="S42" s="486">
        <f t="shared" si="74"/>
        <v>-35166.818839910542</v>
      </c>
      <c r="T42" s="486">
        <f t="shared" si="74"/>
        <v>-51821.725193157945</v>
      </c>
      <c r="U42" s="486">
        <f t="shared" si="74"/>
        <v>-61028.649742772162</v>
      </c>
      <c r="V42" s="486">
        <f t="shared" si="74"/>
        <v>-56119.197164731842</v>
      </c>
      <c r="W42" s="486">
        <f t="shared" si="74"/>
        <v>-50911.915647651214</v>
      </c>
      <c r="X42" s="486">
        <f t="shared" si="74"/>
        <v>-50834.815412875651</v>
      </c>
      <c r="Y42" s="486">
        <f t="shared" si="74"/>
        <v>-51326.550767664565</v>
      </c>
      <c r="Z42" s="486">
        <f t="shared" si="74"/>
        <v>-47777.701041168664</v>
      </c>
      <c r="AA42" s="516">
        <f t="shared" si="0"/>
        <v>-256970.18003409193</v>
      </c>
      <c r="AB42" s="516">
        <f t="shared" si="1"/>
        <v>-199170.02278942903</v>
      </c>
      <c r="AC42" s="516">
        <f t="shared" si="22"/>
        <v>-57800.1572446629</v>
      </c>
      <c r="AD42" s="517">
        <f t="shared" si="23"/>
        <v>0.29020510433827518</v>
      </c>
      <c r="AE42" s="486">
        <f t="shared" ref="AE42:AM42" si="75">AE38</f>
        <v>-28059.598582365921</v>
      </c>
      <c r="AF42" s="486">
        <f t="shared" ref="AF42" si="76">AF38</f>
        <v>-28059.598582365921</v>
      </c>
      <c r="AG42" s="486">
        <f t="shared" si="75"/>
        <v>-25455.957823825607</v>
      </c>
      <c r="AH42" s="486">
        <f t="shared" ref="AH42" si="77">AH38</f>
        <v>-25455.957823825607</v>
      </c>
      <c r="AI42" s="486">
        <f t="shared" si="75"/>
        <v>-25417.407706437825</v>
      </c>
      <c r="AJ42" s="486">
        <f t="shared" ref="AJ42" si="78">AJ38</f>
        <v>-25417.407706437825</v>
      </c>
      <c r="AK42" s="486">
        <f t="shared" si="75"/>
        <v>-25663.275383832282</v>
      </c>
      <c r="AL42" s="486">
        <f t="shared" ref="AL42" si="79">AL38</f>
        <v>-25663.275383832282</v>
      </c>
      <c r="AM42" s="486">
        <f t="shared" si="75"/>
        <v>-23888.850520584332</v>
      </c>
      <c r="AN42" s="486">
        <f t="shared" ref="AN42" si="80">AN38</f>
        <v>-23888.850520584332</v>
      </c>
    </row>
    <row r="43" spans="1:40" ht="15.75">
      <c r="A43" s="566" t="s">
        <v>94</v>
      </c>
      <c r="B43" s="567"/>
      <c r="C43" s="568"/>
      <c r="D43" s="495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>
        <f t="shared" ref="Q43:Z43" si="81">SUM(Q41,Q42)</f>
        <v>44209.843193217297</v>
      </c>
      <c r="R43" s="497">
        <f t="shared" si="81"/>
        <v>46361.899795338264</v>
      </c>
      <c r="S43" s="497">
        <f t="shared" si="81"/>
        <v>46086.678591107528</v>
      </c>
      <c r="T43" s="497">
        <f t="shared" si="81"/>
        <v>38896.729699684474</v>
      </c>
      <c r="U43" s="497">
        <f t="shared" si="81"/>
        <v>38748.715612683911</v>
      </c>
      <c r="V43" s="497">
        <f t="shared" si="81"/>
        <v>38294.689860949089</v>
      </c>
      <c r="W43" s="497">
        <f t="shared" si="81"/>
        <v>39717.148790527397</v>
      </c>
      <c r="X43" s="497">
        <f t="shared" si="81"/>
        <v>41524.362231063576</v>
      </c>
      <c r="Y43" s="497">
        <f t="shared" si="81"/>
        <v>42710.342629181323</v>
      </c>
      <c r="Z43" s="497">
        <f t="shared" si="81"/>
        <v>42674.126360135138</v>
      </c>
      <c r="AA43" s="516">
        <f t="shared" si="0"/>
        <v>204920.66987185652</v>
      </c>
      <c r="AB43" s="516">
        <f t="shared" si="1"/>
        <v>214303.86689203148</v>
      </c>
      <c r="AC43" s="516">
        <f t="shared" si="22"/>
        <v>-9383.1970201749646</v>
      </c>
      <c r="AD43" s="517">
        <f t="shared" si="23"/>
        <v>-4.3784543677423793E-2</v>
      </c>
      <c r="AE43" s="497">
        <f t="shared" ref="AE43:AM43" si="82">SUM(AE41,AE42)</f>
        <v>19147.344930474545</v>
      </c>
      <c r="AF43" s="497">
        <f t="shared" ref="AF43" si="83">SUM(AF41,AF42)</f>
        <v>19147.344930474545</v>
      </c>
      <c r="AG43" s="497">
        <f t="shared" si="82"/>
        <v>19858.574395263699</v>
      </c>
      <c r="AH43" s="497">
        <f t="shared" ref="AH43" si="84">SUM(AH41,AH42)</f>
        <v>19858.574395263699</v>
      </c>
      <c r="AI43" s="497">
        <f t="shared" si="82"/>
        <v>20762.181115531788</v>
      </c>
      <c r="AJ43" s="497">
        <f t="shared" ref="AJ43" si="85">SUM(AJ41,AJ42)</f>
        <v>20762.181115531788</v>
      </c>
      <c r="AK43" s="497">
        <f t="shared" si="82"/>
        <v>21355.171314590661</v>
      </c>
      <c r="AL43" s="497">
        <f t="shared" ref="AL43" si="86">SUM(AL41,AL42)</f>
        <v>21355.171314590661</v>
      </c>
      <c r="AM43" s="497">
        <f t="shared" si="82"/>
        <v>21337.063180067569</v>
      </c>
      <c r="AN43" s="497">
        <f t="shared" ref="AN43" si="87">SUM(AN41,AN42)</f>
        <v>21337.063180067569</v>
      </c>
    </row>
    <row r="44" spans="1:40">
      <c r="A44" s="204"/>
      <c r="B44" s="204"/>
      <c r="C44" s="499"/>
      <c r="D44" s="500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2"/>
      <c r="S44" s="502"/>
      <c r="T44" s="502"/>
      <c r="U44" s="502"/>
      <c r="V44" s="192"/>
      <c r="W44" s="192"/>
      <c r="X44" s="192"/>
      <c r="Y44" s="192"/>
      <c r="Z44" s="192"/>
      <c r="AA44" s="518"/>
      <c r="AB44" s="518"/>
      <c r="AC44" s="518"/>
      <c r="AD44" s="518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</row>
    <row r="45" spans="1:40">
      <c r="A45" s="205"/>
      <c r="B45" s="205"/>
      <c r="C45" s="503"/>
      <c r="D45" s="504"/>
      <c r="E45" s="505"/>
      <c r="F45" s="505"/>
      <c r="G45" s="505"/>
      <c r="H45" s="505"/>
      <c r="I45" s="192"/>
      <c r="J45" s="192"/>
      <c r="K45" s="192"/>
      <c r="L45" s="192"/>
      <c r="M45" s="192"/>
      <c r="N45" s="192"/>
      <c r="O45" s="192"/>
      <c r="P45" s="192"/>
      <c r="Q45" s="506" t="s">
        <v>95</v>
      </c>
      <c r="R45" s="507"/>
      <c r="S45" s="507"/>
      <c r="T45" s="507"/>
      <c r="U45" s="507"/>
      <c r="V45" s="507"/>
      <c r="W45" s="507"/>
      <c r="X45" s="507"/>
      <c r="Y45" s="507"/>
      <c r="Z45" s="508"/>
      <c r="AA45" s="518"/>
      <c r="AB45" s="518"/>
      <c r="AC45" s="518"/>
      <c r="AD45" s="518"/>
      <c r="AE45" s="507"/>
      <c r="AF45" s="507"/>
      <c r="AG45" s="507"/>
      <c r="AH45" s="507"/>
      <c r="AI45" s="507"/>
      <c r="AJ45" s="507"/>
      <c r="AK45" s="507"/>
      <c r="AL45" s="507"/>
      <c r="AM45" s="508"/>
      <c r="AN45" s="508"/>
    </row>
    <row r="46" spans="1:40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509" t="s">
        <v>96</v>
      </c>
      <c r="R46" s="510"/>
      <c r="S46" s="510"/>
      <c r="T46" s="510"/>
      <c r="U46" s="510"/>
      <c r="V46" s="510"/>
      <c r="W46" s="510"/>
      <c r="X46" s="510"/>
      <c r="Y46" s="510"/>
      <c r="Z46" s="511"/>
      <c r="AE46" s="510"/>
      <c r="AF46" s="510"/>
      <c r="AG46" s="510"/>
      <c r="AH46" s="510"/>
      <c r="AI46" s="510"/>
      <c r="AJ46" s="510"/>
      <c r="AK46" s="510"/>
      <c r="AL46" s="510"/>
      <c r="AM46" s="511"/>
      <c r="AN46" s="511"/>
    </row>
    <row r="47" spans="1:40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512" t="s">
        <v>97</v>
      </c>
      <c r="R47" s="513"/>
      <c r="S47" s="513"/>
      <c r="T47" s="513"/>
      <c r="U47" s="513"/>
      <c r="V47" s="513"/>
      <c r="W47" s="513"/>
      <c r="X47" s="513"/>
      <c r="Y47" s="513"/>
      <c r="Z47" s="514"/>
      <c r="AE47" s="513"/>
      <c r="AF47" s="513"/>
      <c r="AG47" s="513"/>
      <c r="AH47" s="513"/>
      <c r="AI47" s="513"/>
      <c r="AJ47" s="513"/>
      <c r="AK47" s="513"/>
      <c r="AL47" s="513"/>
      <c r="AM47" s="514"/>
      <c r="AN47" s="514"/>
    </row>
  </sheetData>
  <mergeCells count="17">
    <mergeCell ref="A40:C40"/>
    <mergeCell ref="A41:C41"/>
    <mergeCell ref="A42:C42"/>
    <mergeCell ref="A43:C43"/>
    <mergeCell ref="V3:Z3"/>
    <mergeCell ref="A15:C15"/>
    <mergeCell ref="A16:C16"/>
    <mergeCell ref="A25:C25"/>
    <mergeCell ref="A38:C38"/>
    <mergeCell ref="A39:C39"/>
    <mergeCell ref="AE3:AM3"/>
    <mergeCell ref="E1:AN1"/>
    <mergeCell ref="E2:AN2"/>
    <mergeCell ref="E3:F3"/>
    <mergeCell ref="G3:K3"/>
    <mergeCell ref="L3:P3"/>
    <mergeCell ref="Q3:U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8B97-DB68-4205-812F-7F5ACD2F6349}">
  <sheetPr transitionEvaluation="1" transitionEntry="1">
    <tabColor theme="0" tint="-0.34998626667073579"/>
  </sheetPr>
  <dimension ref="B1:AH35"/>
  <sheetViews>
    <sheetView zoomScale="90" zoomScaleNormal="90" zoomScaleSheetLayoutView="75" workbookViewId="0">
      <pane xSplit="2" ySplit="6" topLeftCell="C7" activePane="bottomRight" state="frozen"/>
      <selection pane="topRight" activeCell="R40" sqref="R40"/>
      <selection pane="bottomLeft" activeCell="R40" sqref="R40"/>
      <selection pane="bottomRight" activeCell="C7" sqref="C7"/>
    </sheetView>
  </sheetViews>
  <sheetFormatPr defaultColWidth="14.5703125" defaultRowHeight="14.25"/>
  <cols>
    <col min="1" max="1" width="1.85546875" style="209" customWidth="1"/>
    <col min="2" max="2" width="14.42578125" style="209" customWidth="1"/>
    <col min="3" max="3" width="15.7109375" style="209" customWidth="1"/>
    <col min="4" max="4" width="9.140625" style="209" customWidth="1"/>
    <col min="5" max="5" width="2.28515625" style="209" customWidth="1"/>
    <col min="6" max="6" width="15.7109375" style="209" hidden="1" customWidth="1"/>
    <col min="7" max="7" width="9.140625" style="209" hidden="1" customWidth="1"/>
    <col min="8" max="8" width="2.28515625" style="209" hidden="1" customWidth="1"/>
    <col min="9" max="9" width="13.5703125" style="209" customWidth="1"/>
    <col min="10" max="10" width="9.140625" style="209" customWidth="1"/>
    <col min="11" max="11" width="2.28515625" style="209" customWidth="1"/>
    <col min="12" max="12" width="15.7109375" style="209" hidden="1" customWidth="1"/>
    <col min="13" max="13" width="9.140625" style="209" hidden="1" customWidth="1"/>
    <col min="14" max="14" width="2.28515625" style="209" hidden="1" customWidth="1"/>
    <col min="15" max="15" width="13.5703125" style="209" customWidth="1"/>
    <col min="16" max="16" width="9.140625" style="209" customWidth="1"/>
    <col min="17" max="17" width="2.28515625" style="209" customWidth="1"/>
    <col min="18" max="18" width="15.7109375" style="209" hidden="1" customWidth="1"/>
    <col min="19" max="19" width="9.140625" style="209" hidden="1" customWidth="1"/>
    <col min="20" max="20" width="2.28515625" style="209" hidden="1" customWidth="1"/>
    <col min="21" max="21" width="13.5703125" style="209" customWidth="1"/>
    <col min="22" max="22" width="9.140625" style="209" customWidth="1"/>
    <col min="23" max="23" width="2.28515625" style="209" customWidth="1"/>
    <col min="24" max="24" width="15.7109375" style="209" hidden="1" customWidth="1"/>
    <col min="25" max="25" width="9.140625" style="209" hidden="1" customWidth="1"/>
    <col min="26" max="26" width="2.28515625" style="209" hidden="1" customWidth="1"/>
    <col min="27" max="27" width="13.5703125" style="209" customWidth="1"/>
    <col min="28" max="28" width="9.140625" style="209" customWidth="1"/>
    <col min="29" max="29" width="2.28515625" style="209" customWidth="1"/>
    <col min="30" max="30" width="0" style="209" hidden="1" customWidth="1"/>
    <col min="31" max="31" width="9.140625" style="209" hidden="1" customWidth="1"/>
    <col min="32" max="32" width="2.28515625" style="209" hidden="1" customWidth="1"/>
    <col min="33" max="33" width="2.42578125" style="209" customWidth="1"/>
    <col min="34" max="34" width="12.28515625" style="209" customWidth="1"/>
    <col min="35" max="35" width="7.7109375" style="209" customWidth="1"/>
    <col min="36" max="36" width="2.42578125" style="209" customWidth="1"/>
    <col min="37" max="37" width="12.28515625" style="209" customWidth="1"/>
    <col min="38" max="38" width="7.7109375" style="209" customWidth="1"/>
    <col min="39" max="39" width="2.42578125" style="209" customWidth="1"/>
    <col min="40" max="40" width="12.28515625" style="209" customWidth="1"/>
    <col min="41" max="41" width="7.7109375" style="209" customWidth="1"/>
    <col min="42" max="43" width="2.42578125" style="209" customWidth="1"/>
    <col min="44" max="16384" width="14.5703125" style="209"/>
  </cols>
  <sheetData>
    <row r="1" spans="2:33" s="208" customFormat="1" ht="19.899999999999999" customHeight="1">
      <c r="B1" s="595" t="s">
        <v>292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207"/>
    </row>
    <row r="2" spans="2:33" s="208" customFormat="1" ht="19.899999999999999" customHeight="1">
      <c r="B2" s="595" t="s">
        <v>263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207"/>
    </row>
    <row r="3" spans="2:33" s="208" customFormat="1" ht="19.899999999999999" customHeight="1">
      <c r="B3" s="596" t="s">
        <v>30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207"/>
    </row>
    <row r="4" spans="2:33" ht="15.6" customHeight="1">
      <c r="B4" s="597" t="s">
        <v>106</v>
      </c>
      <c r="C4" s="600" t="s">
        <v>107</v>
      </c>
      <c r="D4" s="601"/>
      <c r="E4" s="601"/>
      <c r="F4" s="602"/>
      <c r="G4" s="602"/>
      <c r="H4" s="602"/>
      <c r="I4" s="601" t="s">
        <v>108</v>
      </c>
      <c r="J4" s="601"/>
      <c r="K4" s="601"/>
      <c r="L4" s="602"/>
      <c r="M4" s="602"/>
      <c r="N4" s="602"/>
      <c r="O4" s="601" t="s">
        <v>109</v>
      </c>
      <c r="P4" s="601"/>
      <c r="Q4" s="601"/>
      <c r="R4" s="601"/>
      <c r="S4" s="601"/>
      <c r="T4" s="601"/>
      <c r="U4" s="601" t="s">
        <v>110</v>
      </c>
      <c r="V4" s="601"/>
      <c r="W4" s="601"/>
      <c r="X4" s="601"/>
      <c r="Y4" s="601"/>
      <c r="Z4" s="601"/>
      <c r="AA4" s="601" t="s">
        <v>111</v>
      </c>
      <c r="AB4" s="601"/>
      <c r="AC4" s="601"/>
      <c r="AD4" s="602"/>
      <c r="AE4" s="602"/>
      <c r="AF4" s="602"/>
    </row>
    <row r="5" spans="2:33" ht="15.6" customHeight="1">
      <c r="B5" s="598"/>
      <c r="C5" s="603" t="s">
        <v>112</v>
      </c>
      <c r="D5" s="591"/>
      <c r="E5" s="591"/>
      <c r="F5" s="604" t="s">
        <v>107</v>
      </c>
      <c r="G5" s="604"/>
      <c r="H5" s="604"/>
      <c r="I5" s="591" t="s">
        <v>113</v>
      </c>
      <c r="J5" s="591"/>
      <c r="K5" s="591"/>
      <c r="L5" s="590" t="s">
        <v>1</v>
      </c>
      <c r="M5" s="590"/>
      <c r="N5" s="590"/>
      <c r="O5" s="591" t="s">
        <v>112</v>
      </c>
      <c r="P5" s="591"/>
      <c r="Q5" s="591"/>
      <c r="R5" s="590" t="s">
        <v>37</v>
      </c>
      <c r="S5" s="590"/>
      <c r="T5" s="590"/>
      <c r="U5" s="591" t="s">
        <v>112</v>
      </c>
      <c r="V5" s="591"/>
      <c r="W5" s="591"/>
      <c r="X5" s="590" t="s">
        <v>38</v>
      </c>
      <c r="Y5" s="590"/>
      <c r="Z5" s="590"/>
      <c r="AA5" s="591" t="s">
        <v>112</v>
      </c>
      <c r="AB5" s="591"/>
      <c r="AC5" s="591"/>
      <c r="AD5" s="590" t="s">
        <v>114</v>
      </c>
      <c r="AE5" s="590"/>
      <c r="AF5" s="590"/>
    </row>
    <row r="6" spans="2:33" ht="15.6" customHeight="1">
      <c r="B6" s="598"/>
      <c r="C6" s="592" t="s">
        <v>115</v>
      </c>
      <c r="D6" s="586"/>
      <c r="E6" s="586"/>
      <c r="F6" s="593" t="s">
        <v>116</v>
      </c>
      <c r="G6" s="593"/>
      <c r="H6" s="593"/>
      <c r="I6" s="586" t="s">
        <v>117</v>
      </c>
      <c r="J6" s="586"/>
      <c r="K6" s="586"/>
      <c r="L6" s="587" t="s">
        <v>116</v>
      </c>
      <c r="M6" s="587"/>
      <c r="N6" s="587"/>
      <c r="O6" s="585" t="s">
        <v>118</v>
      </c>
      <c r="P6" s="585"/>
      <c r="Q6" s="585"/>
      <c r="R6" s="594" t="s">
        <v>116</v>
      </c>
      <c r="S6" s="594"/>
      <c r="T6" s="594"/>
      <c r="U6" s="585" t="s">
        <v>119</v>
      </c>
      <c r="V6" s="586"/>
      <c r="W6" s="586"/>
      <c r="X6" s="587" t="s">
        <v>116</v>
      </c>
      <c r="Y6" s="587"/>
      <c r="Z6" s="587"/>
      <c r="AA6" s="586" t="s">
        <v>120</v>
      </c>
      <c r="AB6" s="586"/>
      <c r="AC6" s="586"/>
      <c r="AD6" s="587" t="s">
        <v>116</v>
      </c>
      <c r="AE6" s="587"/>
      <c r="AF6" s="587"/>
    </row>
    <row r="7" spans="2:33" ht="15.6" customHeight="1">
      <c r="B7" s="599"/>
      <c r="C7" s="210" t="s">
        <v>30</v>
      </c>
      <c r="D7" s="588" t="s">
        <v>31</v>
      </c>
      <c r="E7" s="588"/>
      <c r="F7" s="254" t="s">
        <v>30</v>
      </c>
      <c r="G7" s="254" t="s">
        <v>31</v>
      </c>
      <c r="H7" s="254"/>
      <c r="I7" s="253" t="s">
        <v>30</v>
      </c>
      <c r="J7" s="588" t="s">
        <v>31</v>
      </c>
      <c r="K7" s="588"/>
      <c r="L7" s="254" t="s">
        <v>30</v>
      </c>
      <c r="M7" s="254" t="s">
        <v>31</v>
      </c>
      <c r="N7" s="254"/>
      <c r="O7" s="253" t="s">
        <v>30</v>
      </c>
      <c r="P7" s="588" t="s">
        <v>31</v>
      </c>
      <c r="Q7" s="588"/>
      <c r="R7" s="254" t="s">
        <v>30</v>
      </c>
      <c r="S7" s="254" t="s">
        <v>31</v>
      </c>
      <c r="T7" s="254"/>
      <c r="U7" s="253" t="s">
        <v>30</v>
      </c>
      <c r="V7" s="588" t="s">
        <v>31</v>
      </c>
      <c r="W7" s="588"/>
      <c r="X7" s="254" t="s">
        <v>30</v>
      </c>
      <c r="Y7" s="254" t="s">
        <v>31</v>
      </c>
      <c r="Z7" s="254"/>
      <c r="AA7" s="253" t="s">
        <v>30</v>
      </c>
      <c r="AB7" s="588" t="s">
        <v>31</v>
      </c>
      <c r="AC7" s="588"/>
      <c r="AD7" s="254" t="s">
        <v>30</v>
      </c>
      <c r="AE7" s="589" t="s">
        <v>31</v>
      </c>
      <c r="AF7" s="589"/>
    </row>
    <row r="8" spans="2:33" ht="15.6" customHeight="1">
      <c r="B8" s="211">
        <v>2008</v>
      </c>
      <c r="C8" s="216">
        <v>15359.434967270563</v>
      </c>
      <c r="D8" s="212"/>
      <c r="E8" s="213"/>
      <c r="F8" s="214"/>
      <c r="G8" s="215"/>
      <c r="H8" s="215"/>
      <c r="I8" s="216"/>
      <c r="J8" s="217"/>
      <c r="K8" s="213"/>
      <c r="L8" s="218"/>
      <c r="M8" s="215"/>
      <c r="N8" s="215"/>
      <c r="O8" s="292">
        <v>46548.937569862734</v>
      </c>
      <c r="P8" s="217"/>
      <c r="Q8" s="213"/>
      <c r="R8" s="214"/>
      <c r="S8" s="215"/>
      <c r="T8" s="215"/>
      <c r="U8" s="294">
        <v>19974.425969381336</v>
      </c>
      <c r="V8" s="217"/>
      <c r="W8" s="213"/>
      <c r="X8" s="214"/>
      <c r="Y8" s="215"/>
      <c r="Z8" s="215"/>
      <c r="AA8" s="216">
        <f t="shared" ref="AA8:AA31" si="0">(U8+O8+I8+C8)</f>
        <v>81882.798506514635</v>
      </c>
      <c r="AB8" s="213"/>
      <c r="AC8" s="213"/>
      <c r="AD8" s="214"/>
      <c r="AE8" s="219"/>
      <c r="AF8" s="220"/>
    </row>
    <row r="9" spans="2:33" ht="15.6" customHeight="1">
      <c r="B9" s="221">
        <v>2009</v>
      </c>
      <c r="C9" s="216">
        <v>15725.551566784894</v>
      </c>
      <c r="D9" s="212">
        <f>(C9-C8)/C8</f>
        <v>2.3836592966765335E-2</v>
      </c>
      <c r="E9" s="213"/>
      <c r="F9" s="214">
        <f>(C9+C10)/2</f>
        <v>16226.606541310957</v>
      </c>
      <c r="G9" s="215"/>
      <c r="H9" s="215"/>
      <c r="I9" s="293">
        <v>9608.9066223807986</v>
      </c>
      <c r="J9" s="217" t="e">
        <f>(I9-I8)/I8</f>
        <v>#DIV/0!</v>
      </c>
      <c r="K9" s="213"/>
      <c r="L9" s="218">
        <f>(I9+I10)/2</f>
        <v>7683.3772956681887</v>
      </c>
      <c r="M9" s="215"/>
      <c r="N9" s="215"/>
      <c r="O9" s="292">
        <v>42007.01943319838</v>
      </c>
      <c r="P9" s="217">
        <f>(O9-O8)/O8</f>
        <v>-9.7572971023186919E-2</v>
      </c>
      <c r="Q9" s="213"/>
      <c r="R9" s="214">
        <f>(O9+O10)/2</f>
        <v>40539.055788226979</v>
      </c>
      <c r="S9" s="215"/>
      <c r="T9" s="215"/>
      <c r="U9" s="294">
        <v>48748.312642159632</v>
      </c>
      <c r="V9" s="217">
        <f>(U9-U8)/U8</f>
        <v>1.4405363496746086</v>
      </c>
      <c r="W9" s="213"/>
      <c r="X9" s="214">
        <f>(U9+U10)/2</f>
        <v>56244.687953658198</v>
      </c>
      <c r="Y9" s="215"/>
      <c r="Z9" s="215"/>
      <c r="AA9" s="216">
        <f t="shared" si="0"/>
        <v>116089.79026452372</v>
      </c>
      <c r="AB9" s="217">
        <f>(AA9-AA8)/AA8</f>
        <v>0.41775552841281505</v>
      </c>
      <c r="AC9" s="213"/>
      <c r="AD9" s="214">
        <f>(AA9+AA10)/2</f>
        <v>120693.72757886435</v>
      </c>
      <c r="AE9" s="219"/>
      <c r="AF9" s="220"/>
    </row>
    <row r="10" spans="2:33" ht="15.6" customHeight="1">
      <c r="B10" s="221">
        <v>2010</v>
      </c>
      <c r="C10" s="216">
        <v>16727.661515837022</v>
      </c>
      <c r="D10" s="212">
        <f>(C10-C9)/C9</f>
        <v>6.3724947566784193E-2</v>
      </c>
      <c r="E10" s="213"/>
      <c r="F10" s="214">
        <f>(C10+C11)/2</f>
        <v>15214.836194004618</v>
      </c>
      <c r="G10" s="222">
        <f t="shared" ref="G10:G25" si="1">(F10-F9)/F9</f>
        <v>-6.2352553180512242E-2</v>
      </c>
      <c r="H10" s="215"/>
      <c r="I10" s="293">
        <v>5757.8479689555788</v>
      </c>
      <c r="J10" s="217">
        <f>(I10-I9)/I9</f>
        <v>-0.4007801100341053</v>
      </c>
      <c r="K10" s="213"/>
      <c r="L10" s="218">
        <f>(I10+I11)/2</f>
        <v>5723.5553256443854</v>
      </c>
      <c r="M10" s="223">
        <f t="shared" ref="M10:M25" si="2">(L10-L9)/L9</f>
        <v>-0.25507298348198143</v>
      </c>
      <c r="N10" s="215"/>
      <c r="O10" s="292">
        <v>39071.092143255577</v>
      </c>
      <c r="P10" s="217">
        <f>(O10-O9)/O9</f>
        <v>-6.9891349816229131E-2</v>
      </c>
      <c r="Q10" s="213"/>
      <c r="R10" s="214">
        <f>(O10+O11)/2</f>
        <v>34707.744638972174</v>
      </c>
      <c r="S10" s="223">
        <f t="shared" ref="S10:S25" si="3">(R10-R9)/R9</f>
        <v>-0.14384427648530204</v>
      </c>
      <c r="T10" s="215"/>
      <c r="U10" s="294">
        <v>63741.063265156772</v>
      </c>
      <c r="V10" s="217">
        <f>(U10-U9)/U9</f>
        <v>0.30755424773473627</v>
      </c>
      <c r="W10" s="213"/>
      <c r="X10" s="214">
        <f>(U10+U11)/2</f>
        <v>51814.322895659847</v>
      </c>
      <c r="Y10" s="223">
        <f t="shared" ref="Y10:Y25" si="4">(X10-X9)/X9</f>
        <v>-7.8769484180420221E-2</v>
      </c>
      <c r="Z10" s="215"/>
      <c r="AA10" s="216">
        <f t="shared" si="0"/>
        <v>125297.66489320496</v>
      </c>
      <c r="AB10" s="217">
        <f>(AA10-AA9)/AA9</f>
        <v>7.9316834044579232E-2</v>
      </c>
      <c r="AC10" s="213"/>
      <c r="AD10" s="214">
        <f>(AA10+AA11)/2</f>
        <v>107460.45905428103</v>
      </c>
      <c r="AE10" s="224">
        <f t="shared" ref="AE10:AE25" si="5">(AD10-AD9)/AD9</f>
        <v>-0.10964338238651515</v>
      </c>
      <c r="AF10" s="220"/>
    </row>
    <row r="11" spans="2:33" ht="15.6" customHeight="1">
      <c r="B11" s="221">
        <v>2011</v>
      </c>
      <c r="C11" s="216">
        <v>13702.010872172214</v>
      </c>
      <c r="D11" s="212">
        <f t="shared" ref="D11:D31" si="6">(C11-C10)/C10</f>
        <v>-0.18087708439104022</v>
      </c>
      <c r="E11" s="213"/>
      <c r="F11" s="214">
        <f t="shared" ref="F11:F24" si="7">(C11+C12)/2</f>
        <v>13354.096335376529</v>
      </c>
      <c r="G11" s="222">
        <f t="shared" si="1"/>
        <v>-0.12229772538473403</v>
      </c>
      <c r="H11" s="215"/>
      <c r="I11" s="293">
        <v>5689.2626823331912</v>
      </c>
      <c r="J11" s="217">
        <f t="shared" ref="J11:J24" si="8">(I11-I10)/I10</f>
        <v>-1.1911618193494684E-2</v>
      </c>
      <c r="K11" s="213"/>
      <c r="L11" s="218">
        <f t="shared" ref="L11:L21" si="9">(I11+I12)/2</f>
        <v>5098.4394495224587</v>
      </c>
      <c r="M11" s="223">
        <f t="shared" si="2"/>
        <v>-0.10921810667594939</v>
      </c>
      <c r="N11" s="215"/>
      <c r="O11" s="292">
        <v>30344.397134688763</v>
      </c>
      <c r="P11" s="217">
        <f t="shared" ref="P11:P24" si="10">(O11-O10)/O10</f>
        <v>-0.22335426346850173</v>
      </c>
      <c r="Q11" s="213"/>
      <c r="R11" s="214">
        <f t="shared" ref="R11:R21" si="11">(O11+O12)/2</f>
        <v>28573.05692640716</v>
      </c>
      <c r="S11" s="223">
        <f t="shared" si="3"/>
        <v>-0.17675270393906772</v>
      </c>
      <c r="T11" s="215"/>
      <c r="U11" s="294">
        <v>39887.582526162929</v>
      </c>
      <c r="V11" s="217">
        <f t="shared" ref="V11:V24" si="12">(U11-U10)/U10</f>
        <v>-0.37422470723096707</v>
      </c>
      <c r="W11" s="213"/>
      <c r="X11" s="214">
        <f t="shared" ref="X11:X21" si="13">(U11+U12)/2</f>
        <v>38389.833481522917</v>
      </c>
      <c r="Y11" s="223">
        <f t="shared" si="4"/>
        <v>-0.25908838838192005</v>
      </c>
      <c r="Z11" s="215"/>
      <c r="AA11" s="216">
        <f t="shared" si="0"/>
        <v>89623.253215357108</v>
      </c>
      <c r="AB11" s="217">
        <f t="shared" ref="AB11:AB31" si="14">(AA11-AA10)/AA10</f>
        <v>-0.28471729068737428</v>
      </c>
      <c r="AC11" s="213"/>
      <c r="AD11" s="214">
        <f t="shared" ref="AD11:AD24" si="15">(AA11+AA12)/2</f>
        <v>85415.426192829065</v>
      </c>
      <c r="AE11" s="224">
        <f t="shared" si="5"/>
        <v>-0.2051455303230787</v>
      </c>
      <c r="AF11" s="220"/>
    </row>
    <row r="12" spans="2:33">
      <c r="B12" s="221">
        <v>2012</v>
      </c>
      <c r="C12" s="216">
        <v>13006.181798580843</v>
      </c>
      <c r="D12" s="212">
        <f t="shared" si="6"/>
        <v>-5.078298945190219E-2</v>
      </c>
      <c r="E12" s="213"/>
      <c r="F12" s="214">
        <f t="shared" si="7"/>
        <v>13507.393874623958</v>
      </c>
      <c r="G12" s="222">
        <f t="shared" si="1"/>
        <v>1.1479439371822289E-2</v>
      </c>
      <c r="H12" s="215"/>
      <c r="I12" s="293">
        <v>4507.6162167117272</v>
      </c>
      <c r="J12" s="217">
        <f t="shared" si="8"/>
        <v>-0.20769764582866221</v>
      </c>
      <c r="K12" s="213"/>
      <c r="L12" s="218">
        <f t="shared" si="9"/>
        <v>4967.7709070796682</v>
      </c>
      <c r="M12" s="223">
        <f t="shared" si="2"/>
        <v>-2.5629125095332755E-2</v>
      </c>
      <c r="N12" s="215"/>
      <c r="O12" s="292">
        <v>26801.716718125561</v>
      </c>
      <c r="P12" s="217">
        <f t="shared" si="10"/>
        <v>-0.11674907894325312</v>
      </c>
      <c r="Q12" s="213"/>
      <c r="R12" s="214">
        <f t="shared" si="11"/>
        <v>26962.959458506328</v>
      </c>
      <c r="S12" s="223">
        <f t="shared" si="3"/>
        <v>-5.6350199842033127E-2</v>
      </c>
      <c r="T12" s="215"/>
      <c r="U12" s="294">
        <v>36892.084436882898</v>
      </c>
      <c r="V12" s="217">
        <f t="shared" si="12"/>
        <v>-7.5098511856797376E-2</v>
      </c>
      <c r="W12" s="213"/>
      <c r="X12" s="214">
        <f t="shared" si="13"/>
        <v>37163.004125103776</v>
      </c>
      <c r="Y12" s="223">
        <f t="shared" si="4"/>
        <v>-3.1957141908667448E-2</v>
      </c>
      <c r="Z12" s="215"/>
      <c r="AA12" s="216">
        <f t="shared" si="0"/>
        <v>81207.599170301037</v>
      </c>
      <c r="AB12" s="217">
        <f t="shared" si="14"/>
        <v>-9.3900341073693966E-2</v>
      </c>
      <c r="AC12" s="213"/>
      <c r="AD12" s="214">
        <f t="shared" si="15"/>
        <v>82601.128365313736</v>
      </c>
      <c r="AE12" s="224">
        <f t="shared" si="5"/>
        <v>-3.2948355501521802E-2</v>
      </c>
      <c r="AF12" s="220"/>
    </row>
    <row r="13" spans="2:33" ht="15.6" customHeight="1">
      <c r="B13" s="221">
        <v>2013</v>
      </c>
      <c r="C13" s="216">
        <v>14008.605950667074</v>
      </c>
      <c r="D13" s="212">
        <f t="shared" si="6"/>
        <v>7.7072900226230048E-2</v>
      </c>
      <c r="E13" s="213"/>
      <c r="F13" s="214">
        <f>(C13+C14)/2</f>
        <v>15203.000965794701</v>
      </c>
      <c r="G13" s="222">
        <f t="shared" si="1"/>
        <v>0.12553177222115677</v>
      </c>
      <c r="H13" s="215"/>
      <c r="I13" s="293">
        <v>5427.9255974476091</v>
      </c>
      <c r="J13" s="217">
        <f t="shared" si="8"/>
        <v>0.20416764349278183</v>
      </c>
      <c r="K13" s="213"/>
      <c r="L13" s="218">
        <f t="shared" si="9"/>
        <v>5100.0712899449518</v>
      </c>
      <c r="M13" s="223">
        <f t="shared" si="2"/>
        <v>2.6631739937270402E-2</v>
      </c>
      <c r="N13" s="215"/>
      <c r="O13" s="292">
        <v>27124.202198887095</v>
      </c>
      <c r="P13" s="217">
        <f t="shared" si="10"/>
        <v>1.2032269580084107E-2</v>
      </c>
      <c r="Q13" s="213"/>
      <c r="R13" s="214">
        <f t="shared" si="11"/>
        <v>25342.752597370596</v>
      </c>
      <c r="S13" s="223">
        <f t="shared" si="3"/>
        <v>-6.0090097440123016E-2</v>
      </c>
      <c r="T13" s="215"/>
      <c r="U13" s="294">
        <v>37433.923813324662</v>
      </c>
      <c r="V13" s="217">
        <f t="shared" si="12"/>
        <v>1.4687144538248396E-2</v>
      </c>
      <c r="W13" s="213"/>
      <c r="X13" s="214">
        <f t="shared" si="13"/>
        <v>37122.411925148655</v>
      </c>
      <c r="Y13" s="223">
        <f t="shared" si="4"/>
        <v>-1.0922744517228309E-3</v>
      </c>
      <c r="Z13" s="215"/>
      <c r="AA13" s="216">
        <f t="shared" si="0"/>
        <v>83994.657560326435</v>
      </c>
      <c r="AB13" s="217">
        <f t="shared" si="14"/>
        <v>3.4320167305779338E-2</v>
      </c>
      <c r="AC13" s="213"/>
      <c r="AD13" s="214">
        <f t="shared" si="15"/>
        <v>82768.236778258899</v>
      </c>
      <c r="AE13" s="224">
        <f t="shared" si="5"/>
        <v>2.0230766365091912E-3</v>
      </c>
      <c r="AF13" s="220"/>
    </row>
    <row r="14" spans="2:33" ht="15.6" customHeight="1">
      <c r="B14" s="225">
        <v>2014</v>
      </c>
      <c r="C14" s="216">
        <v>16397.395980922331</v>
      </c>
      <c r="D14" s="212">
        <f t="shared" si="6"/>
        <v>0.17052303695797122</v>
      </c>
      <c r="E14" s="213"/>
      <c r="F14" s="214">
        <f t="shared" si="7"/>
        <v>16169.820898282451</v>
      </c>
      <c r="G14" s="222">
        <f t="shared" si="1"/>
        <v>6.3594019013943501E-2</v>
      </c>
      <c r="H14" s="215"/>
      <c r="I14" s="293">
        <v>4772.2169824422954</v>
      </c>
      <c r="J14" s="217">
        <f t="shared" si="8"/>
        <v>-0.12080280085520143</v>
      </c>
      <c r="K14" s="213"/>
      <c r="L14" s="218">
        <f t="shared" si="9"/>
        <v>5186.762544295575</v>
      </c>
      <c r="M14" s="223">
        <f t="shared" si="2"/>
        <v>1.6998047560931047E-2</v>
      </c>
      <c r="N14" s="215"/>
      <c r="O14" s="292">
        <v>23561.302995854097</v>
      </c>
      <c r="P14" s="217">
        <f t="shared" si="10"/>
        <v>-0.1313549861082802</v>
      </c>
      <c r="Q14" s="213"/>
      <c r="R14" s="214">
        <f t="shared" si="11"/>
        <v>23957.054871883309</v>
      </c>
      <c r="S14" s="223">
        <f t="shared" si="3"/>
        <v>-5.4678264334674459E-2</v>
      </c>
      <c r="T14" s="215"/>
      <c r="U14" s="294">
        <v>36810.900036972656</v>
      </c>
      <c r="V14" s="217">
        <f t="shared" si="12"/>
        <v>-1.6643293378992216E-2</v>
      </c>
      <c r="W14" s="213"/>
      <c r="X14" s="214">
        <f t="shared" si="13"/>
        <v>30858.639206452048</v>
      </c>
      <c r="Y14" s="223">
        <f t="shared" si="4"/>
        <v>-0.1687329134574147</v>
      </c>
      <c r="Z14" s="215"/>
      <c r="AA14" s="216">
        <f t="shared" si="0"/>
        <v>81541.815996191377</v>
      </c>
      <c r="AB14" s="217">
        <f t="shared" si="14"/>
        <v>-2.9202352094517256E-2</v>
      </c>
      <c r="AC14" s="213"/>
      <c r="AD14" s="214">
        <f t="shared" si="15"/>
        <v>76172.277520913383</v>
      </c>
      <c r="AE14" s="224">
        <f t="shared" si="5"/>
        <v>-7.9691914605073549E-2</v>
      </c>
      <c r="AF14" s="220"/>
    </row>
    <row r="15" spans="2:33" ht="15.6" customHeight="1">
      <c r="B15" s="221">
        <v>2015</v>
      </c>
      <c r="C15" s="216">
        <v>15942.245815642573</v>
      </c>
      <c r="D15" s="212">
        <f t="shared" si="6"/>
        <v>-2.7757466234840315E-2</v>
      </c>
      <c r="E15" s="213"/>
      <c r="F15" s="214">
        <f t="shared" si="7"/>
        <v>18554.147774874611</v>
      </c>
      <c r="G15" s="222">
        <f t="shared" si="1"/>
        <v>0.14745536710585472</v>
      </c>
      <c r="H15" s="215"/>
      <c r="I15" s="293">
        <v>5601.3081061488547</v>
      </c>
      <c r="J15" s="217">
        <f t="shared" si="8"/>
        <v>0.17373290585002951</v>
      </c>
      <c r="K15" s="213"/>
      <c r="L15" s="218">
        <f t="shared" si="9"/>
        <v>5393.7041773611309</v>
      </c>
      <c r="M15" s="223">
        <f t="shared" si="2"/>
        <v>3.9898034910649839E-2</v>
      </c>
      <c r="N15" s="215"/>
      <c r="O15" s="292">
        <v>24352.806747912517</v>
      </c>
      <c r="P15" s="217">
        <f t="shared" si="10"/>
        <v>3.3593377760037041E-2</v>
      </c>
      <c r="Q15" s="213"/>
      <c r="R15" s="214">
        <f t="shared" si="11"/>
        <v>21949.903373956258</v>
      </c>
      <c r="S15" s="223">
        <f t="shared" si="3"/>
        <v>-8.3781228897325838E-2</v>
      </c>
      <c r="T15" s="215"/>
      <c r="U15" s="294">
        <v>24906.378375931443</v>
      </c>
      <c r="V15" s="217">
        <f t="shared" si="12"/>
        <v>-0.32339664743552538</v>
      </c>
      <c r="W15" s="213"/>
      <c r="X15" s="214">
        <f t="shared" si="13"/>
        <v>19637.797503782895</v>
      </c>
      <c r="Y15" s="223">
        <f t="shared" si="4"/>
        <v>-0.36362075552323947</v>
      </c>
      <c r="Z15" s="215"/>
      <c r="AA15" s="216">
        <f t="shared" si="0"/>
        <v>70802.73904563539</v>
      </c>
      <c r="AB15" s="217">
        <f t="shared" si="14"/>
        <v>-0.13170024262223426</v>
      </c>
      <c r="AC15" s="213"/>
      <c r="AD15" s="214">
        <f t="shared" si="15"/>
        <v>65535.552829974898</v>
      </c>
      <c r="AE15" s="224">
        <f t="shared" si="5"/>
        <v>-0.13964036572253116</v>
      </c>
      <c r="AF15" s="220"/>
    </row>
    <row r="16" spans="2:33" ht="15.6" customHeight="1">
      <c r="B16" s="221">
        <v>2016</v>
      </c>
      <c r="C16" s="216">
        <v>21166.049734106648</v>
      </c>
      <c r="D16" s="212">
        <f t="shared" si="6"/>
        <v>0.32767051636717737</v>
      </c>
      <c r="E16" s="213"/>
      <c r="F16" s="214">
        <f t="shared" si="7"/>
        <v>20743.602532268938</v>
      </c>
      <c r="G16" s="222">
        <f t="shared" si="1"/>
        <v>0.11800352050441312</v>
      </c>
      <c r="H16" s="215"/>
      <c r="I16" s="293">
        <v>5186.100248573408</v>
      </c>
      <c r="J16" s="217">
        <f t="shared" si="8"/>
        <v>-7.4126944939816988E-2</v>
      </c>
      <c r="K16" s="213"/>
      <c r="L16" s="218">
        <f t="shared" si="9"/>
        <v>5150.8547443990519</v>
      </c>
      <c r="M16" s="223">
        <f t="shared" si="2"/>
        <v>-4.5024611097765656E-2</v>
      </c>
      <c r="N16" s="215"/>
      <c r="O16" s="292">
        <v>19547</v>
      </c>
      <c r="P16" s="217">
        <f t="shared" si="10"/>
        <v>-0.19734097993959002</v>
      </c>
      <c r="Q16" s="213"/>
      <c r="R16" s="214">
        <f t="shared" si="11"/>
        <v>20155</v>
      </c>
      <c r="S16" s="223">
        <f t="shared" si="3"/>
        <v>-8.1772723249703499E-2</v>
      </c>
      <c r="T16" s="215"/>
      <c r="U16" s="294">
        <v>14369.216631634348</v>
      </c>
      <c r="V16" s="217">
        <f t="shared" si="12"/>
        <v>-0.42307081283563086</v>
      </c>
      <c r="W16" s="213"/>
      <c r="X16" s="214">
        <f t="shared" si="13"/>
        <v>15142.175924306735</v>
      </c>
      <c r="Y16" s="223">
        <f t="shared" si="4"/>
        <v>-0.22892697506480308</v>
      </c>
      <c r="Z16" s="215"/>
      <c r="AA16" s="216">
        <f t="shared" si="0"/>
        <v>60268.366614314407</v>
      </c>
      <c r="AB16" s="217">
        <f t="shared" si="14"/>
        <v>-0.14878481501303403</v>
      </c>
      <c r="AC16" s="213"/>
      <c r="AD16" s="214">
        <f t="shared" si="15"/>
        <v>61191.633200974728</v>
      </c>
      <c r="AE16" s="224">
        <f t="shared" si="5"/>
        <v>-6.628340559314444E-2</v>
      </c>
      <c r="AF16" s="220"/>
    </row>
    <row r="17" spans="2:34">
      <c r="B17" s="225">
        <v>2017</v>
      </c>
      <c r="C17" s="216">
        <v>20321.155330431233</v>
      </c>
      <c r="D17" s="212">
        <f t="shared" si="6"/>
        <v>-3.9917434490100663E-2</v>
      </c>
      <c r="E17" s="213"/>
      <c r="F17" s="214">
        <f t="shared" si="7"/>
        <v>20098.861407082684</v>
      </c>
      <c r="G17" s="222">
        <f t="shared" si="1"/>
        <v>-3.1081444227601684E-2</v>
      </c>
      <c r="H17" s="215"/>
      <c r="I17" s="293">
        <v>5115.609240224695</v>
      </c>
      <c r="J17" s="217">
        <f t="shared" si="8"/>
        <v>-1.3592295746327624E-2</v>
      </c>
      <c r="K17" s="213"/>
      <c r="L17" s="218">
        <f t="shared" si="9"/>
        <v>5316.6485115886335</v>
      </c>
      <c r="M17" s="223">
        <f t="shared" si="2"/>
        <v>3.2187622330034207E-2</v>
      </c>
      <c r="N17" s="215"/>
      <c r="O17" s="292">
        <v>20763</v>
      </c>
      <c r="P17" s="217">
        <f t="shared" si="10"/>
        <v>6.2209034634470764E-2</v>
      </c>
      <c r="Q17" s="213"/>
      <c r="R17" s="214">
        <f t="shared" si="11"/>
        <v>24389</v>
      </c>
      <c r="S17" s="223">
        <f t="shared" si="3"/>
        <v>0.21007194244604316</v>
      </c>
      <c r="T17" s="215"/>
      <c r="U17" s="294">
        <v>15915.135216979121</v>
      </c>
      <c r="V17" s="217">
        <f t="shared" si="12"/>
        <v>0.10758544637300388</v>
      </c>
      <c r="W17" s="213"/>
      <c r="X17" s="214">
        <f t="shared" si="13"/>
        <v>17352.076819875663</v>
      </c>
      <c r="Y17" s="223">
        <f t="shared" si="4"/>
        <v>0.14594341702380567</v>
      </c>
      <c r="Z17" s="215"/>
      <c r="AA17" s="216">
        <f t="shared" si="0"/>
        <v>62114.899787635048</v>
      </c>
      <c r="AB17" s="217">
        <f t="shared" si="14"/>
        <v>3.0638513652401993E-2</v>
      </c>
      <c r="AC17" s="213"/>
      <c r="AD17" s="214">
        <f t="shared" si="15"/>
        <v>67156.586738546976</v>
      </c>
      <c r="AE17" s="224">
        <f t="shared" si="5"/>
        <v>9.747988778108363E-2</v>
      </c>
      <c r="AF17" s="220"/>
    </row>
    <row r="18" spans="2:34">
      <c r="B18" s="225">
        <v>2018</v>
      </c>
      <c r="C18" s="216">
        <v>19876.567483734136</v>
      </c>
      <c r="D18" s="212">
        <f t="shared" si="6"/>
        <v>-2.187807924637632E-2</v>
      </c>
      <c r="E18" s="213"/>
      <c r="F18" s="214">
        <f t="shared" si="7"/>
        <v>21244.407164639528</v>
      </c>
      <c r="G18" s="222">
        <f t="shared" si="1"/>
        <v>5.6995554840393196E-2</v>
      </c>
      <c r="H18" s="215"/>
      <c r="I18" s="293">
        <v>5517.687782952572</v>
      </c>
      <c r="J18" s="217">
        <f t="shared" si="8"/>
        <v>7.8598369000955265E-2</v>
      </c>
      <c r="K18" s="213"/>
      <c r="L18" s="218">
        <f t="shared" si="9"/>
        <v>5236.664525662587</v>
      </c>
      <c r="M18" s="223">
        <f t="shared" si="2"/>
        <v>-1.5044061263727766E-2</v>
      </c>
      <c r="N18" s="215"/>
      <c r="O18" s="292">
        <v>28015</v>
      </c>
      <c r="P18" s="217">
        <f t="shared" si="10"/>
        <v>0.34927515291624522</v>
      </c>
      <c r="Q18" s="213"/>
      <c r="R18" s="214">
        <f t="shared" si="11"/>
        <v>27366</v>
      </c>
      <c r="S18" s="223">
        <f t="shared" si="3"/>
        <v>0.12206322522448645</v>
      </c>
      <c r="T18" s="215"/>
      <c r="U18" s="294">
        <v>18789.018422772209</v>
      </c>
      <c r="V18" s="217">
        <f t="shared" si="12"/>
        <v>0.18057548155337541</v>
      </c>
      <c r="W18" s="213"/>
      <c r="X18" s="214">
        <f t="shared" si="13"/>
        <v>24609.088638433655</v>
      </c>
      <c r="Y18" s="223">
        <f t="shared" si="4"/>
        <v>0.41822151284194192</v>
      </c>
      <c r="Z18" s="215"/>
      <c r="AA18" s="216">
        <f t="shared" si="0"/>
        <v>72198.273689458903</v>
      </c>
      <c r="AB18" s="217">
        <f t="shared" si="14"/>
        <v>0.16233422152008545</v>
      </c>
      <c r="AC18" s="213"/>
      <c r="AD18" s="214">
        <f t="shared" si="15"/>
        <v>78456.160328735772</v>
      </c>
      <c r="AE18" s="224">
        <f t="shared" si="5"/>
        <v>0.16825711577897978</v>
      </c>
      <c r="AF18" s="220"/>
    </row>
    <row r="19" spans="2:34">
      <c r="B19" s="225">
        <v>2019</v>
      </c>
      <c r="C19" s="216">
        <v>22612.24684554492</v>
      </c>
      <c r="D19" s="212">
        <f t="shared" si="6"/>
        <v>0.1376333898722458</v>
      </c>
      <c r="E19" s="213"/>
      <c r="F19" s="214">
        <f t="shared" si="7"/>
        <v>22168.669639666077</v>
      </c>
      <c r="G19" s="222">
        <f t="shared" si="1"/>
        <v>4.3506155190103292E-2</v>
      </c>
      <c r="H19" s="215"/>
      <c r="I19" s="293">
        <v>4955.6412683726021</v>
      </c>
      <c r="J19" s="217">
        <f t="shared" si="8"/>
        <v>-0.10186268899020831</v>
      </c>
      <c r="K19" s="213"/>
      <c r="L19" s="218">
        <f t="shared" si="9"/>
        <v>4786.1511320800419</v>
      </c>
      <c r="M19" s="223">
        <f t="shared" si="2"/>
        <v>-8.60306004661512E-2</v>
      </c>
      <c r="N19" s="215"/>
      <c r="O19" s="292">
        <v>26717</v>
      </c>
      <c r="P19" s="217">
        <f t="shared" si="10"/>
        <v>-4.6332321970373014E-2</v>
      </c>
      <c r="Q19" s="213"/>
      <c r="R19" s="214">
        <f t="shared" si="11"/>
        <v>23997</v>
      </c>
      <c r="S19" s="223">
        <f t="shared" si="3"/>
        <v>-0.12310896733172549</v>
      </c>
      <c r="T19" s="215"/>
      <c r="U19" s="294">
        <v>30429.158854095105</v>
      </c>
      <c r="V19" s="217">
        <f t="shared" si="12"/>
        <v>0.61951828293569056</v>
      </c>
      <c r="W19" s="213"/>
      <c r="X19" s="214">
        <f t="shared" si="13"/>
        <v>28949.669986183108</v>
      </c>
      <c r="Y19" s="223">
        <f t="shared" si="4"/>
        <v>0.17638123099652203</v>
      </c>
      <c r="Z19" s="215"/>
      <c r="AA19" s="216">
        <f t="shared" si="0"/>
        <v>84714.046968012626</v>
      </c>
      <c r="AB19" s="217">
        <f t="shared" si="14"/>
        <v>0.17335280525386096</v>
      </c>
      <c r="AC19" s="213"/>
      <c r="AD19" s="214">
        <f t="shared" si="15"/>
        <v>79901.490757929219</v>
      </c>
      <c r="AE19" s="224">
        <f t="shared" si="5"/>
        <v>1.8422140761635935E-2</v>
      </c>
      <c r="AF19" s="220"/>
    </row>
    <row r="20" spans="2:34">
      <c r="B20" s="225">
        <v>2020</v>
      </c>
      <c r="C20" s="216">
        <v>21725.092433787238</v>
      </c>
      <c r="D20" s="212">
        <f t="shared" si="6"/>
        <v>-3.9233359595686051E-2</v>
      </c>
      <c r="E20" s="213"/>
      <c r="F20" s="214">
        <f t="shared" si="7"/>
        <v>20496.046216893621</v>
      </c>
      <c r="G20" s="222">
        <f t="shared" si="1"/>
        <v>-7.5449878137010776E-2</v>
      </c>
      <c r="H20" s="215"/>
      <c r="I20" s="293">
        <v>4616.6609957874825</v>
      </c>
      <c r="J20" s="217">
        <f t="shared" si="8"/>
        <v>-6.840290776261905E-2</v>
      </c>
      <c r="K20" s="213"/>
      <c r="L20" s="218">
        <f t="shared" si="9"/>
        <v>5195.3304978937413</v>
      </c>
      <c r="M20" s="223">
        <f t="shared" si="2"/>
        <v>8.5492362134388281E-2</v>
      </c>
      <c r="N20" s="215"/>
      <c r="O20" s="292">
        <v>21277</v>
      </c>
      <c r="P20" s="217">
        <f t="shared" si="10"/>
        <v>-0.2036156754126586</v>
      </c>
      <c r="Q20" s="213"/>
      <c r="R20" s="214">
        <f t="shared" si="11"/>
        <v>18249</v>
      </c>
      <c r="S20" s="223">
        <f t="shared" si="3"/>
        <v>-0.23952994124265534</v>
      </c>
      <c r="T20" s="215"/>
      <c r="U20" s="294">
        <v>27470.18111827111</v>
      </c>
      <c r="V20" s="217">
        <f t="shared" si="12"/>
        <v>-9.724152251503268E-2</v>
      </c>
      <c r="W20" s="213"/>
      <c r="X20" s="214">
        <f t="shared" si="13"/>
        <v>28035.090559135555</v>
      </c>
      <c r="Y20" s="223">
        <f t="shared" si="4"/>
        <v>-3.1592050185168141E-2</v>
      </c>
      <c r="Z20" s="215"/>
      <c r="AA20" s="216">
        <f t="shared" si="0"/>
        <v>75088.934547845827</v>
      </c>
      <c r="AB20" s="217">
        <f t="shared" si="14"/>
        <v>-0.11361884793204564</v>
      </c>
      <c r="AC20" s="213"/>
      <c r="AD20" s="214">
        <f t="shared" si="15"/>
        <v>71975.467273922914</v>
      </c>
      <c r="AE20" s="224">
        <f t="shared" si="5"/>
        <v>-9.9197441860241486E-2</v>
      </c>
      <c r="AF20" s="220"/>
    </row>
    <row r="21" spans="2:34">
      <c r="B21" s="225">
        <v>2021</v>
      </c>
      <c r="C21" s="216">
        <v>19267</v>
      </c>
      <c r="D21" s="212">
        <f t="shared" si="6"/>
        <v>-0.11314531532047112</v>
      </c>
      <c r="E21" s="213"/>
      <c r="F21" s="214">
        <f t="shared" si="7"/>
        <v>19600.864663951121</v>
      </c>
      <c r="G21" s="222">
        <f t="shared" si="1"/>
        <v>-4.3675816470625323E-2</v>
      </c>
      <c r="H21" s="215"/>
      <c r="I21" s="293">
        <v>5774</v>
      </c>
      <c r="J21" s="217">
        <f t="shared" si="8"/>
        <v>0.25068745685865668</v>
      </c>
      <c r="K21" s="213"/>
      <c r="L21" s="218">
        <f t="shared" si="9"/>
        <v>6317.9640529531571</v>
      </c>
      <c r="M21" s="223">
        <f t="shared" si="2"/>
        <v>0.21608510864025821</v>
      </c>
      <c r="N21" s="215"/>
      <c r="O21" s="292">
        <v>15221</v>
      </c>
      <c r="P21" s="217">
        <f t="shared" si="10"/>
        <v>-0.28462659209475022</v>
      </c>
      <c r="Q21" s="213"/>
      <c r="R21" s="214">
        <f t="shared" si="11"/>
        <v>17128.349490835033</v>
      </c>
      <c r="S21" s="223">
        <f t="shared" si="3"/>
        <v>-6.1408872221215792E-2</v>
      </c>
      <c r="T21" s="215"/>
      <c r="U21" s="294">
        <v>28600</v>
      </c>
      <c r="V21" s="217">
        <f t="shared" si="12"/>
        <v>4.1128920004732665E-2</v>
      </c>
      <c r="W21" s="213"/>
      <c r="X21" s="214">
        <f t="shared" si="13"/>
        <v>27815.135641547862</v>
      </c>
      <c r="Y21" s="223">
        <f t="shared" si="4"/>
        <v>-7.8457002706566227E-3</v>
      </c>
      <c r="Z21" s="215"/>
      <c r="AA21" s="216">
        <f t="shared" si="0"/>
        <v>68862</v>
      </c>
      <c r="AB21" s="217">
        <f t="shared" si="14"/>
        <v>-8.292745909023512E-2</v>
      </c>
      <c r="AC21" s="213"/>
      <c r="AD21" s="214">
        <f t="shared" si="15"/>
        <v>70862.313849287166</v>
      </c>
      <c r="AE21" s="224">
        <f t="shared" si="5"/>
        <v>-1.5465733906239593E-2</v>
      </c>
      <c r="AF21" s="220"/>
    </row>
    <row r="22" spans="2:34">
      <c r="B22" s="225">
        <v>2022</v>
      </c>
      <c r="C22" s="216">
        <v>19934.729327902241</v>
      </c>
      <c r="D22" s="298">
        <f t="shared" si="6"/>
        <v>3.4656631956310871E-2</v>
      </c>
      <c r="E22" s="299"/>
      <c r="F22" s="300">
        <f t="shared" si="7"/>
        <v>20996.152199631426</v>
      </c>
      <c r="G22" s="301">
        <f t="shared" si="1"/>
        <v>7.1184999213144126E-2</v>
      </c>
      <c r="H22" s="302"/>
      <c r="I22" s="296">
        <v>6861.9281059063132</v>
      </c>
      <c r="J22" s="303">
        <f t="shared" si="8"/>
        <v>0.18841844577525341</v>
      </c>
      <c r="K22" s="299"/>
      <c r="L22" s="304" t="e">
        <f>(I22+#REF!)/2</f>
        <v>#REF!</v>
      </c>
      <c r="M22" s="305" t="e">
        <f t="shared" si="2"/>
        <v>#REF!</v>
      </c>
      <c r="N22" s="302"/>
      <c r="O22" s="297">
        <v>19035.698981670062</v>
      </c>
      <c r="P22" s="303">
        <f t="shared" si="10"/>
        <v>0.25062078586624154</v>
      </c>
      <c r="Q22" s="299"/>
      <c r="R22" s="300" t="e">
        <f>(O22+#REF!)/2</f>
        <v>#REF!</v>
      </c>
      <c r="S22" s="305" t="e">
        <f t="shared" si="3"/>
        <v>#REF!</v>
      </c>
      <c r="T22" s="302"/>
      <c r="U22" s="294">
        <v>27030.271283095724</v>
      </c>
      <c r="V22" s="303">
        <f t="shared" si="12"/>
        <v>-5.4885619472177467E-2</v>
      </c>
      <c r="W22" s="299"/>
      <c r="X22" s="300" t="e">
        <f>(U22+#REF!)/2</f>
        <v>#REF!</v>
      </c>
      <c r="Y22" s="305" t="e">
        <f t="shared" si="4"/>
        <v>#REF!</v>
      </c>
      <c r="Z22" s="302"/>
      <c r="AA22" s="306">
        <f t="shared" si="0"/>
        <v>72862.627698574332</v>
      </c>
      <c r="AB22" s="303">
        <f t="shared" si="14"/>
        <v>5.8096304181904847E-2</v>
      </c>
      <c r="AC22" s="227"/>
      <c r="AD22" s="228">
        <f t="shared" si="15"/>
        <v>77058.062564796215</v>
      </c>
      <c r="AE22" s="234">
        <f t="shared" si="5"/>
        <v>8.7433621327782471E-2</v>
      </c>
      <c r="AF22" s="235"/>
      <c r="AH22" s="256"/>
    </row>
    <row r="23" spans="2:34" ht="15.6" customHeight="1">
      <c r="B23" s="263">
        <v>2023</v>
      </c>
      <c r="C23" s="293">
        <v>22057.57507136061</v>
      </c>
      <c r="D23" s="298">
        <f t="shared" si="6"/>
        <v>0.10648982027998063</v>
      </c>
      <c r="E23" s="265"/>
      <c r="F23" s="266">
        <f t="shared" si="7"/>
        <v>20097.550615626911</v>
      </c>
      <c r="G23" s="267">
        <f t="shared" si="1"/>
        <v>-4.2798393508515768E-2</v>
      </c>
      <c r="H23" s="268"/>
      <c r="I23" s="293">
        <v>9000.3351094196005</v>
      </c>
      <c r="J23" s="298">
        <f t="shared" si="8"/>
        <v>0.31163354825485301</v>
      </c>
      <c r="K23" s="265"/>
      <c r="L23" s="271" t="e">
        <f>(#REF!+I23)/2</f>
        <v>#REF!</v>
      </c>
      <c r="M23" s="272" t="e">
        <f t="shared" si="2"/>
        <v>#REF!</v>
      </c>
      <c r="N23" s="268"/>
      <c r="O23" s="292">
        <v>17679.517221693626</v>
      </c>
      <c r="P23" s="298">
        <f t="shared" si="10"/>
        <v>-7.1244127220247422E-2</v>
      </c>
      <c r="Q23" s="265"/>
      <c r="R23" s="266" t="e">
        <f>(#REF!+O23)/2</f>
        <v>#REF!</v>
      </c>
      <c r="S23" s="272" t="e">
        <f t="shared" si="3"/>
        <v>#REF!</v>
      </c>
      <c r="T23" s="268"/>
      <c r="U23" s="294">
        <v>32516.070028544244</v>
      </c>
      <c r="V23" s="303">
        <f t="shared" si="12"/>
        <v>0.20295019195309538</v>
      </c>
      <c r="W23" s="265"/>
      <c r="X23" s="266" t="e">
        <f>(#REF!+U23)/2</f>
        <v>#REF!</v>
      </c>
      <c r="Y23" s="272" t="e">
        <f t="shared" si="4"/>
        <v>#REF!</v>
      </c>
      <c r="Z23" s="268"/>
      <c r="AA23" s="269">
        <f t="shared" si="0"/>
        <v>81253.497431018084</v>
      </c>
      <c r="AB23" s="270">
        <f t="shared" si="14"/>
        <v>0.11516013074845409</v>
      </c>
      <c r="AC23" s="227"/>
      <c r="AD23" s="228">
        <f t="shared" si="15"/>
        <v>85985.976161930244</v>
      </c>
      <c r="AE23" s="234">
        <f t="shared" si="5"/>
        <v>0.11585956485250025</v>
      </c>
      <c r="AF23" s="235"/>
      <c r="AH23" s="256"/>
    </row>
    <row r="24" spans="2:34" ht="15.6" customHeight="1">
      <c r="B24" s="263">
        <v>2024</v>
      </c>
      <c r="C24" s="269">
        <v>18137.526159893212</v>
      </c>
      <c r="D24" s="264">
        <f t="shared" si="6"/>
        <v>-0.17771894230373311</v>
      </c>
      <c r="E24" s="265"/>
      <c r="F24" s="266">
        <f t="shared" si="7"/>
        <v>17403.446792416242</v>
      </c>
      <c r="G24" s="267">
        <f t="shared" si="1"/>
        <v>-0.13405135156698453</v>
      </c>
      <c r="H24" s="268"/>
      <c r="I24" s="269">
        <v>9146.0569308796912</v>
      </c>
      <c r="J24" s="270">
        <f t="shared" si="8"/>
        <v>1.6190710644493747E-2</v>
      </c>
      <c r="K24" s="265"/>
      <c r="L24" s="271">
        <f>(I23+I24)/2</f>
        <v>9073.1960201496458</v>
      </c>
      <c r="M24" s="272" t="e">
        <f t="shared" si="2"/>
        <v>#REF!</v>
      </c>
      <c r="N24" s="268"/>
      <c r="O24" s="295">
        <v>20513.6593643911</v>
      </c>
      <c r="P24" s="270">
        <f t="shared" si="10"/>
        <v>0.16030653479721968</v>
      </c>
      <c r="Q24" s="265"/>
      <c r="R24" s="266">
        <f>(O23+O24)/2</f>
        <v>19096.588293042361</v>
      </c>
      <c r="S24" s="272" t="e">
        <f t="shared" si="3"/>
        <v>#REF!</v>
      </c>
      <c r="T24" s="268"/>
      <c r="U24" s="295">
        <v>42921.212437678405</v>
      </c>
      <c r="V24" s="270">
        <f t="shared" si="12"/>
        <v>0.32000000000000012</v>
      </c>
      <c r="W24" s="265"/>
      <c r="X24" s="266">
        <f>(U23+U24)/2</f>
        <v>37718.641233111324</v>
      </c>
      <c r="Y24" s="272" t="e">
        <f t="shared" si="4"/>
        <v>#REF!</v>
      </c>
      <c r="Z24" s="268"/>
      <c r="AA24" s="269">
        <f t="shared" si="0"/>
        <v>90718.454892842405</v>
      </c>
      <c r="AB24" s="270">
        <f t="shared" si="14"/>
        <v>0.11648676993700857</v>
      </c>
      <c r="AC24" s="227"/>
      <c r="AD24" s="228">
        <f t="shared" si="15"/>
        <v>95247.910124149232</v>
      </c>
      <c r="AE24" s="234">
        <f t="shared" si="5"/>
        <v>0.10771447130839984</v>
      </c>
      <c r="AF24" s="235"/>
    </row>
    <row r="25" spans="2:34" ht="15.6" customHeight="1">
      <c r="B25" s="263">
        <v>2025</v>
      </c>
      <c r="C25" s="269">
        <v>16669.367424939272</v>
      </c>
      <c r="D25" s="264">
        <f t="shared" si="6"/>
        <v>-8.0945919637068334E-2</v>
      </c>
      <c r="E25" s="265"/>
      <c r="F25" s="266">
        <v>27107</v>
      </c>
      <c r="G25" s="267">
        <f t="shared" si="1"/>
        <v>0.55756502279836873</v>
      </c>
      <c r="H25" s="268"/>
      <c r="I25" s="269">
        <v>8370.0534108151551</v>
      </c>
      <c r="J25" s="270">
        <f>(I25-I24)/I24</f>
        <v>-8.4845690982365024E-2</v>
      </c>
      <c r="K25" s="265"/>
      <c r="L25" s="271">
        <v>5056</v>
      </c>
      <c r="M25" s="267">
        <f t="shared" si="2"/>
        <v>-0.44275424130904972</v>
      </c>
      <c r="N25" s="268"/>
      <c r="O25" s="295">
        <v>19069.131988032746</v>
      </c>
      <c r="P25" s="270">
        <f>(O25-O24)/O24</f>
        <v>-7.041782992974209E-2</v>
      </c>
      <c r="Q25" s="265"/>
      <c r="R25" s="266">
        <v>24790</v>
      </c>
      <c r="S25" s="267">
        <f t="shared" si="3"/>
        <v>0.29813763692187745</v>
      </c>
      <c r="T25" s="268"/>
      <c r="U25" s="295">
        <v>55668.812531668889</v>
      </c>
      <c r="V25" s="270">
        <f>(U25-U24)/U24</f>
        <v>0.29699999999999993</v>
      </c>
      <c r="W25" s="265"/>
      <c r="X25" s="266">
        <v>24478</v>
      </c>
      <c r="Y25" s="267">
        <f t="shared" si="4"/>
        <v>-0.35103706815101343</v>
      </c>
      <c r="Z25" s="268"/>
      <c r="AA25" s="269">
        <f t="shared" si="0"/>
        <v>99777.365355456044</v>
      </c>
      <c r="AB25" s="270">
        <f t="shared" si="14"/>
        <v>9.9857415707907723E-2</v>
      </c>
      <c r="AC25" s="227"/>
      <c r="AD25" s="228">
        <f>X25+R25+L25+F25</f>
        <v>81431</v>
      </c>
      <c r="AE25" s="229">
        <f t="shared" si="5"/>
        <v>-0.14506260668753593</v>
      </c>
      <c r="AF25" s="235"/>
    </row>
    <row r="26" spans="2:34" ht="15.6" customHeight="1">
      <c r="B26" s="273">
        <v>2026</v>
      </c>
      <c r="C26" s="269">
        <v>17973.603635358631</v>
      </c>
      <c r="D26" s="264">
        <f t="shared" si="6"/>
        <v>7.8241493943439863E-2</v>
      </c>
      <c r="E26" s="265"/>
      <c r="F26" s="266"/>
      <c r="G26" s="267"/>
      <c r="H26" s="268"/>
      <c r="I26" s="269">
        <v>8698.8272581569618</v>
      </c>
      <c r="J26" s="270">
        <f t="shared" ref="J26:J31" si="16">(I25-I24)/I24</f>
        <v>-8.4845690982365024E-2</v>
      </c>
      <c r="K26" s="265"/>
      <c r="L26" s="271"/>
      <c r="M26" s="267"/>
      <c r="N26" s="268"/>
      <c r="O26" s="295">
        <v>18140.544166448355</v>
      </c>
      <c r="P26" s="270">
        <f t="shared" ref="P26:P31" si="17">(O25-O24)/O24</f>
        <v>-7.041782992974209E-2</v>
      </c>
      <c r="Q26" s="265"/>
      <c r="R26" s="266"/>
      <c r="S26" s="267"/>
      <c r="T26" s="268"/>
      <c r="U26" s="295">
        <v>49600.911965716979</v>
      </c>
      <c r="V26" s="270">
        <f t="shared" ref="V26:V31" si="18">(U25-U24)/U24</f>
        <v>0.29699999999999993</v>
      </c>
      <c r="W26" s="265"/>
      <c r="X26" s="266"/>
      <c r="Y26" s="267"/>
      <c r="Z26" s="268"/>
      <c r="AA26" s="269">
        <f t="shared" si="0"/>
        <v>94413.887025680917</v>
      </c>
      <c r="AB26" s="270">
        <f t="shared" si="14"/>
        <v>-5.3754459347245535E-2</v>
      </c>
      <c r="AC26" s="227"/>
      <c r="AD26" s="228"/>
      <c r="AE26" s="229"/>
      <c r="AF26" s="235"/>
    </row>
    <row r="27" spans="2:34" ht="15.6" customHeight="1">
      <c r="B27" s="273">
        <v>2027</v>
      </c>
      <c r="C27" s="269">
        <v>19419.616239740109</v>
      </c>
      <c r="D27" s="264">
        <f t="shared" si="6"/>
        <v>8.0452013614943918E-2</v>
      </c>
      <c r="E27" s="265"/>
      <c r="F27" s="266"/>
      <c r="G27" s="267"/>
      <c r="H27" s="268"/>
      <c r="I27" s="269">
        <v>8915.8392545007791</v>
      </c>
      <c r="J27" s="270">
        <f t="shared" si="16"/>
        <v>3.927977889806411E-2</v>
      </c>
      <c r="K27" s="265"/>
      <c r="L27" s="271"/>
      <c r="M27" s="267"/>
      <c r="N27" s="268"/>
      <c r="O27" s="295">
        <v>20281.636508975436</v>
      </c>
      <c r="P27" s="270">
        <f t="shared" si="17"/>
        <v>-4.8695862096247856E-2</v>
      </c>
      <c r="Q27" s="265"/>
      <c r="R27" s="266"/>
      <c r="S27" s="267"/>
      <c r="T27" s="268"/>
      <c r="U27" s="295">
        <v>42011.972434962277</v>
      </c>
      <c r="V27" s="270">
        <f t="shared" si="18"/>
        <v>-0.10900000000000001</v>
      </c>
      <c r="W27" s="265"/>
      <c r="X27" s="266"/>
      <c r="Y27" s="267"/>
      <c r="Z27" s="268"/>
      <c r="AA27" s="269">
        <f t="shared" si="0"/>
        <v>90629.064438178597</v>
      </c>
      <c r="AB27" s="270">
        <f t="shared" si="14"/>
        <v>-4.0087562399298685E-2</v>
      </c>
      <c r="AC27" s="227"/>
      <c r="AD27" s="228"/>
      <c r="AE27" s="229"/>
      <c r="AF27" s="235"/>
    </row>
    <row r="28" spans="2:34" ht="15.6" customHeight="1">
      <c r="B28" s="273">
        <v>2028</v>
      </c>
      <c r="C28" s="269">
        <v>20050.365933653597</v>
      </c>
      <c r="D28" s="264">
        <f t="shared" si="6"/>
        <v>3.2480028756836463E-2</v>
      </c>
      <c r="E28" s="265"/>
      <c r="F28" s="266"/>
      <c r="G28" s="267"/>
      <c r="H28" s="268"/>
      <c r="I28" s="269">
        <v>8180.3400039087774</v>
      </c>
      <c r="J28" s="270">
        <f t="shared" si="16"/>
        <v>2.4947270465719783E-2</v>
      </c>
      <c r="K28" s="265"/>
      <c r="L28" s="271"/>
      <c r="M28" s="267"/>
      <c r="N28" s="268"/>
      <c r="O28" s="295">
        <v>21864.427436804817</v>
      </c>
      <c r="P28" s="270">
        <f t="shared" si="17"/>
        <v>0.1180280107852065</v>
      </c>
      <c r="Q28" s="265"/>
      <c r="R28" s="266"/>
      <c r="S28" s="267"/>
      <c r="T28" s="268"/>
      <c r="U28" s="295">
        <v>42264.044269572049</v>
      </c>
      <c r="V28" s="270">
        <f t="shared" si="18"/>
        <v>-0.15300000000000008</v>
      </c>
      <c r="W28" s="265"/>
      <c r="X28" s="266"/>
      <c r="Y28" s="267"/>
      <c r="Z28" s="268"/>
      <c r="AA28" s="269">
        <f t="shared" si="0"/>
        <v>92359.177643939227</v>
      </c>
      <c r="AB28" s="270">
        <f t="shared" si="14"/>
        <v>1.9090048170372582E-2</v>
      </c>
      <c r="AC28" s="227"/>
      <c r="AD28" s="228"/>
      <c r="AE28" s="229"/>
      <c r="AF28" s="235"/>
    </row>
    <row r="29" spans="2:34" ht="15.6" customHeight="1">
      <c r="B29" s="273">
        <v>2029</v>
      </c>
      <c r="C29" s="269">
        <v>20268.748360808928</v>
      </c>
      <c r="D29" s="264">
        <f t="shared" si="6"/>
        <v>1.0891692843809231E-2</v>
      </c>
      <c r="E29" s="265"/>
      <c r="F29" s="266"/>
      <c r="G29" s="267"/>
      <c r="H29" s="268"/>
      <c r="I29" s="269">
        <v>7105.6857798035935</v>
      </c>
      <c r="J29" s="270">
        <f t="shared" si="16"/>
        <v>-8.2493552160074729E-2</v>
      </c>
      <c r="K29" s="265"/>
      <c r="L29" s="271"/>
      <c r="M29" s="267"/>
      <c r="N29" s="268"/>
      <c r="O29" s="295">
        <v>22372.087299068131</v>
      </c>
      <c r="P29" s="270">
        <f t="shared" si="17"/>
        <v>7.8040592391493288E-2</v>
      </c>
      <c r="Q29" s="265"/>
      <c r="R29" s="266"/>
      <c r="S29" s="267"/>
      <c r="T29" s="268"/>
      <c r="U29" s="295">
        <v>44290.371957165225</v>
      </c>
      <c r="V29" s="270">
        <f t="shared" si="18"/>
        <v>5.9999999999999377E-3</v>
      </c>
      <c r="W29" s="265"/>
      <c r="X29" s="266"/>
      <c r="Y29" s="267"/>
      <c r="Z29" s="268"/>
      <c r="AA29" s="269">
        <f t="shared" si="0"/>
        <v>94036.893396845873</v>
      </c>
      <c r="AB29" s="270">
        <f t="shared" si="14"/>
        <v>1.8165122251028846E-2</v>
      </c>
      <c r="AC29" s="227"/>
      <c r="AD29" s="228"/>
      <c r="AE29" s="229"/>
      <c r="AF29" s="235"/>
    </row>
    <row r="30" spans="2:34" ht="15.6" customHeight="1">
      <c r="B30" s="273">
        <v>2030</v>
      </c>
      <c r="C30" s="269">
        <v>20221.915208197148</v>
      </c>
      <c r="D30" s="264">
        <f t="shared" si="6"/>
        <v>-2.3106090113751273E-3</v>
      </c>
      <c r="E30" s="265"/>
      <c r="F30" s="266"/>
      <c r="G30" s="267"/>
      <c r="H30" s="268"/>
      <c r="I30" s="269">
        <v>7065.8301404458625</v>
      </c>
      <c r="J30" s="270">
        <f t="shared" si="16"/>
        <v>-0.13137036157319701</v>
      </c>
      <c r="K30" s="265"/>
      <c r="L30" s="271"/>
      <c r="M30" s="267"/>
      <c r="N30" s="268"/>
      <c r="O30" s="295">
        <v>23176.175831955465</v>
      </c>
      <c r="P30" s="270">
        <f t="shared" si="17"/>
        <v>2.3218529903452214E-2</v>
      </c>
      <c r="Q30" s="265"/>
      <c r="R30" s="266"/>
      <c r="S30" s="267"/>
      <c r="T30" s="268"/>
      <c r="U30" s="295">
        <v>39987.906220705328</v>
      </c>
      <c r="V30" s="270">
        <f t="shared" si="18"/>
        <v>4.7944481476232724E-2</v>
      </c>
      <c r="W30" s="265"/>
      <c r="X30" s="266"/>
      <c r="Y30" s="267"/>
      <c r="Z30" s="268"/>
      <c r="AA30" s="269">
        <f t="shared" si="0"/>
        <v>90451.827401303803</v>
      </c>
      <c r="AB30" s="270">
        <f t="shared" si="14"/>
        <v>-3.8124036918283803E-2</v>
      </c>
      <c r="AC30" s="227"/>
      <c r="AD30" s="228"/>
      <c r="AE30" s="229"/>
      <c r="AF30" s="235"/>
    </row>
    <row r="31" spans="2:34" ht="15.6" customHeight="1">
      <c r="B31" s="273">
        <v>2031</v>
      </c>
      <c r="C31" s="269">
        <v>19808.050075093448</v>
      </c>
      <c r="D31" s="264">
        <f t="shared" si="6"/>
        <v>-2.0466168948029991E-2</v>
      </c>
      <c r="E31" s="265"/>
      <c r="F31" s="266"/>
      <c r="G31" s="267"/>
      <c r="H31" s="268"/>
      <c r="I31" s="269">
        <v>6894.28400642008</v>
      </c>
      <c r="J31" s="270">
        <f t="shared" si="16"/>
        <v>-5.6089785831808367E-3</v>
      </c>
      <c r="K31" s="265"/>
      <c r="L31" s="271"/>
      <c r="M31" s="267"/>
      <c r="N31" s="268"/>
      <c r="O31" s="295">
        <v>23671.707989998071</v>
      </c>
      <c r="P31" s="270">
        <f t="shared" si="17"/>
        <v>3.5941596424971335E-2</v>
      </c>
      <c r="Q31" s="265"/>
      <c r="R31" s="266"/>
      <c r="S31" s="267"/>
      <c r="T31" s="268"/>
      <c r="U31" s="295">
        <v>38737.436981504063</v>
      </c>
      <c r="V31" s="270">
        <f t="shared" si="18"/>
        <v>-9.714223535130756E-2</v>
      </c>
      <c r="W31" s="265"/>
      <c r="X31" s="266"/>
      <c r="Y31" s="267"/>
      <c r="Z31" s="268"/>
      <c r="AA31" s="269">
        <f t="shared" si="0"/>
        <v>89111.479053015661</v>
      </c>
      <c r="AB31" s="270">
        <f t="shared" si="14"/>
        <v>-1.4818366712940748E-2</v>
      </c>
      <c r="AC31" s="227"/>
      <c r="AD31" s="228"/>
      <c r="AE31" s="229"/>
      <c r="AF31" s="235"/>
    </row>
    <row r="32" spans="2:34" ht="15.6" customHeight="1">
      <c r="B32" s="236"/>
      <c r="C32" s="231"/>
      <c r="D32" s="226"/>
      <c r="E32" s="227"/>
      <c r="F32" s="228"/>
      <c r="G32" s="229"/>
      <c r="H32" s="230"/>
      <c r="J32" s="232"/>
      <c r="K32" s="227"/>
      <c r="L32" s="233"/>
      <c r="M32" s="229"/>
      <c r="N32" s="230"/>
      <c r="P32" s="232"/>
      <c r="Q32" s="227"/>
      <c r="R32" s="228"/>
      <c r="S32" s="229"/>
      <c r="T32" s="230"/>
      <c r="V32" s="232"/>
      <c r="W32" s="227"/>
      <c r="X32" s="228"/>
      <c r="Y32" s="229"/>
      <c r="Z32" s="230"/>
      <c r="AA32" s="231"/>
      <c r="AB32" s="232"/>
      <c r="AC32" s="227"/>
      <c r="AD32" s="228"/>
      <c r="AE32" s="229"/>
      <c r="AF32" s="235"/>
    </row>
    <row r="33" spans="2:29" ht="15.6" customHeight="1">
      <c r="I33" s="239"/>
      <c r="O33" s="239"/>
      <c r="U33" s="239"/>
      <c r="AC33" s="237"/>
    </row>
    <row r="34" spans="2:29" s="239" customFormat="1" ht="12.75">
      <c r="B34" s="584"/>
      <c r="C34" s="584"/>
      <c r="D34" s="238"/>
      <c r="L34" s="240"/>
      <c r="O34" s="307" t="s">
        <v>291</v>
      </c>
    </row>
    <row r="35" spans="2:29" s="239" customFormat="1">
      <c r="I35" s="209"/>
      <c r="L35" s="240"/>
      <c r="O35" s="209"/>
      <c r="U35" s="209"/>
    </row>
  </sheetData>
  <mergeCells count="41">
    <mergeCell ref="B1:AF1"/>
    <mergeCell ref="B2:AF2"/>
    <mergeCell ref="B3:AF3"/>
    <mergeCell ref="B4:B7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C5:E5"/>
    <mergeCell ref="F5:H5"/>
    <mergeCell ref="X5:Z5"/>
    <mergeCell ref="AA5:AC5"/>
    <mergeCell ref="AD5:AF5"/>
    <mergeCell ref="C6:E6"/>
    <mergeCell ref="F6:H6"/>
    <mergeCell ref="I6:K6"/>
    <mergeCell ref="L6:N6"/>
    <mergeCell ref="O6:Q6"/>
    <mergeCell ref="R6:T6"/>
    <mergeCell ref="I5:K5"/>
    <mergeCell ref="L5:N5"/>
    <mergeCell ref="O5:Q5"/>
    <mergeCell ref="R5:T5"/>
    <mergeCell ref="U5:W5"/>
    <mergeCell ref="B34:C34"/>
    <mergeCell ref="U6:W6"/>
    <mergeCell ref="X6:Z6"/>
    <mergeCell ref="AA6:AC6"/>
    <mergeCell ref="AD6:AF6"/>
    <mergeCell ref="D7:E7"/>
    <mergeCell ref="J7:K7"/>
    <mergeCell ref="P7:Q7"/>
    <mergeCell ref="V7:W7"/>
    <mergeCell ref="AB7:AC7"/>
    <mergeCell ref="AE7:AF7"/>
  </mergeCells>
  <printOptions horizontalCentered="1"/>
  <pageMargins left="1.1811023622047245" right="1.1811023622047245" top="1.1811023622047245" bottom="0.70866141732283472" header="0.51181102362204722" footer="0.39370078740157483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B069-1B7B-4994-B711-C0AF657B6436}">
  <sheetPr>
    <tabColor theme="7" tint="0.79998168889431442"/>
  </sheetPr>
  <dimension ref="A1:P150"/>
  <sheetViews>
    <sheetView showGridLines="0" zoomScale="90" zoomScaleNormal="90" workbookViewId="0"/>
  </sheetViews>
  <sheetFormatPr defaultRowHeight="15"/>
  <cols>
    <col min="1" max="1" width="29.28515625" customWidth="1"/>
    <col min="2" max="3" width="12.5703125" customWidth="1"/>
    <col min="4" max="12" width="14.28515625" bestFit="1" customWidth="1"/>
    <col min="13" max="14" width="14.28515625" customWidth="1"/>
    <col min="15" max="15" width="13.140625" customWidth="1"/>
  </cols>
  <sheetData>
    <row r="1" spans="1:16">
      <c r="A1" s="241" t="s">
        <v>272</v>
      </c>
      <c r="B1" s="248">
        <f>1/('CPI Table'!C12/100)</f>
        <v>1.2688259109311741</v>
      </c>
      <c r="C1" s="248">
        <f>1/('CPI Table'!C13/100)</f>
        <v>1.2400422052228963</v>
      </c>
      <c r="D1" s="248">
        <f>1/('CPI Table'!C14/100)</f>
        <v>1.2026093630084422</v>
      </c>
      <c r="E1" s="248">
        <f>1/('CPI Table'!C15/100)</f>
        <v>1.1755438859714928</v>
      </c>
      <c r="F1" s="248">
        <f>1/('CPI Table'!C16/100)</f>
        <v>1.1493887530562348</v>
      </c>
      <c r="G1" s="248">
        <f>1/('CPI Table'!C17/100)</f>
        <v>1.119019281123542</v>
      </c>
      <c r="H1" s="248">
        <f>1/('CPI Table'!C18/100)</f>
        <v>1.1001638193306811</v>
      </c>
      <c r="I1" s="248">
        <f>1/('CPI Table'!C19/100)</f>
        <v>1.0851800554016622</v>
      </c>
      <c r="J1" s="291">
        <f>1/('CPI Table'!C20/100)</f>
        <v>1.0669541534271449</v>
      </c>
      <c r="K1" s="291">
        <f>1/('CPI Table'!C21/100)</f>
        <v>1.0467601870407481</v>
      </c>
      <c r="L1" s="291">
        <f>1/('CPI Table'!C22/100)</f>
        <v>1.0297918948521358</v>
      </c>
      <c r="M1" s="291">
        <f>1/('CPI Table'!C23/100)</f>
        <v>1.0162127107652399</v>
      </c>
      <c r="N1" s="291">
        <f>1/('CPI Table'!C24/100)</f>
        <v>1</v>
      </c>
      <c r="O1" s="325">
        <f>1/('CPI Table'!C25/100)</f>
        <v>0.95743380855397142</v>
      </c>
      <c r="P1" s="325">
        <f>1/('CPI Table'!C26/100)</f>
        <v>0.89454254833307978</v>
      </c>
    </row>
    <row r="2" spans="1:16" s="70" customFormat="1">
      <c r="A2" s="86" t="s">
        <v>121</v>
      </c>
      <c r="B2" s="86"/>
      <c r="C2" s="86"/>
      <c r="O2" s="326"/>
    </row>
    <row r="3" spans="1:16">
      <c r="B3" s="87" t="s">
        <v>122</v>
      </c>
      <c r="C3" s="87" t="s">
        <v>123</v>
      </c>
      <c r="D3" s="87" t="s">
        <v>124</v>
      </c>
      <c r="E3" s="88" t="s">
        <v>125</v>
      </c>
      <c r="F3" s="88" t="s">
        <v>126</v>
      </c>
      <c r="G3" s="88" t="s">
        <v>127</v>
      </c>
      <c r="H3" s="88" t="s">
        <v>128</v>
      </c>
      <c r="I3" s="88" t="s">
        <v>129</v>
      </c>
      <c r="J3" s="88" t="s">
        <v>130</v>
      </c>
      <c r="K3" s="88" t="s">
        <v>131</v>
      </c>
      <c r="L3" s="88" t="s">
        <v>132</v>
      </c>
      <c r="M3" s="88" t="s">
        <v>133</v>
      </c>
      <c r="N3" s="88" t="s">
        <v>134</v>
      </c>
      <c r="O3" s="327" t="s">
        <v>135</v>
      </c>
      <c r="P3" t="s">
        <v>180</v>
      </c>
    </row>
    <row r="4" spans="1:16">
      <c r="A4" s="59" t="s">
        <v>66</v>
      </c>
      <c r="B4" s="59"/>
      <c r="C4" s="59"/>
      <c r="O4" s="328"/>
    </row>
    <row r="5" spans="1:16">
      <c r="A5" t="s">
        <v>136</v>
      </c>
      <c r="B5" s="57">
        <f>'RIN, Exp workings'!E18*B1</f>
        <v>15725.551566784896</v>
      </c>
      <c r="C5" s="57">
        <f>'RIN, Exp workings'!E41*C1</f>
        <v>16727.661515837022</v>
      </c>
      <c r="D5" s="57">
        <f>'RIN, Exp workings'!E63*D1</f>
        <v>13702.010872172214</v>
      </c>
      <c r="E5" s="57">
        <f>'RIN, Exp workings'!E84*E1</f>
        <v>13006.181798580843</v>
      </c>
      <c r="F5" s="57">
        <f>'RIN, Exp workings'!E106*F1</f>
        <v>14008.605950667074</v>
      </c>
      <c r="G5" s="57">
        <f>'RIN, Exp workings'!E129*G1</f>
        <v>16397.395980922331</v>
      </c>
      <c r="H5" s="57">
        <f>'RIN, Exp workings'!E153*H1</f>
        <v>15942.245815642573</v>
      </c>
      <c r="I5" s="57">
        <f>'RIN, Exp workings'!E175*I1</f>
        <v>21166.049734106651</v>
      </c>
      <c r="J5" s="57">
        <f>'RIN, Exp workings'!E201*J1</f>
        <v>20321.155330431233</v>
      </c>
      <c r="K5" s="57">
        <f>'RIN, Exp workings'!E227*K1</f>
        <v>19876.567483734136</v>
      </c>
      <c r="L5" s="57">
        <f>'RIN, Exp workings'!E254*L1</f>
        <v>22612.246845544883</v>
      </c>
      <c r="M5" s="57">
        <f>'RIN, Exp workings'!E281*M1</f>
        <v>21725.092433787206</v>
      </c>
      <c r="N5" s="57">
        <f>'RIN, Exp workings'!E308*N1</f>
        <v>19266.840544729366</v>
      </c>
      <c r="O5" s="329">
        <f>'RIN, Exp workings'!E335*O1</f>
        <v>19934.972580937279</v>
      </c>
      <c r="P5" s="384">
        <f>'RIN, Exp workings'!E360*P1</f>
        <v>22056.90209121531</v>
      </c>
    </row>
    <row r="6" spans="1:16">
      <c r="A6" t="s">
        <v>137</v>
      </c>
      <c r="B6" s="57">
        <f>'RIN, Exp workings'!E19*B1</f>
        <v>42006.769128367952</v>
      </c>
      <c r="C6" s="57">
        <f>'RIN, Exp workings'!E42*C1</f>
        <v>39071.092143255577</v>
      </c>
      <c r="D6" s="57">
        <f>'RIN, Exp workings'!E64*D1</f>
        <v>30344.397134688763</v>
      </c>
      <c r="E6" s="57">
        <f>'RIN, Exp workings'!E85*E1</f>
        <v>26801.716718125561</v>
      </c>
      <c r="F6" s="57">
        <f>'RIN, Exp workings'!E107*F1</f>
        <v>27124.202198887095</v>
      </c>
      <c r="G6" s="57">
        <f>'RIN, Exp workings'!E130*G1</f>
        <v>23561.302995854097</v>
      </c>
      <c r="H6" s="57">
        <f>'RIN, Exp workings'!E154*H1</f>
        <v>24352.80674791252</v>
      </c>
      <c r="I6" s="57">
        <f>('RIN, Exp workings'!E176+'RIN, Exp workings'!E181)*I1</f>
        <v>19546.785954238228</v>
      </c>
      <c r="J6" s="57">
        <f>('RIN, Exp workings'!E202+'RIN, Exp workings'!E207)*J1</f>
        <v>20762.536872351342</v>
      </c>
      <c r="K6" s="57">
        <f>('RIN, Exp workings'!E228+'RIN, Exp workings'!E233)*K1</f>
        <v>28015.103161162311</v>
      </c>
      <c r="L6" s="57">
        <f>('RIN, Exp workings'!E255+'RIN, Exp workings'!E260)*L1</f>
        <v>26716.736352310021</v>
      </c>
      <c r="M6" s="57">
        <f>('RIN, Exp workings'!E282+'RIN, Exp workings'!E287)*M1</f>
        <v>21277.364437536813</v>
      </c>
      <c r="N6" s="57">
        <f>'RIN, Exp workings'!E309*N1</f>
        <v>15221.142347689527</v>
      </c>
      <c r="O6" s="329">
        <f>'RIN, Exp workings'!E336*O1</f>
        <v>19035.927035790181</v>
      </c>
      <c r="P6" s="384">
        <f>'RIN, Exp workings'!E361*P1</f>
        <v>17679.14961472663</v>
      </c>
    </row>
    <row r="7" spans="1:16">
      <c r="A7" t="s">
        <v>138</v>
      </c>
      <c r="B7" s="57">
        <f>'RIN, Exp workings'!E20*B1</f>
        <v>48748.312642159639</v>
      </c>
      <c r="C7" s="57">
        <f>'RIN, Exp workings'!E43*C1</f>
        <v>63741.063265156772</v>
      </c>
      <c r="D7" s="57">
        <f>'RIN, Exp workings'!E65*D1</f>
        <v>39887.582526162936</v>
      </c>
      <c r="E7" s="57">
        <f>'RIN, Exp workings'!E86*E1</f>
        <v>36892.084436882898</v>
      </c>
      <c r="F7" s="57">
        <f>'RIN, Exp workings'!E108*F1</f>
        <v>37433.923813324662</v>
      </c>
      <c r="G7" s="57">
        <f>'RIN, Exp workings'!E131*G1</f>
        <v>36810.900036972649</v>
      </c>
      <c r="H7" s="57">
        <f>'RIN, Exp workings'!E155*H1</f>
        <v>24906.378375931443</v>
      </c>
      <c r="I7" s="57">
        <f>'RIN, Exp workings'!E177*I1</f>
        <v>14369.21663163435</v>
      </c>
      <c r="J7" s="57">
        <f>'RIN, Exp workings'!E203*J1</f>
        <v>15915.135216979121</v>
      </c>
      <c r="K7" s="57">
        <f>'RIN, Exp workings'!E229*K1</f>
        <v>18789.018422772213</v>
      </c>
      <c r="L7" s="57">
        <f>'RIN, Exp workings'!E256*L1</f>
        <v>30429.158854095105</v>
      </c>
      <c r="M7" s="57">
        <f>'RIN, Exp workings'!E283*M1</f>
        <v>27470.181118271124</v>
      </c>
      <c r="N7" s="57">
        <f>'RIN, Exp workings'!E310*N1</f>
        <v>28599.701641112093</v>
      </c>
      <c r="O7" s="329">
        <f>'RIN, Exp workings'!E337*O1</f>
        <v>27029.888528705371</v>
      </c>
      <c r="P7" s="384">
        <f>'RIN, Exp workings'!E362*P1</f>
        <v>32515.199122580954</v>
      </c>
    </row>
    <row r="8" spans="1:16">
      <c r="A8" t="s">
        <v>139</v>
      </c>
      <c r="B8" s="57">
        <f>'RIN, Exp workings'!E21*B1</f>
        <v>9608.9066223808004</v>
      </c>
      <c r="C8" s="57">
        <f>'RIN, Exp workings'!E44*C1</f>
        <v>5757.8479689555788</v>
      </c>
      <c r="D8" s="57">
        <f>'RIN, Exp workings'!E66*D1</f>
        <v>5689.2626823331912</v>
      </c>
      <c r="E8" s="57">
        <f>'RIN, Exp workings'!E87*E1</f>
        <v>4507.6162167117263</v>
      </c>
      <c r="F8" s="57">
        <f>'RIN, Exp workings'!E109*F1</f>
        <v>5427.9255974476091</v>
      </c>
      <c r="G8" s="57">
        <f>'RIN, Exp workings'!E132*G1</f>
        <v>4772.2169824422954</v>
      </c>
      <c r="H8" s="57">
        <f>'RIN, Exp workings'!E156*H1</f>
        <v>5601.3081061488547</v>
      </c>
      <c r="I8" s="57">
        <f>'RIN, Exp workings'!E178*I1</f>
        <v>5186.100248573408</v>
      </c>
      <c r="J8" s="57">
        <f>'RIN, Exp workings'!E204*J1</f>
        <v>5115.609240224695</v>
      </c>
      <c r="K8" s="57">
        <f>'RIN, Exp workings'!E230*K1</f>
        <v>5517.687782952572</v>
      </c>
      <c r="L8" s="57">
        <f>'RIN, Exp workings'!E257*L1</f>
        <v>4955.6412683725994</v>
      </c>
      <c r="M8" s="57">
        <f>'RIN, Exp workings'!E284*M1</f>
        <v>4616.660995787478</v>
      </c>
      <c r="N8" s="57">
        <f>'RIN, Exp workings'!E311*N1</f>
        <v>5774.2061281658907</v>
      </c>
      <c r="O8" s="329">
        <f>'RIN, Exp workings'!E338*O1</f>
        <v>6861.8931950142269</v>
      </c>
      <c r="P8" s="384">
        <f>'RIN, Exp workings'!E363*P1</f>
        <v>8999.5484107301545</v>
      </c>
    </row>
    <row r="9" spans="1:16">
      <c r="A9" s="59"/>
      <c r="B9" s="59"/>
      <c r="C9" s="59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328"/>
    </row>
    <row r="10" spans="1:16">
      <c r="A10" s="249" t="s">
        <v>140</v>
      </c>
      <c r="B10" s="249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328"/>
    </row>
    <row r="11" spans="1:16"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328"/>
    </row>
    <row r="12" spans="1:16" s="65" customFormat="1">
      <c r="A12" s="62" t="s">
        <v>141</v>
      </c>
      <c r="B12" s="85">
        <f t="shared" ref="B12:L12" si="0">SUM(B5:B10)</f>
        <v>116089.5399596933</v>
      </c>
      <c r="C12" s="85">
        <f t="shared" si="0"/>
        <v>125297.66489320496</v>
      </c>
      <c r="D12" s="85">
        <f t="shared" si="0"/>
        <v>89623.253215357108</v>
      </c>
      <c r="E12" s="85">
        <f t="shared" si="0"/>
        <v>81207.599170301022</v>
      </c>
      <c r="F12" s="85">
        <f t="shared" si="0"/>
        <v>83994.65756032645</v>
      </c>
      <c r="G12" s="85">
        <f t="shared" si="0"/>
        <v>81541.815996191363</v>
      </c>
      <c r="H12" s="85">
        <f t="shared" si="0"/>
        <v>70802.73904563539</v>
      </c>
      <c r="I12" s="85">
        <f t="shared" si="0"/>
        <v>60268.152568552636</v>
      </c>
      <c r="J12" s="85">
        <f>SUM(J5:J10)</f>
        <v>62114.436659986393</v>
      </c>
      <c r="K12" s="85">
        <f t="shared" si="0"/>
        <v>72198.376850621236</v>
      </c>
      <c r="L12" s="85">
        <f t="shared" si="0"/>
        <v>84713.783320322604</v>
      </c>
      <c r="M12" s="85">
        <f t="shared" ref="M12:N12" si="1">SUM(M5:M10)</f>
        <v>75089.298985382615</v>
      </c>
      <c r="N12" s="85">
        <f t="shared" si="1"/>
        <v>68861.890661696874</v>
      </c>
      <c r="O12" s="332">
        <f t="shared" ref="O12:P12" si="2">SUM(O5:O10)</f>
        <v>72862.681340447059</v>
      </c>
      <c r="P12" s="332">
        <f t="shared" si="2"/>
        <v>81250.799239253058</v>
      </c>
    </row>
    <row r="13" spans="1:16">
      <c r="O13" s="258"/>
    </row>
    <row r="14" spans="1:16">
      <c r="A14" t="s">
        <v>142</v>
      </c>
      <c r="B14" s="57">
        <f>'RIN vs IM'!D36*B1</f>
        <v>116089.5399596933</v>
      </c>
      <c r="C14" s="57">
        <f>'RIN vs IM'!E36*C1</f>
        <v>125297.66489320494</v>
      </c>
      <c r="D14" s="57">
        <f>'RIN vs IM'!F36*D1</f>
        <v>89623.253215357123</v>
      </c>
      <c r="E14" s="57">
        <f>'RIN vs IM'!G36*E1</f>
        <v>81207.599170301022</v>
      </c>
      <c r="F14" s="57">
        <f>'RIN vs IM'!H36*F1</f>
        <v>83994.65756032645</v>
      </c>
      <c r="G14" s="57">
        <f>'RIN vs IM'!I36*G1</f>
        <v>81541.815996191377</v>
      </c>
      <c r="H14" s="57">
        <f>'RIN vs IM'!J36*H1</f>
        <v>70802.73904563539</v>
      </c>
      <c r="I14" s="57">
        <f>'RIN vs IM'!K36*I1</f>
        <v>60268.153425844881</v>
      </c>
      <c r="J14" s="57">
        <f>'RIN vs IM'!L36*J1</f>
        <v>62114.436659986393</v>
      </c>
      <c r="K14" s="57">
        <f>'RIN vs IM'!M36*K1</f>
        <v>72198.376176218851</v>
      </c>
      <c r="L14" s="57">
        <f>'RIN vs IM'!N36*L1</f>
        <v>84713.783455825789</v>
      </c>
      <c r="M14" s="57">
        <f>'RIN vs IM'!O36*M1</f>
        <v>75089.299014635544</v>
      </c>
      <c r="N14" s="57">
        <f>'RIN vs IM'!P36*N1</f>
        <v>77955.890659999946</v>
      </c>
      <c r="O14" s="323">
        <f>'RIN vs IM'!Q36*O1</f>
        <v>80845.710794297353</v>
      </c>
      <c r="P14" s="323">
        <f>'RIN vs IM'!R36*P1</f>
        <v>81250.799239253043</v>
      </c>
    </row>
    <row r="15" spans="1:16" ht="5.25" customHeight="1">
      <c r="O15" s="323"/>
    </row>
    <row r="16" spans="1:16">
      <c r="A16" t="s">
        <v>143</v>
      </c>
      <c r="B16" s="57">
        <f>'RIN vs IM'!D34*B1</f>
        <v>5188.3028706648493</v>
      </c>
      <c r="C16" s="57">
        <f>'RIN vs IM'!E34*C1</f>
        <v>8666.3795024186111</v>
      </c>
      <c r="D16" s="57">
        <f>'RIN vs IM'!F34*D1</f>
        <v>15299.818754395652</v>
      </c>
      <c r="E16" s="57">
        <f>'RIN vs IM'!G34*E1</f>
        <v>15432.95880130984</v>
      </c>
      <c r="F16" s="57">
        <f>'RIN vs IM'!H34*F1</f>
        <v>12712.59147233817</v>
      </c>
      <c r="G16" s="57">
        <f>'RIN vs IM'!I34*G1</f>
        <v>2140.6838847893359</v>
      </c>
      <c r="H16" s="57">
        <f>'RIN vs IM'!J34*H1</f>
        <v>1332.8110615492628</v>
      </c>
      <c r="I16" s="57">
        <f>'RIN vs IM'!K34*I1</f>
        <v>276.890603732687</v>
      </c>
      <c r="J16" s="57">
        <f>'RIN vs IM'!L34*J1</f>
        <v>4926.1056716866588</v>
      </c>
      <c r="K16" s="57">
        <f>'RIN vs IM'!M34*K1</f>
        <v>13974.124280335711</v>
      </c>
      <c r="L16" s="57">
        <f>'RIN vs IM'!N34*L1</f>
        <v>5248.7784891713791</v>
      </c>
      <c r="M16" s="57">
        <f>'RIN vs IM'!O34*M1</f>
        <v>7031.2098881129832</v>
      </c>
      <c r="N16" s="57">
        <f>'RIN vs IM'!P34*N1</f>
        <v>9094</v>
      </c>
      <c r="O16" s="323">
        <f>'RIN vs IM'!Q34*O1</f>
        <v>7983.0830957230137</v>
      </c>
      <c r="P16" s="323">
        <v>8925</v>
      </c>
    </row>
    <row r="17" spans="1:16">
      <c r="A17" s="241" t="s">
        <v>144</v>
      </c>
      <c r="B17" s="71">
        <f t="shared" ref="B17:C17" si="3">ROUND(B12-B14,0)</f>
        <v>0</v>
      </c>
      <c r="C17" s="71">
        <f t="shared" si="3"/>
        <v>0</v>
      </c>
      <c r="D17" s="71">
        <f>ROUND(D12-D14,0)</f>
        <v>0</v>
      </c>
      <c r="E17" s="71">
        <f t="shared" ref="E17:L17" si="4">ROUND(E12-E14,0)</f>
        <v>0</v>
      </c>
      <c r="F17" s="71">
        <f t="shared" si="4"/>
        <v>0</v>
      </c>
      <c r="G17" s="71">
        <f t="shared" si="4"/>
        <v>0</v>
      </c>
      <c r="H17" s="71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>ROUND(M12-M14,0)</f>
        <v>0</v>
      </c>
      <c r="N17" s="71">
        <f t="shared" ref="N17" si="5">ROUND(N12-N14,0)</f>
        <v>-9094</v>
      </c>
      <c r="O17" s="323">
        <f t="shared" ref="O17:P17" si="6">ROUND(O12-O14,0)</f>
        <v>-7983</v>
      </c>
      <c r="P17" s="323">
        <f t="shared" si="6"/>
        <v>0</v>
      </c>
    </row>
    <row r="18" spans="1:16">
      <c r="O18" s="323"/>
    </row>
    <row r="19" spans="1:16" s="133" customFormat="1">
      <c r="A19" s="133" t="s">
        <v>145</v>
      </c>
      <c r="B19" s="134">
        <f>'SAP IM, Historical'!F24*B1</f>
        <v>56093.612431986534</v>
      </c>
      <c r="C19" s="134">
        <f>'SAP IM, Historical'!I24*C1</f>
        <v>63929.014444298475</v>
      </c>
      <c r="D19" s="134">
        <f>'SAP IM, Historical'!L24*D1</f>
        <v>55286.012245215265</v>
      </c>
      <c r="E19" s="134">
        <f>'SAP IM, Historical'!O24*E1</f>
        <v>50528.372286571641</v>
      </c>
      <c r="F19" s="134">
        <f>'SAP IM, Historical'!R24*F1</f>
        <v>34945.28578606357</v>
      </c>
      <c r="G19" s="134">
        <f>'SAP IM, Historical'!U24*G1</f>
        <v>36614.14526350869</v>
      </c>
      <c r="H19" s="134">
        <f>'SAP IM, Historical'!X24*H1</f>
        <v>30769.566526562139</v>
      </c>
      <c r="I19" s="134">
        <f>'SAP IM, Historical'!AA24*I1</f>
        <v>31741.251836565101</v>
      </c>
      <c r="J19" s="134">
        <f>'SAP IM, Historical'!AD24*J1</f>
        <v>26794.036618474809</v>
      </c>
      <c r="K19" s="134">
        <f>'SAP IM, Historical'!AG24*K1</f>
        <v>24838.622722778888</v>
      </c>
      <c r="L19" s="134">
        <f>'SAP IM, Historical'!AJ24*L1</f>
        <v>28210.446641401973</v>
      </c>
      <c r="M19" s="134">
        <f>'SAP IM, Historical'!AM24*M1</f>
        <v>28456.701708171207</v>
      </c>
      <c r="N19" s="134">
        <f>'SAP IM, Historical'!AP24*N1</f>
        <v>36747.807000000001</v>
      </c>
      <c r="O19" s="333">
        <f>'SAP IM, Historical'!AS24*O1</f>
        <v>30523.277046843174</v>
      </c>
      <c r="P19" s="333">
        <f>'SAP IM, Historical'!AV24*P1</f>
        <v>36969.475528999857</v>
      </c>
    </row>
    <row r="20" spans="1:16"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323"/>
    </row>
    <row r="21" spans="1:16">
      <c r="O21" s="323"/>
    </row>
    <row r="22" spans="1:16">
      <c r="O22" s="323"/>
    </row>
    <row r="23" spans="1:16">
      <c r="A23" s="118" t="s">
        <v>146</v>
      </c>
      <c r="B23" s="118"/>
      <c r="C23" s="118"/>
      <c r="O23" s="323"/>
    </row>
    <row r="24" spans="1:16" s="133" customFormat="1">
      <c r="A24" s="133" t="s">
        <v>147</v>
      </c>
      <c r="B24" s="134">
        <f>'SAP IM, Historical'!F7*B1</f>
        <v>27420.888591093124</v>
      </c>
      <c r="C24" s="134">
        <f>'SAP IM, Historical'!I7*C1</f>
        <v>30056.725790029013</v>
      </c>
      <c r="D24" s="134">
        <f>'SAP IM, Historical'!L7*D1</f>
        <v>32589.951283192637</v>
      </c>
      <c r="E24" s="134">
        <f>'SAP IM, Historical'!O7*E1</f>
        <v>38439.77958739685</v>
      </c>
      <c r="F24" s="134">
        <f>'SAP IM, Historical'!R7*F1</f>
        <v>30824.155227982876</v>
      </c>
      <c r="G24" s="134">
        <f>'SAP IM, Historical'!U7*G1</f>
        <v>25573.490355867652</v>
      </c>
      <c r="H24" s="134">
        <f>'SAP IM, Historical'!X7*H1</f>
        <v>20930.657368827524</v>
      </c>
      <c r="I24" s="134">
        <f>'SAP IM, Historical'!AA7*I1</f>
        <v>22784.493617036012</v>
      </c>
      <c r="J24" s="134">
        <f>'SAP IM, Historical'!AD7*J1</f>
        <v>23102.998348842488</v>
      </c>
      <c r="K24" s="134">
        <f>'SAP IM, Historical'!AG7*K1</f>
        <v>22701.102830995322</v>
      </c>
      <c r="L24" s="134">
        <f>'SAP IM, Historical'!AJ7*L1</f>
        <v>19116.243200438115</v>
      </c>
      <c r="M24" s="134">
        <f>'SAP IM, Historical'!AM7*M1</f>
        <v>17684.000468871593</v>
      </c>
      <c r="N24" s="134">
        <f>'SAP IM, Historical'!AP7*N1</f>
        <v>15381.403000000002</v>
      </c>
      <c r="O24" s="324">
        <f>'SAP IM, Historical'!AS7*O1</f>
        <v>22914.071853360485</v>
      </c>
      <c r="P24" s="324">
        <f>'SAP IM, Historical'!AV7*P1</f>
        <v>25312.115871978236</v>
      </c>
    </row>
    <row r="25" spans="1:16" s="133" customFormat="1">
      <c r="A25" s="133" t="s">
        <v>148</v>
      </c>
      <c r="B25" s="134">
        <f>'RIN, Exp workings'!G15*B1</f>
        <v>-9071.0728618219327</v>
      </c>
      <c r="C25" s="134">
        <f>'RIN, Exp workings'!G38*C1</f>
        <v>-9136.6143179311748</v>
      </c>
      <c r="D25" s="134">
        <f>'RIN, Exp workings'!G60*D1</f>
        <v>-15076.837322327032</v>
      </c>
      <c r="E25" s="134">
        <f>'RIN, Exp workings'!G81*E1</f>
        <v>-21880.196848756554</v>
      </c>
      <c r="F25" s="134">
        <f>'RIN, Exp workings'!G103*F1</f>
        <v>-13761.120044875581</v>
      </c>
      <c r="G25" s="134">
        <f>'RIN, Exp workings'!G126*G1</f>
        <v>-11477.914414038381</v>
      </c>
      <c r="H25" s="134">
        <f>'RIN, Exp workings'!G150*H1</f>
        <v>-7521.1153338310323</v>
      </c>
      <c r="I25" s="134"/>
      <c r="J25" s="134"/>
      <c r="K25" s="134"/>
      <c r="L25" s="134"/>
      <c r="M25" s="134"/>
      <c r="N25" s="134"/>
      <c r="O25" s="324"/>
    </row>
    <row r="26" spans="1:16">
      <c r="A26" t="s">
        <v>147</v>
      </c>
      <c r="B26" s="57">
        <f>SUM(B24:B25)</f>
        <v>18349.815729271191</v>
      </c>
      <c r="C26" s="57">
        <f>SUM(C24:C25)</f>
        <v>20920.111472097837</v>
      </c>
      <c r="D26" s="57">
        <f>SUM(D24:D25)</f>
        <v>17513.113960865605</v>
      </c>
      <c r="E26" s="57">
        <f t="shared" ref="E26:L26" si="7">SUM(E24:E25)</f>
        <v>16559.582738640296</v>
      </c>
      <c r="F26" s="57">
        <f t="shared" si="7"/>
        <v>17063.035183107295</v>
      </c>
      <c r="G26" s="57">
        <f t="shared" si="7"/>
        <v>14095.575941829271</v>
      </c>
      <c r="H26" s="57">
        <f t="shared" si="7"/>
        <v>13409.542034996492</v>
      </c>
      <c r="I26" s="57">
        <f t="shared" si="7"/>
        <v>22784.493617036012</v>
      </c>
      <c r="J26" s="57">
        <f t="shared" si="7"/>
        <v>23102.998348842488</v>
      </c>
      <c r="K26" s="57">
        <f t="shared" si="7"/>
        <v>22701.102830995322</v>
      </c>
      <c r="L26" s="57">
        <f t="shared" si="7"/>
        <v>19116.243200438115</v>
      </c>
      <c r="M26" s="57">
        <f t="shared" ref="M26:N26" si="8">SUM(M24:M25)</f>
        <v>17684.000468871593</v>
      </c>
      <c r="N26" s="57">
        <f t="shared" si="8"/>
        <v>15381.403000000002</v>
      </c>
      <c r="O26" s="323">
        <f t="shared" ref="O26:P26" si="9">SUM(O24:O25)</f>
        <v>22914.071853360485</v>
      </c>
      <c r="P26" s="323">
        <f t="shared" si="9"/>
        <v>25312.115871978236</v>
      </c>
    </row>
    <row r="27" spans="1:16">
      <c r="A27" t="s">
        <v>149</v>
      </c>
      <c r="B27" s="57">
        <f>'SAP IM, Historical'!F8*B1</f>
        <v>28448.150349797568</v>
      </c>
      <c r="C27" s="57">
        <f>'SAP IM, Historical'!I8*C1</f>
        <v>37673.464308098126</v>
      </c>
      <c r="D27" s="57">
        <f>'SAP IM, Historical'!L8*D1</f>
        <v>33720.216477359943</v>
      </c>
      <c r="E27" s="57">
        <f>'SAP IM, Historical'!O8*E1</f>
        <v>28980.087420105021</v>
      </c>
      <c r="F27" s="57">
        <f>'SAP IM, Historical'!R8*F1</f>
        <v>24114.943830806846</v>
      </c>
      <c r="G27" s="57">
        <f>'SAP IM, Historical'!U8*G1</f>
        <v>27339.954050702214</v>
      </c>
      <c r="H27" s="57">
        <f>'SAP IM, Historical'!X8*H1</f>
        <v>31932.65091504798</v>
      </c>
      <c r="I27" s="57">
        <f>'SAP IM, Historical'!AA8*I1</f>
        <v>29432.934955678669</v>
      </c>
      <c r="J27" s="57">
        <f>'SAP IM, Historical'!AD8*J1</f>
        <v>28945.727850204272</v>
      </c>
      <c r="K27" s="57">
        <f>'SAP IM, Historical'!AG8*K1</f>
        <v>29710.405834335335</v>
      </c>
      <c r="L27" s="57">
        <f>'SAP IM, Historical'!AJ8*L1</f>
        <v>31526.06451588171</v>
      </c>
      <c r="M27" s="57">
        <f>'SAP IM, Historical'!AM8*M1</f>
        <v>24256.723028534368</v>
      </c>
      <c r="N27" s="57">
        <f>'SAP IM, Historical'!AP8*N1</f>
        <v>25271.14284</v>
      </c>
      <c r="O27" s="323">
        <f>'SAP IM, Historical'!AS8*O1</f>
        <v>21956.159327902242</v>
      </c>
      <c r="P27" s="323">
        <f>'SAP IM, Historical'!AV8*P1</f>
        <v>20418.92788712704</v>
      </c>
    </row>
    <row r="28" spans="1:16">
      <c r="A28" t="s">
        <v>150</v>
      </c>
      <c r="B28" s="57">
        <f>'SAP IM, Historical'!F9*B1</f>
        <v>84164.852782995964</v>
      </c>
      <c r="C28" s="57">
        <f>'SAP IM, Historical'!I9*C1</f>
        <v>93649.214980216289</v>
      </c>
      <c r="D28" s="57">
        <f>'SAP IM, Historical'!L9*D1</f>
        <v>55615.972418265548</v>
      </c>
      <c r="E28" s="57">
        <f>'SAP IM, Historical'!O9*E1</f>
        <v>50946.641381095265</v>
      </c>
      <c r="F28" s="57">
        <f>'SAP IM, Historical'!R9*F1</f>
        <v>48872.661483374082</v>
      </c>
      <c r="G28" s="57">
        <f>'SAP IM, Historical'!U9*G1</f>
        <v>46432.165299690547</v>
      </c>
      <c r="H28" s="57">
        <f>'SAP IM, Historical'!X9*H1</f>
        <v>33664.916057102739</v>
      </c>
      <c r="I28" s="57">
        <f>'SAP IM, Historical'!AA9*I1</f>
        <v>23251.661818635737</v>
      </c>
      <c r="J28" s="57">
        <f>'SAP IM, Historical'!AD9*J1</f>
        <v>21062.183819087611</v>
      </c>
      <c r="K28" s="57">
        <f>'SAP IM, Historical'!AG9*K1</f>
        <v>21005.518097822314</v>
      </c>
      <c r="L28" s="57">
        <f>'SAP IM, Historical'!AJ9*L1</f>
        <v>35231.417430887188</v>
      </c>
      <c r="M28" s="57">
        <f>'SAP IM, Historical'!AM9*M1</f>
        <v>30833.113099870297</v>
      </c>
      <c r="N28" s="57">
        <f>'SAP IM, Historical'!AP9*N1</f>
        <v>32849</v>
      </c>
      <c r="O28" s="323">
        <f>'SAP IM, Historical'!AS9*O1</f>
        <v>30822.666598778003</v>
      </c>
      <c r="P28" s="323">
        <f>'SAP IM, Historical'!AV9*P1</f>
        <v>37118.52756293767</v>
      </c>
    </row>
    <row r="29" spans="1:16">
      <c r="A29" t="s">
        <v>151</v>
      </c>
      <c r="B29" s="57">
        <f>'SAP IM, Historical'!F12*B1</f>
        <v>11446.358953036439</v>
      </c>
      <c r="C29" s="57">
        <f>'SAP IM, Historical'!I12*C1</f>
        <v>7419.7206125032972</v>
      </c>
      <c r="D29" s="57">
        <f>'SAP IM, Historical'!L12*D1</f>
        <v>6263.3867904835006</v>
      </c>
      <c r="E29" s="57">
        <f>'SAP IM, Historical'!O12*E1</f>
        <v>5105.0179759939983</v>
      </c>
      <c r="F29" s="57">
        <f>'SAP IM, Historical'!R12*F1</f>
        <v>6032.616294132029</v>
      </c>
      <c r="G29" s="57">
        <f>'SAP IM, Historical'!U12*G1</f>
        <v>4992.8849892882645</v>
      </c>
      <c r="H29" s="57">
        <f>'SAP IM, Historical'!X12*H1</f>
        <v>6377.3911221624148</v>
      </c>
      <c r="I29" s="57">
        <f>'SAP IM, Historical'!AA12*I1</f>
        <v>7173.4550667128351</v>
      </c>
      <c r="J29" s="57">
        <f>'SAP IM, Historical'!AD12*J1</f>
        <v>6223.4667562414897</v>
      </c>
      <c r="K29" s="57">
        <f>'SAP IM, Historical'!AG12*K1</f>
        <v>6524.4614796259184</v>
      </c>
      <c r="L29" s="57">
        <f>'SAP IM, Historical'!AJ12*L1</f>
        <v>6584.1814679079971</v>
      </c>
      <c r="M29" s="57">
        <f>'SAP IM, Historical'!AM13*M1</f>
        <v>4793.144071335927</v>
      </c>
      <c r="N29" s="57">
        <f>'SAP IM, Historical'!AP13*N1</f>
        <v>6976</v>
      </c>
      <c r="O29" s="323">
        <f>'SAP IM, Historical'!AS13*O1</f>
        <v>7875.5632790224035</v>
      </c>
      <c r="P29" s="323">
        <f>'SAP IM, Historical'!AV13*P1</f>
        <v>10338.095803006549</v>
      </c>
    </row>
    <row r="30" spans="1:16"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323"/>
    </row>
    <row r="31" spans="1:16" s="65" customFormat="1">
      <c r="A31" s="62" t="s">
        <v>152</v>
      </c>
      <c r="B31" s="85">
        <f t="shared" ref="B31:L31" si="10">SUM(B26:B29)</f>
        <v>142409.17781510117</v>
      </c>
      <c r="C31" s="85">
        <f>SUM(C26:C29)</f>
        <v>159662.51137291556</v>
      </c>
      <c r="D31" s="85">
        <f t="shared" si="10"/>
        <v>113112.6896469746</v>
      </c>
      <c r="E31" s="85">
        <f t="shared" si="10"/>
        <v>101591.32951583457</v>
      </c>
      <c r="F31" s="85">
        <f t="shared" si="10"/>
        <v>96083.256791420252</v>
      </c>
      <c r="G31" s="85">
        <f t="shared" si="10"/>
        <v>92860.58028151028</v>
      </c>
      <c r="H31" s="85">
        <f t="shared" si="10"/>
        <v>85384.500129309614</v>
      </c>
      <c r="I31" s="85">
        <f t="shared" si="10"/>
        <v>82642.54545806325</v>
      </c>
      <c r="J31" s="85">
        <f t="shared" si="10"/>
        <v>79334.376774375851</v>
      </c>
      <c r="K31" s="85">
        <f t="shared" si="10"/>
        <v>79941.488242778883</v>
      </c>
      <c r="L31" s="85">
        <f t="shared" si="10"/>
        <v>92457.906615115004</v>
      </c>
      <c r="M31" s="85">
        <f t="shared" ref="M31:N31" si="11">SUM(M26:M29)</f>
        <v>77566.980668612188</v>
      </c>
      <c r="N31" s="85">
        <f t="shared" si="11"/>
        <v>80477.545840000006</v>
      </c>
      <c r="O31" s="85">
        <f t="shared" ref="O31:P31" si="12">SUM(O26:O29)</f>
        <v>83568.461059063135</v>
      </c>
      <c r="P31" s="85">
        <f t="shared" si="12"/>
        <v>93187.667125049498</v>
      </c>
    </row>
    <row r="68" spans="1:16" s="70" customFormat="1">
      <c r="A68" s="86" t="s">
        <v>279</v>
      </c>
      <c r="B68" s="86"/>
      <c r="C68" s="86"/>
    </row>
    <row r="70" spans="1:16">
      <c r="B70" s="87" t="s">
        <v>122</v>
      </c>
      <c r="C70" s="87" t="s">
        <v>123</v>
      </c>
      <c r="D70" s="87" t="s">
        <v>124</v>
      </c>
      <c r="E70" s="88" t="s">
        <v>125</v>
      </c>
      <c r="F70" s="88" t="s">
        <v>126</v>
      </c>
      <c r="G70" s="88" t="s">
        <v>127</v>
      </c>
      <c r="H70" s="88" t="s">
        <v>128</v>
      </c>
      <c r="I70" s="88" t="s">
        <v>129</v>
      </c>
      <c r="J70" s="88" t="s">
        <v>130</v>
      </c>
      <c r="K70" s="88" t="s">
        <v>131</v>
      </c>
      <c r="L70" s="88" t="s">
        <v>132</v>
      </c>
      <c r="M70" s="88" t="s">
        <v>133</v>
      </c>
      <c r="N70" s="88" t="s">
        <v>134</v>
      </c>
      <c r="O70" s="88" t="s">
        <v>135</v>
      </c>
      <c r="P70" s="88" t="s">
        <v>180</v>
      </c>
    </row>
    <row r="71" spans="1:16">
      <c r="A71" s="59" t="s">
        <v>153</v>
      </c>
      <c r="B71" s="59"/>
      <c r="C71" s="59"/>
    </row>
    <row r="72" spans="1:16">
      <c r="A72" t="s">
        <v>136</v>
      </c>
      <c r="B72" s="57">
        <f>'RIN, Cont workings'!F34*B1</f>
        <v>-3659.0502105923183</v>
      </c>
      <c r="C72" s="57">
        <f>'RIN, Cont workings'!J34*C1</f>
        <v>-3302.5589518339748</v>
      </c>
      <c r="D72" s="57">
        <f>'RIN, Cont workings'!N34*D1</f>
        <v>-2769.9357081705684</v>
      </c>
      <c r="E72" s="57">
        <f>'RIN, Cont workings'!R34*E1</f>
        <v>-2206.0071375639704</v>
      </c>
      <c r="F72" s="57">
        <f>'RIN, Cont workings'!V34*F1</f>
        <v>-1765.7224005772978</v>
      </c>
      <c r="G72" s="57">
        <f>'RIN, Cont workings'!Z34*G1</f>
        <v>-2213.3277496077931</v>
      </c>
      <c r="H72" s="57">
        <f>'RIN, Cont workings'!AD34*H1</f>
        <v>-2407.4211862549905</v>
      </c>
      <c r="I72" s="57">
        <f>'RIN, Cont workings'!AH34*I1</f>
        <v>-5998.305251220876</v>
      </c>
      <c r="J72" s="57">
        <f>'RIN, Cont workings'!AL34*J1</f>
        <v>-5081.0976321044291</v>
      </c>
      <c r="K72" s="57">
        <f>'RIN, Cont workings'!AP34*K1</f>
        <v>-3386.5825239739247</v>
      </c>
      <c r="L72" s="57">
        <f>'RIN, Cont workings'!AT34*L1</f>
        <v>-6384.5334025084812</v>
      </c>
      <c r="M72" s="57">
        <f>'RIN, Cont workings'!AX34*M1</f>
        <v>-6855.6725517904461</v>
      </c>
      <c r="N72" s="57">
        <f>'RIN, Cont workings'!BB34*N1</f>
        <v>-5212.4465008440875</v>
      </c>
      <c r="O72" s="330">
        <f>'RIN, Cont workings'!BI34</f>
        <v>-4668.3283614912934</v>
      </c>
      <c r="P72" s="330">
        <f>'RIN, Cont workings'!BM34</f>
        <v>-4813.1766494521025</v>
      </c>
    </row>
    <row r="73" spans="1:16">
      <c r="A73" t="s">
        <v>137</v>
      </c>
      <c r="B73" s="57">
        <f>'RIN, Cont workings'!F35*B1</f>
        <v>-35387.696308374463</v>
      </c>
      <c r="C73" s="57">
        <f>'RIN, Cont workings'!J35*C1</f>
        <v>-30184.649298973243</v>
      </c>
      <c r="D73" s="57">
        <f>'RIN, Cont workings'!N35*D1</f>
        <v>-23964.286174558591</v>
      </c>
      <c r="E73" s="57">
        <f>'RIN, Cont workings'!R35*E1</f>
        <v>-15336.862918710693</v>
      </c>
      <c r="F73" s="57">
        <f>'RIN, Cont workings'!V35*F1</f>
        <v>-10950.81949983503</v>
      </c>
      <c r="G73" s="57">
        <f>'RIN, Cont workings'!Z35*G1</f>
        <v>-14249.414339760366</v>
      </c>
      <c r="H73" s="57">
        <f>'RIN, Cont workings'!AD35*H1</f>
        <v>-11989.05057312488</v>
      </c>
      <c r="I73" s="57">
        <f>'RIN, Cont workings'!AH35*I1</f>
        <v>-7347.7614841934037</v>
      </c>
      <c r="J73" s="57">
        <f>'RIN, Cont workings'!AL35*J1</f>
        <v>-6687.3966454599595</v>
      </c>
      <c r="K73" s="57">
        <f>'RIN, Cont workings'!AP35*K1</f>
        <v>-6148.2695354487169</v>
      </c>
      <c r="L73" s="57">
        <f>'RIN, Cont workings'!AT35*L1</f>
        <v>-6080.5403251359003</v>
      </c>
      <c r="M73" s="57">
        <f>'RIN, Cont workings'!AX35*M1</f>
        <v>-4478.799518027773</v>
      </c>
      <c r="N73" s="57">
        <f>'RIN, Cont workings'!BB35*N1</f>
        <v>-7011.9159981875346</v>
      </c>
      <c r="O73" s="330">
        <f>'RIN, Cont workings'!BI35</f>
        <v>-7305.8090864401947</v>
      </c>
      <c r="P73" s="330">
        <f>'RIN, Cont workings'!BM35</f>
        <v>-7277.5805165937672</v>
      </c>
    </row>
    <row r="74" spans="1:16">
      <c r="A74" t="s">
        <v>138</v>
      </c>
      <c r="B74" s="57">
        <f>'RIN, Cont workings'!F36*B1</f>
        <v>-45097.097735338692</v>
      </c>
      <c r="C74" s="57">
        <f>'RIN, Cont workings'!J36*C1</f>
        <v>-77046.199679960904</v>
      </c>
      <c r="D74" s="57">
        <f>'RIN, Cont workings'!N36*D1</f>
        <v>-45958.972871605838</v>
      </c>
      <c r="E74" s="57">
        <f>'RIN, Cont workings'!R36*E1</f>
        <v>-26596.069795120566</v>
      </c>
      <c r="F74" s="57">
        <f>'RIN, Cont workings'!V36*F1</f>
        <v>-26124.476054046856</v>
      </c>
      <c r="G74" s="57">
        <f>'RIN, Cont workings'!Z36*G1</f>
        <v>-29104.036329791561</v>
      </c>
      <c r="H74" s="57">
        <f>'RIN, Cont workings'!AD36*H1</f>
        <v>-14461.258523164555</v>
      </c>
      <c r="I74" s="57">
        <f>'RIN, Cont workings'!AH36*I1</f>
        <v>-9921.082076613442</v>
      </c>
      <c r="J74" s="57">
        <f>'RIN, Cont workings'!AL36*J1</f>
        <v>-10613.171542295782</v>
      </c>
      <c r="K74" s="57">
        <f>'RIN, Cont workings'!AP36*K1</f>
        <v>-12799.95493052496</v>
      </c>
      <c r="L74" s="57">
        <f>'RIN, Cont workings'!AT36*L1</f>
        <v>-23294.479630197144</v>
      </c>
      <c r="M74" s="57">
        <f>'RIN, Cont workings'!AX36*M1</f>
        <v>-22278.895029654574</v>
      </c>
      <c r="N74" s="57">
        <f>'RIN, Cont workings'!BB36*N1</f>
        <v>-23925.408149447958</v>
      </c>
      <c r="O74" s="330">
        <f>'RIN, Cont workings'!BI36</f>
        <v>-25702.644097177305</v>
      </c>
      <c r="P74" s="330">
        <f>'RIN, Cont workings'!BM36</f>
        <v>-28040.85611163099</v>
      </c>
    </row>
    <row r="75" spans="1:16">
      <c r="A75" t="s">
        <v>139</v>
      </c>
      <c r="B75" s="57">
        <f>'RIN, Cont workings'!F37*B1</f>
        <v>-8858.9340429219483</v>
      </c>
      <c r="C75" s="57">
        <f>'RIN, Cont workings'!J37*C1</f>
        <v>-6823.6155904236848</v>
      </c>
      <c r="D75" s="57">
        <f>'RIN, Cont workings'!N37*D1</f>
        <v>-3156.617063978299</v>
      </c>
      <c r="E75" s="57">
        <f>'RIN, Cont workings'!R37*E1</f>
        <v>-5257.9270707912174</v>
      </c>
      <c r="F75" s="57">
        <f>'RIN, Cont workings'!V37*F1</f>
        <v>-1146.4964981631133</v>
      </c>
      <c r="G75" s="57">
        <f>'RIN, Cont workings'!Z37*G1</f>
        <v>-2063.5389876038539</v>
      </c>
      <c r="H75" s="57">
        <f>'RIN, Cont workings'!AD37*H1</f>
        <v>-5138.4605095149827</v>
      </c>
      <c r="I75" s="57">
        <f>'RIN, Cont workings'!AH37*I1</f>
        <v>-3008.8467230566234</v>
      </c>
      <c r="J75" s="57">
        <f>'RIN, Cont workings'!AL37*J1</f>
        <v>-162.29427793681995</v>
      </c>
      <c r="K75" s="57">
        <f>'RIN, Cont workings'!AP37*K1</f>
        <v>-1468.9387832400487</v>
      </c>
      <c r="L75" s="57">
        <f>'RIN, Cont workings'!AT37*L1</f>
        <v>793.37261171213981</v>
      </c>
      <c r="M75" s="57">
        <f>'RIN, Cont workings'!AX37*M1</f>
        <v>1203.8530741198342</v>
      </c>
      <c r="N75" s="57">
        <f>'RIN, Cont workings'!BB37*N1</f>
        <v>-495.65997373476148</v>
      </c>
      <c r="O75" s="330">
        <f>'RIN, Cont workings'!BI37</f>
        <v>455.28154510879403</v>
      </c>
      <c r="P75" s="330">
        <f>'RIN, Cont workings'!BM37</f>
        <v>4964.7944377663198</v>
      </c>
    </row>
    <row r="76" spans="1:16">
      <c r="O76" s="321"/>
      <c r="P76" s="321"/>
    </row>
    <row r="77" spans="1:16" s="65" customFormat="1">
      <c r="A77" s="62" t="s">
        <v>154</v>
      </c>
      <c r="B77" s="106">
        <f>SUM(B72:B75)</f>
        <v>-93002.778297227414</v>
      </c>
      <c r="C77" s="106">
        <f>SUM(C72:C75)</f>
        <v>-117357.0235211918</v>
      </c>
      <c r="D77" s="106">
        <f>SUM(D72:D75)</f>
        <v>-75849.81181831329</v>
      </c>
      <c r="E77" s="106">
        <f>SUM(E72:E75)</f>
        <v>-49396.866922186447</v>
      </c>
      <c r="F77" s="106">
        <f t="shared" ref="F77:L77" si="13">SUM(F72:F75)</f>
        <v>-39987.514452622294</v>
      </c>
      <c r="G77" s="106">
        <f t="shared" si="13"/>
        <v>-47630.31740676357</v>
      </c>
      <c r="H77" s="106">
        <f t="shared" si="13"/>
        <v>-33996.190792059409</v>
      </c>
      <c r="I77" s="106">
        <f t="shared" si="13"/>
        <v>-26275.995535084345</v>
      </c>
      <c r="J77" s="106">
        <f t="shared" si="13"/>
        <v>-22543.960097796993</v>
      </c>
      <c r="K77" s="106">
        <f t="shared" si="13"/>
        <v>-23803.745773187653</v>
      </c>
      <c r="L77" s="106">
        <f t="shared" si="13"/>
        <v>-34966.180746129387</v>
      </c>
      <c r="M77" s="106">
        <f t="shared" ref="M77:N77" si="14">SUM(M72:M75)</f>
        <v>-32409.514025352961</v>
      </c>
      <c r="N77" s="106">
        <f t="shared" si="14"/>
        <v>-36645.430622214342</v>
      </c>
      <c r="O77" s="331">
        <f t="shared" ref="O77:P77" si="15">SUM(O72:O75)</f>
        <v>-37221.5</v>
      </c>
      <c r="P77" s="331">
        <f t="shared" si="15"/>
        <v>-35166.818839910542</v>
      </c>
    </row>
    <row r="78" spans="1:16">
      <c r="O78" s="321"/>
      <c r="P78" s="321"/>
    </row>
    <row r="79" spans="1:16">
      <c r="O79" s="321"/>
      <c r="P79" s="321"/>
    </row>
    <row r="80" spans="1:16">
      <c r="O80" s="321"/>
      <c r="P80" s="321"/>
    </row>
    <row r="81" spans="1:16">
      <c r="A81" s="118" t="s">
        <v>146</v>
      </c>
      <c r="B81" s="118"/>
      <c r="C81" s="118"/>
      <c r="O81" s="321"/>
      <c r="P81" s="321"/>
    </row>
    <row r="82" spans="1:16">
      <c r="A82" t="s">
        <v>147</v>
      </c>
      <c r="B82" s="57">
        <f>'RIN, Cont workings'!F44*B1</f>
        <v>-8219.7141700000011</v>
      </c>
      <c r="C82" s="57">
        <f>'RIN, Cont workings'!J44*C1</f>
        <v>-10647.587053943549</v>
      </c>
      <c r="D82" s="57">
        <f>'RIN, Cont workings'!N44*D1</f>
        <v>-19961.394979048353</v>
      </c>
      <c r="E82" s="57">
        <f>'RIN, Cont workings'!R44*E1</f>
        <v>-29132.870413833454</v>
      </c>
      <c r="F82" s="57">
        <f>'RIN, Cont workings'!V44*F1</f>
        <v>-17203.993294356969</v>
      </c>
      <c r="G82" s="57">
        <f>'RIN, Cont workings'!Z44*G1</f>
        <v>-14798.784815734347</v>
      </c>
      <c r="H82" s="57">
        <f>'RIN, Cont workings'!AD44*H1</f>
        <v>-8778.9739616264942</v>
      </c>
      <c r="I82" s="57">
        <f>'RIN, Cont workings'!AH44*I1</f>
        <v>-12765.995263857343</v>
      </c>
      <c r="J82" s="57">
        <f>'RIN, Cont workings'!AL44*J1</f>
        <v>-13967.054335288245</v>
      </c>
      <c r="K82" s="57">
        <f>'RIN, Cont workings'!AP44*K1</f>
        <v>-11861.100793687374</v>
      </c>
      <c r="L82" s="57">
        <f>'RIN, Cont workings'!AT44*L1</f>
        <v>-7687.17382316977</v>
      </c>
      <c r="M82" s="57">
        <f>'RIN, Cont workings'!AX44*M1</f>
        <v>-8178.9664690466925</v>
      </c>
      <c r="N82" s="57">
        <f>'RIN, Cont workings'!BB44*N1</f>
        <v>-6150.74154</v>
      </c>
      <c r="O82" s="330">
        <f>'RIN, Cont workings'!BI44</f>
        <v>-5591.4000000000005</v>
      </c>
      <c r="P82" s="330">
        <f>'RIN, Cont workings'!BM44</f>
        <v>-5757.5734999999995</v>
      </c>
    </row>
    <row r="83" spans="1:16">
      <c r="A83" t="s">
        <v>155</v>
      </c>
      <c r="B83" s="57">
        <f>('RIN, Cont workings'!C7)*-1*B1</f>
        <v>4561.679628720648</v>
      </c>
      <c r="C83" s="57">
        <f>('RIN, Cont workings'!G7)*-1*C1</f>
        <v>7410.6444583935636</v>
      </c>
      <c r="D83" s="57">
        <f>('RIN, Cont workings'!K7)*-1*D1</f>
        <v>16799.28985392172</v>
      </c>
      <c r="E83" s="57">
        <f>('RIN, Cont workings'!O7)*-1*E1</f>
        <v>26620.550920210055</v>
      </c>
      <c r="F83" s="57">
        <f>('RIN, Cont workings'!S7)*-1*F1</f>
        <v>15190.960717092908</v>
      </c>
      <c r="G83" s="57">
        <f>('RIN, Cont workings'!W7)*-1*G1</f>
        <v>12324.514199850035</v>
      </c>
      <c r="H83" s="57">
        <f>('RIN, Cont workings'!AA7)*-1*H1</f>
        <v>6064.6979297425705</v>
      </c>
      <c r="I83" s="57">
        <f>('RIN, Cont workings'!AE7)*-1*I1</f>
        <v>7867.96456880194</v>
      </c>
      <c r="J83" s="57">
        <f>('RIN, Cont workings'!AI7)*-1*J1</f>
        <v>8770.8102909872905</v>
      </c>
      <c r="K83" s="57">
        <f>('RIN, Cont workings'!AM7)*-1*K1</f>
        <v>7814.6251793253168</v>
      </c>
      <c r="L83" s="57">
        <f>('RIN, Cont workings'!AQ7)*-1*L1</f>
        <v>4148.5528250010957</v>
      </c>
      <c r="M83" s="57">
        <f>('RIN, Cont workings'!AU7)*-1*M1</f>
        <v>4810.9593471789876</v>
      </c>
      <c r="N83" s="57">
        <f>('RIN, Cont workings'!AY7)*-1*N1</f>
        <v>-9.2850000000000001</v>
      </c>
      <c r="O83" s="330">
        <v>0</v>
      </c>
      <c r="P83" s="321"/>
    </row>
    <row r="84" spans="1:16">
      <c r="A84" t="s">
        <v>147</v>
      </c>
      <c r="B84" s="57">
        <f t="shared" ref="B84:L84" si="16">SUM(B82:B83)</f>
        <v>-3658.0345412793531</v>
      </c>
      <c r="C84" s="57">
        <f>SUM(C82:C83)</f>
        <v>-3236.9425955499855</v>
      </c>
      <c r="D84" s="57">
        <f t="shared" si="16"/>
        <v>-3162.1051251266326</v>
      </c>
      <c r="E84" s="57">
        <f t="shared" si="16"/>
        <v>-2512.3194936233995</v>
      </c>
      <c r="F84" s="57">
        <f t="shared" si="16"/>
        <v>-2013.0325772640608</v>
      </c>
      <c r="G84" s="57">
        <f t="shared" si="16"/>
        <v>-2474.2706158843121</v>
      </c>
      <c r="H84" s="57">
        <f t="shared" si="16"/>
        <v>-2714.2760318839237</v>
      </c>
      <c r="I84" s="57">
        <f>SUM(I82:I83)</f>
        <v>-4898.0306950554032</v>
      </c>
      <c r="J84" s="57">
        <f t="shared" si="16"/>
        <v>-5196.2440443009546</v>
      </c>
      <c r="K84" s="57">
        <f t="shared" si="16"/>
        <v>-4046.4756143620571</v>
      </c>
      <c r="L84" s="57">
        <f t="shared" si="16"/>
        <v>-3538.6209981686743</v>
      </c>
      <c r="M84" s="57">
        <f t="shared" ref="M84:N84" si="17">SUM(M82:M83)</f>
        <v>-3368.0071218677049</v>
      </c>
      <c r="N84" s="57">
        <f t="shared" si="17"/>
        <v>-6160.0265399999998</v>
      </c>
      <c r="O84" s="330">
        <f t="shared" ref="O84:P84" si="18">SUM(O82:O83)</f>
        <v>-5591.4000000000005</v>
      </c>
      <c r="P84" s="330">
        <f t="shared" si="18"/>
        <v>-5757.5734999999995</v>
      </c>
    </row>
    <row r="85" spans="1:16">
      <c r="A85" t="s">
        <v>149</v>
      </c>
      <c r="B85" s="57">
        <f>'RIN, Cont workings'!F45*B1</f>
        <v>-36128.437952898785</v>
      </c>
      <c r="C85" s="57">
        <f>'RIN, Cont workings'!J45*C1</f>
        <v>-33012.348975985224</v>
      </c>
      <c r="D85" s="57">
        <f>'RIN, Cont workings'!N45*D1</f>
        <v>-27440.402067029932</v>
      </c>
      <c r="E85" s="57">
        <f>'RIN, Cont workings'!R45*E1</f>
        <v>-17455.380164658665</v>
      </c>
      <c r="F85" s="57">
        <f>'RIN, Cont workings'!V45*F1</f>
        <v>-12484.610487865526</v>
      </c>
      <c r="G85" s="57">
        <f>'RIN, Cont workings'!Z45*G1</f>
        <v>-17330.092515789096</v>
      </c>
      <c r="H85" s="57">
        <f>'RIN, Cont workings'!AD45*H1</f>
        <v>-13600.922033337236</v>
      </c>
      <c r="I85" s="57">
        <f>'RIN, Cont workings'!AH45*I1</f>
        <v>-12001.734898538782</v>
      </c>
      <c r="J85" s="57">
        <f>'RIN, Cont workings'!AL45*J1</f>
        <v>-8509.0132761053119</v>
      </c>
      <c r="K85" s="57">
        <f>'RIN, Cont workings'!AP45*K1</f>
        <v>-7075.3459507281232</v>
      </c>
      <c r="L85" s="57">
        <f>'RIN, Cont workings'!AT45*L1</f>
        <v>-7321.1250054216871</v>
      </c>
      <c r="M85" s="57">
        <f>'RIN, Cont workings'!AX45*M1</f>
        <v>-5343.3052414332033</v>
      </c>
      <c r="N85" s="57">
        <f>'RIN, Cont workings'!BB45*N1</f>
        <v>-8274.1344200000003</v>
      </c>
      <c r="O85" s="330">
        <f>'RIN, Cont workings'!BI45</f>
        <v>-8751.7999999999993</v>
      </c>
      <c r="P85" s="330">
        <f>'RIN, Cont workings'!BM45</f>
        <v>-8704.2237000000005</v>
      </c>
    </row>
    <row r="86" spans="1:16">
      <c r="A86" t="s">
        <v>150</v>
      </c>
      <c r="B86" s="57">
        <f>'RIN, Cont workings'!F46*B1</f>
        <v>-49774.036413368427</v>
      </c>
      <c r="C86" s="57">
        <f>'RIN, Cont workings'!J46*C1</f>
        <v>-77721.217561060388</v>
      </c>
      <c r="D86" s="57">
        <f>'RIN, Cont workings'!N46*D1</f>
        <v>-52625.506347168077</v>
      </c>
      <c r="E86" s="57">
        <f>'RIN, Cont workings'!R46*E1</f>
        <v>-30289.0337307952</v>
      </c>
      <c r="F86" s="57">
        <f>'RIN, Cont workings'!V46*F1</f>
        <v>-29783.515995242051</v>
      </c>
      <c r="G86" s="57">
        <f>'RIN, Cont workings'!Z46*G1</f>
        <v>-32535.290766219947</v>
      </c>
      <c r="H86" s="57">
        <f>'RIN, Cont workings'!AD46*H1</f>
        <v>-16304.520216241521</v>
      </c>
      <c r="I86" s="57">
        <f>'RIN, Cont workings'!AH46*I1</f>
        <v>-12376.777455554016</v>
      </c>
      <c r="J86" s="57">
        <f>'RIN, Cont workings'!AL46*J1</f>
        <v>-13573.241365206541</v>
      </c>
      <c r="K86" s="57">
        <f>'RIN, Cont workings'!AP46*K1</f>
        <v>-15858.435560207079</v>
      </c>
      <c r="L86" s="57">
        <f>'RIN, Cont workings'!AT46*L1</f>
        <v>-28047.03164306681</v>
      </c>
      <c r="M86" s="57">
        <f>'RIN, Cont workings'!AX46*M1</f>
        <v>-26579.206348962383</v>
      </c>
      <c r="N86" s="57">
        <f>'RIN, Cont workings'!BB46*N1</f>
        <v>-28232.232550000001</v>
      </c>
      <c r="O86" s="330">
        <f>'RIN, Cont workings'!BI46</f>
        <v>-30789.7</v>
      </c>
      <c r="P86" s="330">
        <f>'RIN, Cont workings'!BM46</f>
        <v>-33538.100140000002</v>
      </c>
    </row>
    <row r="87" spans="1:16">
      <c r="A87" t="s">
        <v>151</v>
      </c>
      <c r="B87" s="57">
        <f>'RIN, Cont workings'!F47*B1</f>
        <v>-16840.544470291501</v>
      </c>
      <c r="C87" s="57">
        <f>'RIN, Cont workings'!J47*C1</f>
        <v>-14209.237540627802</v>
      </c>
      <c r="D87" s="57">
        <f>'RIN, Cont workings'!N47*D1</f>
        <v>-11223.559883591714</v>
      </c>
      <c r="E87" s="57">
        <f>'RIN, Cont workings'!R47*E1</f>
        <v>-11547.393136466617</v>
      </c>
      <c r="F87" s="57">
        <f>'RIN, Cont workings'!V47*F1</f>
        <v>-7099.4680500073346</v>
      </c>
      <c r="G87" s="57">
        <f>'RIN, Cont workings'!Z47*G1</f>
        <v>-8616.7062307426804</v>
      </c>
      <c r="H87" s="57">
        <f>'RIN, Cont workings'!AD47*H1</f>
        <v>-9946.3968681371425</v>
      </c>
      <c r="I87" s="57">
        <f>'RIN, Cont workings'!AH47*I1</f>
        <v>-9871.5751888388695</v>
      </c>
      <c r="J87" s="57">
        <f>'RIN, Cont workings'!AL47*J1</f>
        <v>-9759.204460724015</v>
      </c>
      <c r="K87" s="57">
        <f>'RIN, Cont workings'!AP47*K1</f>
        <v>-11479.387590935205</v>
      </c>
      <c r="L87" s="57">
        <f>'RIN, Cont workings'!AT47*L1</f>
        <v>-10049.046669791896</v>
      </c>
      <c r="M87" s="57">
        <f>'RIN, Cont workings'!AX47*M1</f>
        <v>-9906.8222607652388</v>
      </c>
      <c r="N87" s="57">
        <f>'RIN, Cont workings'!BB47*N1</f>
        <v>-14152.317909999998</v>
      </c>
      <c r="O87" s="330">
        <f>'RIN, Cont workings'!BI47</f>
        <v>-12842.8</v>
      </c>
      <c r="P87" s="330">
        <f>'RIN, Cont workings'!BM47</f>
        <v>-14028.798220000001</v>
      </c>
    </row>
    <row r="88" spans="1:16">
      <c r="A88" t="s">
        <v>156</v>
      </c>
      <c r="B88" s="57">
        <f>'RIN, Cont workings'!D39*B1</f>
        <v>6948.5151993441286</v>
      </c>
      <c r="C88" s="57">
        <f>'RIN, Cont workings'!H39*C1</f>
        <v>6430.4593222869962</v>
      </c>
      <c r="D88" s="57">
        <f>'RIN, Cont workings'!L39*D1</f>
        <v>6591.5381652954738</v>
      </c>
      <c r="E88" s="57">
        <f>'RIN, Cont workings'!P39*E1</f>
        <v>4881.5602611177792</v>
      </c>
      <c r="F88" s="57">
        <f>'RIN, Cont workings'!T39*F1</f>
        <v>5080.7697217995119</v>
      </c>
      <c r="G88" s="57">
        <f>'RIN, Cont workings'!X39*G1</f>
        <v>5644.4275089811954</v>
      </c>
      <c r="H88" s="57">
        <f>'RIN, Cont workings'!AB39*H1</f>
        <v>3683.4744248747952</v>
      </c>
      <c r="I88" s="57">
        <f>'RIN, Cont workings'!AF39*I1</f>
        <v>4136.5369637326876</v>
      </c>
      <c r="J88" s="57">
        <f>'RIN, Cont workings'!AJ39*J1</f>
        <v>7845.0105017362703</v>
      </c>
      <c r="K88" s="57">
        <f>'RIN, Cont workings'!AN39*K1</f>
        <v>8033.9323352839019</v>
      </c>
      <c r="L88" s="57">
        <f>'RIN, Cont workings'!AR39*L1</f>
        <v>9139.6023109485213</v>
      </c>
      <c r="M88" s="57">
        <f>'RIN, Cont workings'!AV39*M1</f>
        <v>9507.827629539559</v>
      </c>
      <c r="N88" s="57">
        <f>'RIN, Cont workings'!BG39</f>
        <v>11176</v>
      </c>
      <c r="O88" s="57">
        <f>'RIN, Cont workings'!BF21</f>
        <v>11176</v>
      </c>
      <c r="P88" s="57">
        <f>'RIN, Cont workings'!BI21</f>
        <v>16694.268179999999</v>
      </c>
    </row>
    <row r="89" spans="1:16">
      <c r="A89" t="s">
        <v>151</v>
      </c>
      <c r="B89" s="57">
        <f>SUM(B87:B88)</f>
        <v>-9892.0292709473724</v>
      </c>
      <c r="C89" s="57">
        <f>SUM(C87:C88)</f>
        <v>-7778.7782183408062</v>
      </c>
      <c r="D89" s="57">
        <f>SUM(D87:D88)</f>
        <v>-4632.0217182962397</v>
      </c>
      <c r="E89" s="57">
        <f t="shared" ref="E89:L89" si="19">SUM(E87:E88)</f>
        <v>-6665.8328753488377</v>
      </c>
      <c r="F89" s="57">
        <f t="shared" si="19"/>
        <v>-2018.6983282078227</v>
      </c>
      <c r="G89" s="57">
        <f t="shared" si="19"/>
        <v>-2972.278721761485</v>
      </c>
      <c r="H89" s="57">
        <f t="shared" si="19"/>
        <v>-6262.9224432623469</v>
      </c>
      <c r="I89" s="57">
        <f t="shared" si="19"/>
        <v>-5735.0382251061819</v>
      </c>
      <c r="J89" s="57">
        <f t="shared" si="19"/>
        <v>-1914.1939589877447</v>
      </c>
      <c r="K89" s="57">
        <f t="shared" si="19"/>
        <v>-3445.4552556513027</v>
      </c>
      <c r="L89" s="57">
        <f t="shared" si="19"/>
        <v>-909.44435884337508</v>
      </c>
      <c r="M89" s="57">
        <f t="shared" ref="M89:N89" si="20">SUM(M87:M88)</f>
        <v>-398.99463122567977</v>
      </c>
      <c r="N89" s="57">
        <f t="shared" si="20"/>
        <v>-2976.3179099999979</v>
      </c>
      <c r="O89" s="57">
        <f t="shared" ref="O89:P89" si="21">SUM(O87:O88)</f>
        <v>-1666.7999999999993</v>
      </c>
      <c r="P89" s="57">
        <f t="shared" si="21"/>
        <v>2665.4699599999985</v>
      </c>
    </row>
    <row r="91" spans="1:16" s="65" customFormat="1">
      <c r="A91" s="62" t="s">
        <v>152</v>
      </c>
      <c r="B91" s="106">
        <f t="shared" ref="B91:L91" si="22">SUM(B84:B86,B89)</f>
        <v>-99452.538178493938</v>
      </c>
      <c r="C91" s="106">
        <f t="shared" si="22"/>
        <v>-121749.2873509364</v>
      </c>
      <c r="D91" s="106">
        <f t="shared" si="22"/>
        <v>-87860.035257620882</v>
      </c>
      <c r="E91" s="106">
        <f t="shared" si="22"/>
        <v>-56922.566264426103</v>
      </c>
      <c r="F91" s="106">
        <f t="shared" si="22"/>
        <v>-46299.857388579461</v>
      </c>
      <c r="G91" s="106">
        <f t="shared" si="22"/>
        <v>-55311.932619654835</v>
      </c>
      <c r="H91" s="106">
        <f t="shared" si="22"/>
        <v>-38882.640724725024</v>
      </c>
      <c r="I91" s="106">
        <f t="shared" si="22"/>
        <v>-35011.581274254379</v>
      </c>
      <c r="J91" s="106">
        <f t="shared" si="22"/>
        <v>-29192.692644600553</v>
      </c>
      <c r="K91" s="106">
        <f t="shared" si="22"/>
        <v>-30425.712380948564</v>
      </c>
      <c r="L91" s="106">
        <f t="shared" si="22"/>
        <v>-39816.222005500545</v>
      </c>
      <c r="M91" s="106">
        <f t="shared" ref="M91:N91" si="23">SUM(M84:M86,M89)</f>
        <v>-35689.513343488972</v>
      </c>
      <c r="N91" s="106">
        <f t="shared" si="23"/>
        <v>-45642.71142</v>
      </c>
      <c r="O91" s="106">
        <f t="shared" ref="O91:P91" si="24">SUM(O84:O86,O89)</f>
        <v>-46799.7</v>
      </c>
      <c r="P91" s="106">
        <f t="shared" si="24"/>
        <v>-45334.427380000008</v>
      </c>
    </row>
    <row r="129" spans="1:16" s="70" customFormat="1">
      <c r="A129" s="86" t="s">
        <v>302</v>
      </c>
      <c r="B129" s="86"/>
      <c r="C129" s="86"/>
    </row>
    <row r="133" spans="1:16">
      <c r="B133" s="87" t="s">
        <v>122</v>
      </c>
      <c r="C133" s="87" t="s">
        <v>123</v>
      </c>
      <c r="D133" s="87" t="s">
        <v>124</v>
      </c>
      <c r="E133" s="88" t="s">
        <v>125</v>
      </c>
      <c r="F133" s="88" t="s">
        <v>126</v>
      </c>
      <c r="G133" s="88" t="s">
        <v>127</v>
      </c>
      <c r="H133" s="88" t="s">
        <v>128</v>
      </c>
      <c r="I133" s="88" t="s">
        <v>129</v>
      </c>
      <c r="J133" s="88" t="s">
        <v>130</v>
      </c>
      <c r="K133" s="88" t="s">
        <v>131</v>
      </c>
      <c r="L133" s="88" t="s">
        <v>132</v>
      </c>
      <c r="M133" s="88" t="s">
        <v>133</v>
      </c>
      <c r="N133" s="88" t="s">
        <v>134</v>
      </c>
      <c r="O133" s="88" t="s">
        <v>135</v>
      </c>
      <c r="P133" s="88" t="s">
        <v>180</v>
      </c>
    </row>
    <row r="134" spans="1:16">
      <c r="A134" s="59" t="s">
        <v>157</v>
      </c>
      <c r="B134" s="59"/>
      <c r="C134" s="59"/>
    </row>
    <row r="135" spans="1:16">
      <c r="A135" t="s">
        <v>136</v>
      </c>
      <c r="B135" s="71">
        <f>B5+B72</f>
        <v>12066.501356192577</v>
      </c>
      <c r="C135" s="71">
        <f>C5+C72</f>
        <v>13425.102564003048</v>
      </c>
      <c r="D135" s="71">
        <f>D5+D72</f>
        <v>10932.075164001646</v>
      </c>
      <c r="E135" s="71">
        <f t="shared" ref="D135:K138" si="25">E5+E72</f>
        <v>10800.174661016872</v>
      </c>
      <c r="F135" s="71">
        <f t="shared" si="25"/>
        <v>12242.883550089777</v>
      </c>
      <c r="G135" s="71">
        <f t="shared" si="25"/>
        <v>14184.068231314537</v>
      </c>
      <c r="H135" s="71">
        <f t="shared" si="25"/>
        <v>13534.824629387582</v>
      </c>
      <c r="I135" s="71">
        <f t="shared" si="25"/>
        <v>15167.744482885775</v>
      </c>
      <c r="J135" s="71">
        <f t="shared" si="25"/>
        <v>15240.057698326804</v>
      </c>
      <c r="K135" s="71">
        <f t="shared" si="25"/>
        <v>16489.984959760211</v>
      </c>
      <c r="L135" s="71">
        <f t="shared" ref="L135:N135" si="26">L5+L72</f>
        <v>16227.713443036402</v>
      </c>
      <c r="M135" s="71">
        <f t="shared" si="26"/>
        <v>14869.419881996761</v>
      </c>
      <c r="N135" s="71">
        <f t="shared" si="26"/>
        <v>14054.394043885279</v>
      </c>
      <c r="O135" s="71">
        <f t="shared" ref="O135:P135" si="27">O5+O72</f>
        <v>15266.644219445985</v>
      </c>
      <c r="P135" s="71">
        <f t="shared" si="27"/>
        <v>17243.725441763207</v>
      </c>
    </row>
    <row r="136" spans="1:16">
      <c r="A136" t="s">
        <v>137</v>
      </c>
      <c r="B136" s="71">
        <f t="shared" ref="B136" si="28">B6+B73</f>
        <v>6619.0728199934892</v>
      </c>
      <c r="C136" s="71">
        <f t="shared" ref="C136" si="29">C6+C73</f>
        <v>8886.4428442823337</v>
      </c>
      <c r="D136" s="71">
        <f t="shared" si="25"/>
        <v>6380.1109601301723</v>
      </c>
      <c r="E136" s="71">
        <f t="shared" si="25"/>
        <v>11464.853799414868</v>
      </c>
      <c r="F136" s="71">
        <f t="shared" si="25"/>
        <v>16173.382699052065</v>
      </c>
      <c r="G136" s="71">
        <f t="shared" si="25"/>
        <v>9311.8886560937317</v>
      </c>
      <c r="H136" s="71">
        <f t="shared" si="25"/>
        <v>12363.756174787641</v>
      </c>
      <c r="I136" s="71">
        <f t="shared" si="25"/>
        <v>12199.024470044824</v>
      </c>
      <c r="J136" s="71">
        <f t="shared" si="25"/>
        <v>14075.140226891383</v>
      </c>
      <c r="K136" s="71">
        <f t="shared" si="25"/>
        <v>21866.833625713596</v>
      </c>
      <c r="L136" s="71">
        <f t="shared" ref="L136:N136" si="30">L6+L73</f>
        <v>20636.196027174119</v>
      </c>
      <c r="M136" s="71">
        <f t="shared" si="30"/>
        <v>16798.564919509041</v>
      </c>
      <c r="N136" s="71">
        <f t="shared" si="30"/>
        <v>8209.2263495019924</v>
      </c>
      <c r="O136" s="71">
        <f t="shared" ref="O136:P136" si="31">O6+O73</f>
        <v>11730.117949349986</v>
      </c>
      <c r="P136" s="71">
        <f t="shared" si="31"/>
        <v>10401.569098132863</v>
      </c>
    </row>
    <row r="137" spans="1:16">
      <c r="A137" t="s">
        <v>138</v>
      </c>
      <c r="B137" s="71">
        <f t="shared" ref="B137" si="32">B7+B74</f>
        <v>3651.2149068209474</v>
      </c>
      <c r="C137" s="71">
        <f t="shared" ref="C137" si="33">C7+C74</f>
        <v>-13305.136414804132</v>
      </c>
      <c r="D137" s="71">
        <f t="shared" si="25"/>
        <v>-6071.3903454429019</v>
      </c>
      <c r="E137" s="71">
        <f t="shared" si="25"/>
        <v>10296.014641762333</v>
      </c>
      <c r="F137" s="71">
        <f t="shared" si="25"/>
        <v>11309.447759277806</v>
      </c>
      <c r="G137" s="71">
        <f t="shared" si="25"/>
        <v>7706.8637071810881</v>
      </c>
      <c r="H137" s="71">
        <f t="shared" si="25"/>
        <v>10445.119852766888</v>
      </c>
      <c r="I137" s="71">
        <f t="shared" si="25"/>
        <v>4448.134555020908</v>
      </c>
      <c r="J137" s="71">
        <f t="shared" si="25"/>
        <v>5301.9636746833385</v>
      </c>
      <c r="K137" s="71">
        <f t="shared" si="25"/>
        <v>5989.0634922472527</v>
      </c>
      <c r="L137" s="71">
        <f t="shared" ref="L137:N137" si="34">L7+L74</f>
        <v>7134.6792238979615</v>
      </c>
      <c r="M137" s="71">
        <f t="shared" si="34"/>
        <v>5191.2860886165508</v>
      </c>
      <c r="N137" s="71">
        <f t="shared" si="34"/>
        <v>4674.2934916641352</v>
      </c>
      <c r="O137" s="71">
        <f t="shared" ref="O137:P137" si="35">O7+O74</f>
        <v>1327.2444315280663</v>
      </c>
      <c r="P137" s="71">
        <f t="shared" si="35"/>
        <v>4474.3430109499641</v>
      </c>
    </row>
    <row r="138" spans="1:16">
      <c r="A138" t="s">
        <v>139</v>
      </c>
      <c r="B138" s="71">
        <f t="shared" ref="B138" si="36">B8+B75</f>
        <v>749.97257945885212</v>
      </c>
      <c r="C138" s="71">
        <f t="shared" ref="C138" si="37">C8+C75</f>
        <v>-1065.767621468106</v>
      </c>
      <c r="D138" s="71">
        <f t="shared" si="25"/>
        <v>2532.6456183548921</v>
      </c>
      <c r="E138" s="71">
        <f t="shared" si="25"/>
        <v>-750.31085407949104</v>
      </c>
      <c r="F138" s="71">
        <f t="shared" si="25"/>
        <v>4281.4290992844963</v>
      </c>
      <c r="G138" s="71">
        <f t="shared" si="25"/>
        <v>2708.6779948384415</v>
      </c>
      <c r="H138" s="71">
        <f t="shared" si="25"/>
        <v>462.84759663387194</v>
      </c>
      <c r="I138" s="71">
        <f t="shared" si="25"/>
        <v>2177.2535255167845</v>
      </c>
      <c r="J138" s="71">
        <f t="shared" si="25"/>
        <v>4953.3149622878755</v>
      </c>
      <c r="K138" s="71">
        <f t="shared" si="25"/>
        <v>4048.7489997125231</v>
      </c>
      <c r="L138" s="71">
        <f t="shared" ref="L138:N138" si="38">L8+L75</f>
        <v>5749.013880084739</v>
      </c>
      <c r="M138" s="71">
        <f t="shared" si="38"/>
        <v>5820.5140699073127</v>
      </c>
      <c r="N138" s="71">
        <f t="shared" si="38"/>
        <v>5278.5461544311293</v>
      </c>
      <c r="O138" s="71">
        <f t="shared" ref="O138:P138" si="39">O8+O75</f>
        <v>7317.1747401230205</v>
      </c>
      <c r="P138" s="71">
        <f t="shared" si="39"/>
        <v>13964.342848496475</v>
      </c>
    </row>
    <row r="140" spans="1:16" s="65" customFormat="1">
      <c r="A140" s="62" t="s">
        <v>154</v>
      </c>
      <c r="B140" s="85">
        <f>SUM(B135:B138)</f>
        <v>23086.761662465866</v>
      </c>
      <c r="C140" s="85">
        <f>SUM(C135:C138)</f>
        <v>7940.641372013145</v>
      </c>
      <c r="D140" s="85">
        <f>SUM(D135:D138)</f>
        <v>13773.441397043809</v>
      </c>
      <c r="E140" s="85">
        <f t="shared" ref="E140:K140" si="40">SUM(E135:E138)</f>
        <v>31810.732248114582</v>
      </c>
      <c r="F140" s="85">
        <f t="shared" si="40"/>
        <v>44007.143107704142</v>
      </c>
      <c r="G140" s="85">
        <f t="shared" si="40"/>
        <v>33911.4985894278</v>
      </c>
      <c r="H140" s="85">
        <f t="shared" si="40"/>
        <v>36806.548253575987</v>
      </c>
      <c r="I140" s="85">
        <f t="shared" si="40"/>
        <v>33992.157033468291</v>
      </c>
      <c r="J140" s="85">
        <f t="shared" si="40"/>
        <v>39570.476562189397</v>
      </c>
      <c r="K140" s="85">
        <f t="shared" si="40"/>
        <v>48394.631077433587</v>
      </c>
      <c r="L140" s="85">
        <f>SUM(L135:L138)</f>
        <v>49747.602574193224</v>
      </c>
      <c r="M140" s="85">
        <f t="shared" ref="M140:N140" si="41">SUM(M135:M138)</f>
        <v>42679.784960029661</v>
      </c>
      <c r="N140" s="85">
        <f t="shared" si="41"/>
        <v>32216.460039482536</v>
      </c>
      <c r="O140" s="85">
        <f t="shared" ref="O140:P140" si="42">SUM(O135:O138)</f>
        <v>35641.181340447059</v>
      </c>
      <c r="P140" s="85">
        <f t="shared" si="42"/>
        <v>46083.980399342508</v>
      </c>
    </row>
    <row r="144" spans="1:16">
      <c r="A144" s="118" t="s">
        <v>146</v>
      </c>
      <c r="B144" s="118"/>
      <c r="C144" s="118"/>
    </row>
    <row r="145" spans="1:16">
      <c r="A145" t="s">
        <v>147</v>
      </c>
      <c r="B145" s="71">
        <f t="shared" ref="B145:D147" si="43">B26+B84</f>
        <v>14691.781187991837</v>
      </c>
      <c r="C145" s="71">
        <f t="shared" si="43"/>
        <v>17683.16887654785</v>
      </c>
      <c r="D145" s="71">
        <f t="shared" si="43"/>
        <v>14351.008835738972</v>
      </c>
      <c r="E145" s="71">
        <f t="shared" ref="E145:K145" si="44">E26+E84</f>
        <v>14047.263245016897</v>
      </c>
      <c r="F145" s="71">
        <f t="shared" si="44"/>
        <v>15050.002605843234</v>
      </c>
      <c r="G145" s="71">
        <f t="shared" si="44"/>
        <v>11621.305325944959</v>
      </c>
      <c r="H145" s="71">
        <f t="shared" si="44"/>
        <v>10695.266003112567</v>
      </c>
      <c r="I145" s="71">
        <f t="shared" si="44"/>
        <v>17886.462921980608</v>
      </c>
      <c r="J145" s="71">
        <f t="shared" si="44"/>
        <v>17906.754304541533</v>
      </c>
      <c r="K145" s="71">
        <f t="shared" si="44"/>
        <v>18654.627216633264</v>
      </c>
      <c r="L145" s="71">
        <f t="shared" ref="L145:N145" si="45">L26+L84</f>
        <v>15577.622202269442</v>
      </c>
      <c r="M145" s="71">
        <f t="shared" si="45"/>
        <v>14315.993347003889</v>
      </c>
      <c r="N145" s="71">
        <f t="shared" si="45"/>
        <v>9221.3764600000031</v>
      </c>
      <c r="O145" s="71">
        <f t="shared" ref="O145:P145" si="46">O26+O84</f>
        <v>17322.671853360484</v>
      </c>
      <c r="P145" s="71">
        <f t="shared" si="46"/>
        <v>19554.542371978237</v>
      </c>
    </row>
    <row r="146" spans="1:16">
      <c r="A146" t="s">
        <v>149</v>
      </c>
      <c r="B146" s="71">
        <f t="shared" si="43"/>
        <v>-7680.2876031012165</v>
      </c>
      <c r="C146" s="71">
        <f t="shared" si="43"/>
        <v>4661.1153321129023</v>
      </c>
      <c r="D146" s="71">
        <f t="shared" si="43"/>
        <v>6279.814410330011</v>
      </c>
      <c r="E146" s="71">
        <f t="shared" ref="E146:L147" si="47">E27+E85</f>
        <v>11524.707255446356</v>
      </c>
      <c r="F146" s="71">
        <f t="shared" si="47"/>
        <v>11630.33334294132</v>
      </c>
      <c r="G146" s="71">
        <f t="shared" si="47"/>
        <v>10009.861534913118</v>
      </c>
      <c r="H146" s="71">
        <f t="shared" si="47"/>
        <v>18331.728881710744</v>
      </c>
      <c r="I146" s="71">
        <f t="shared" si="47"/>
        <v>17431.200057139889</v>
      </c>
      <c r="J146" s="71">
        <f t="shared" si="47"/>
        <v>20436.714574098958</v>
      </c>
      <c r="K146" s="71">
        <f t="shared" si="47"/>
        <v>22635.059883607213</v>
      </c>
      <c r="L146" s="71">
        <f t="shared" si="47"/>
        <v>24204.939510460023</v>
      </c>
      <c r="M146" s="71">
        <f t="shared" ref="M146:N146" si="48">M27+M85</f>
        <v>18913.417787101163</v>
      </c>
      <c r="N146" s="71">
        <f t="shared" si="48"/>
        <v>16997.008419999998</v>
      </c>
      <c r="O146" s="71">
        <f t="shared" ref="O146:P146" si="49">O27+O85</f>
        <v>13204.359327902243</v>
      </c>
      <c r="P146" s="71">
        <f t="shared" si="49"/>
        <v>11714.704187127039</v>
      </c>
    </row>
    <row r="147" spans="1:16">
      <c r="A147" t="s">
        <v>150</v>
      </c>
      <c r="B147" s="71">
        <f t="shared" si="43"/>
        <v>34390.816369627537</v>
      </c>
      <c r="C147" s="71">
        <f t="shared" si="43"/>
        <v>15927.997419155901</v>
      </c>
      <c r="D147" s="71">
        <f t="shared" si="43"/>
        <v>2990.4660710974713</v>
      </c>
      <c r="E147" s="71">
        <f t="shared" si="47"/>
        <v>20657.607650300066</v>
      </c>
      <c r="F147" s="71">
        <f t="shared" si="47"/>
        <v>19089.145488132031</v>
      </c>
      <c r="G147" s="71">
        <f t="shared" si="47"/>
        <v>13896.8745334706</v>
      </c>
      <c r="H147" s="71">
        <f t="shared" si="47"/>
        <v>17360.395840861216</v>
      </c>
      <c r="I147" s="71">
        <f t="shared" si="47"/>
        <v>10874.884363081721</v>
      </c>
      <c r="J147" s="71">
        <f t="shared" si="47"/>
        <v>7488.9424538810708</v>
      </c>
      <c r="K147" s="71">
        <f t="shared" si="47"/>
        <v>5147.0825376152352</v>
      </c>
      <c r="L147" s="71">
        <f t="shared" si="47"/>
        <v>7184.385787820378</v>
      </c>
      <c r="M147" s="71">
        <f t="shared" ref="M147:N147" si="50">M28+M86</f>
        <v>4253.9067509079141</v>
      </c>
      <c r="N147" s="71">
        <f t="shared" si="50"/>
        <v>4616.7674499999994</v>
      </c>
      <c r="O147" s="71">
        <f t="shared" ref="O147:P147" si="51">O28+O86</f>
        <v>32.966598778002663</v>
      </c>
      <c r="P147" s="71">
        <f t="shared" si="51"/>
        <v>3580.4274229376679</v>
      </c>
    </row>
    <row r="148" spans="1:16">
      <c r="A148" t="s">
        <v>151</v>
      </c>
      <c r="B148" s="71">
        <f>B29+B89</f>
        <v>1554.3296820890664</v>
      </c>
      <c r="C148" s="71">
        <f>C29+C89</f>
        <v>-359.05760583750907</v>
      </c>
      <c r="D148" s="71">
        <f>D29+D89</f>
        <v>1631.3650721872609</v>
      </c>
      <c r="E148" s="71">
        <f t="shared" ref="E148:K148" si="52">E29+E89</f>
        <v>-1560.8148993548393</v>
      </c>
      <c r="F148" s="71">
        <f t="shared" si="52"/>
        <v>4013.9179659242063</v>
      </c>
      <c r="G148" s="71">
        <f t="shared" si="52"/>
        <v>2020.6062675267794</v>
      </c>
      <c r="H148" s="71">
        <f t="shared" si="52"/>
        <v>114.46867890006797</v>
      </c>
      <c r="I148" s="71">
        <f t="shared" si="52"/>
        <v>1438.4168416066532</v>
      </c>
      <c r="J148" s="71">
        <f t="shared" si="52"/>
        <v>4309.272797253745</v>
      </c>
      <c r="K148" s="71">
        <f t="shared" si="52"/>
        <v>3079.0062239746158</v>
      </c>
      <c r="L148" s="71">
        <f t="shared" ref="L148:N148" si="53">L29+L89</f>
        <v>5674.737109064622</v>
      </c>
      <c r="M148" s="71">
        <f t="shared" si="53"/>
        <v>4394.1494401102473</v>
      </c>
      <c r="N148" s="71">
        <f t="shared" si="53"/>
        <v>3999.6820900000021</v>
      </c>
      <c r="O148" s="71">
        <f t="shared" ref="O148" si="54">O29+O89</f>
        <v>6208.7632790224043</v>
      </c>
      <c r="P148" s="71">
        <f>P29+P89</f>
        <v>13003.565763006547</v>
      </c>
    </row>
    <row r="150" spans="1:16" s="65" customFormat="1">
      <c r="A150" s="62" t="s">
        <v>152</v>
      </c>
      <c r="B150" s="85">
        <f>SUM(B145:B148)</f>
        <v>42956.639636607229</v>
      </c>
      <c r="C150" s="85">
        <f>SUM(C145:C148)</f>
        <v>37913.224021979149</v>
      </c>
      <c r="D150" s="85">
        <f>SUM(D145:D148)</f>
        <v>25252.654389353716</v>
      </c>
      <c r="E150" s="85">
        <f t="shared" ref="E150:K150" si="55">SUM(E145:E148)</f>
        <v>44668.763251408483</v>
      </c>
      <c r="F150" s="85">
        <f t="shared" si="55"/>
        <v>49783.399402840791</v>
      </c>
      <c r="G150" s="85">
        <f t="shared" si="55"/>
        <v>37548.647661855459</v>
      </c>
      <c r="H150" s="85">
        <f t="shared" si="55"/>
        <v>46501.859404584597</v>
      </c>
      <c r="I150" s="85">
        <f t="shared" si="55"/>
        <v>47630.964183808872</v>
      </c>
      <c r="J150" s="85">
        <f t="shared" si="55"/>
        <v>50141.684129775305</v>
      </c>
      <c r="K150" s="85">
        <f t="shared" si="55"/>
        <v>49515.775861830334</v>
      </c>
      <c r="L150" s="85">
        <f>SUM(L145:L148)</f>
        <v>52641.684609614465</v>
      </c>
      <c r="M150" s="85">
        <f t="shared" ref="M150:N150" si="56">SUM(M145:M148)</f>
        <v>41877.467325123209</v>
      </c>
      <c r="N150" s="85">
        <f t="shared" si="56"/>
        <v>34834.834419999999</v>
      </c>
      <c r="O150" s="85">
        <f t="shared" ref="O150:P150" si="57">SUM(O145:O148)</f>
        <v>36768.76105906313</v>
      </c>
      <c r="P150" s="85">
        <f t="shared" si="57"/>
        <v>47853.23974504949</v>
      </c>
    </row>
  </sheetData>
  <phoneticPr fontId="3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FDFC8-0C44-40B3-9B65-D34D6B0751A7}">
  <sheetPr>
    <tabColor theme="5" tint="0.79998168889431442"/>
  </sheetPr>
  <dimension ref="A1:T39"/>
  <sheetViews>
    <sheetView showGridLines="0" workbookViewId="0">
      <pane xSplit="2" ySplit="1" topLeftCell="C2" activePane="bottomRight" state="frozenSplit"/>
      <selection pane="topRight" activeCell="I1" sqref="I1"/>
      <selection pane="bottomLeft" activeCell="A20" sqref="A20"/>
      <selection pane="bottomRight"/>
    </sheetView>
  </sheetViews>
  <sheetFormatPr defaultRowHeight="15"/>
  <cols>
    <col min="1" max="1" width="24.7109375" bestFit="1" customWidth="1"/>
    <col min="2" max="2" width="43.85546875" customWidth="1"/>
    <col min="3" max="3" width="14.42578125" customWidth="1"/>
    <col min="4" max="7" width="8.5703125" bestFit="1" customWidth="1"/>
    <col min="8" max="14" width="7.85546875" bestFit="1" customWidth="1"/>
    <col min="15" max="16" width="7.85546875" customWidth="1"/>
    <col min="17" max="17" width="10.85546875" customWidth="1"/>
  </cols>
  <sheetData>
    <row r="1" spans="1:19">
      <c r="A1" s="6"/>
      <c r="B1" s="6"/>
      <c r="C1" s="6"/>
      <c r="D1" s="52" t="s">
        <v>44</v>
      </c>
      <c r="E1" s="52" t="s">
        <v>45</v>
      </c>
      <c r="F1" s="52" t="s">
        <v>46</v>
      </c>
      <c r="G1" s="52" t="s">
        <v>47</v>
      </c>
      <c r="H1" s="52" t="s">
        <v>48</v>
      </c>
      <c r="I1" s="52" t="s">
        <v>49</v>
      </c>
      <c r="J1" s="52" t="s">
        <v>50</v>
      </c>
      <c r="K1" s="52" t="s">
        <v>51</v>
      </c>
      <c r="L1" s="52" t="s">
        <v>52</v>
      </c>
      <c r="M1" s="52" t="s">
        <v>53</v>
      </c>
      <c r="N1" s="52" t="s">
        <v>54</v>
      </c>
      <c r="O1" s="52" t="s">
        <v>55</v>
      </c>
      <c r="P1" s="322" t="s">
        <v>56</v>
      </c>
      <c r="Q1" s="322" t="s">
        <v>158</v>
      </c>
      <c r="R1" s="365" t="s">
        <v>293</v>
      </c>
    </row>
    <row r="2" spans="1:19">
      <c r="A2" s="51" t="s">
        <v>64</v>
      </c>
      <c r="B2" s="51"/>
      <c r="C2" s="51"/>
      <c r="D2" s="51"/>
      <c r="E2" s="51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9">
      <c r="A3" s="51" t="s">
        <v>66</v>
      </c>
      <c r="B3" s="51"/>
      <c r="C3" s="51"/>
      <c r="D3" s="51"/>
      <c r="E3" s="51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>
      <c r="A4" s="51"/>
      <c r="B4" s="51" t="s">
        <v>36</v>
      </c>
      <c r="C4" s="51"/>
      <c r="D4" s="120">
        <f>'SAP IM, Historical'!F7</f>
        <v>21611.230000000003</v>
      </c>
      <c r="E4" s="54">
        <f>'SAP IM, Historical'!I7</f>
        <v>24238.469999999998</v>
      </c>
      <c r="F4" s="54">
        <f>SUM('SAP IM, Historical'!J7:K7)</f>
        <v>27099.365999999998</v>
      </c>
      <c r="G4" s="54">
        <f>SUM('SAP IM, Historical'!M7:N7)</f>
        <v>32699.57</v>
      </c>
      <c r="H4" s="54">
        <f>SUM('SAP IM, Historical'!P7:Q7)</f>
        <v>26817.867449999991</v>
      </c>
      <c r="I4" s="54">
        <f>SUM('SAP IM, Historical'!S7:T7)</f>
        <v>22853.485000000001</v>
      </c>
      <c r="J4" s="54">
        <f>SUM('SAP IM, Historical'!V7:W7)</f>
        <v>19025.037</v>
      </c>
      <c r="K4" s="54">
        <f>SUM('SAP IM, Historical'!Y7:Z7)</f>
        <v>20996.048999999999</v>
      </c>
      <c r="L4" s="54">
        <f>SUM('SAP IM, Historical'!AB7:AC7)</f>
        <v>21653.224999999999</v>
      </c>
      <c r="M4" s="54">
        <f>SUM('SAP IM, Historical'!AE7:AF7)</f>
        <v>21687.013999999999</v>
      </c>
      <c r="N4" s="54">
        <f>SUM('SAP IM, Historical'!AH7:AI7)</f>
        <v>18563.21</v>
      </c>
      <c r="O4" s="54">
        <f>SUM('SAP IM, Historical'!AK7:AL7)</f>
        <v>17401.868999999999</v>
      </c>
      <c r="P4" s="54">
        <f>SUM('SAP IM, Historical'!AN7:AO7)</f>
        <v>15381.403000000002</v>
      </c>
      <c r="Q4" s="54">
        <f>SUM('SAP IM, Historical'!AQ7:AR7)</f>
        <v>23932.799999999999</v>
      </c>
      <c r="R4" s="366">
        <v>28296.156419999999</v>
      </c>
    </row>
    <row r="5" spans="1:19">
      <c r="A5" s="51"/>
      <c r="B5" s="51" t="s">
        <v>37</v>
      </c>
      <c r="C5" s="51"/>
      <c r="D5" s="120">
        <f>'SAP IM, Historical'!F8</f>
        <v>22420.845999999998</v>
      </c>
      <c r="E5" s="54">
        <f>'SAP IM, Historical'!I8</f>
        <v>30380.792000000001</v>
      </c>
      <c r="F5" s="54">
        <f>SUM('SAP IM, Historical'!J8:K8)</f>
        <v>28039.21</v>
      </c>
      <c r="G5" s="54">
        <f>SUM('SAP IM, Historical'!M8:N8)</f>
        <v>24652.492999999995</v>
      </c>
      <c r="H5" s="54">
        <f>SUM('SAP IM, Historical'!P8:Q8)</f>
        <v>20980.667999999998</v>
      </c>
      <c r="I5" s="54">
        <f>SUM('SAP IM, Historical'!S8:T8)</f>
        <v>24432.066999999999</v>
      </c>
      <c r="J5" s="54">
        <f>SUM('SAP IM, Historical'!V8:W8)</f>
        <v>29025.360000000001</v>
      </c>
      <c r="K5" s="54">
        <f>SUM('SAP IM, Historical'!Y8:Z8)</f>
        <v>27122.627999999997</v>
      </c>
      <c r="L5" s="54">
        <f>SUM('SAP IM, Historical'!AB8:AC8)</f>
        <v>27129.308000000001</v>
      </c>
      <c r="M5" s="54">
        <f>SUM('SAP IM, Historical'!AE8:AF8)</f>
        <v>28383.201999999997</v>
      </c>
      <c r="N5" s="54">
        <f>SUM('SAP IM, Historical'!AH8:AI8)</f>
        <v>30614.014999999999</v>
      </c>
      <c r="O5" s="54">
        <f>SUM('SAP IM, Historical'!AK8:AL8)</f>
        <v>23869.73</v>
      </c>
      <c r="P5" s="54">
        <f>SUM('SAP IM, Historical'!AN8:AO8)</f>
        <v>25271.14284</v>
      </c>
      <c r="Q5" s="54">
        <f>SUM('SAP IM, Historical'!AQ8:AR8)</f>
        <v>22932.300000000003</v>
      </c>
      <c r="R5" s="366">
        <v>22826.111430000001</v>
      </c>
    </row>
    <row r="6" spans="1:19">
      <c r="A6" s="51"/>
      <c r="B6" s="51" t="s">
        <v>38</v>
      </c>
      <c r="C6" s="51"/>
      <c r="D6" s="120">
        <f>'SAP IM, Historical'!F9</f>
        <v>66332.861000000004</v>
      </c>
      <c r="E6" s="54">
        <f>'SAP IM, Historical'!I9</f>
        <v>75520.989999999991</v>
      </c>
      <c r="F6" s="54">
        <f>SUM('SAP IM, Historical'!J9:K9)</f>
        <v>46246.082999999999</v>
      </c>
      <c r="G6" s="54">
        <f>SUM('SAP IM, Historical'!M9:N9)</f>
        <v>43338.782999999996</v>
      </c>
      <c r="H6" s="54">
        <f>SUM('SAP IM, Historical'!P9:Q9)</f>
        <v>42520.566999999995</v>
      </c>
      <c r="I6" s="54">
        <f>SUM('SAP IM, Historical'!S9:T9)</f>
        <v>41493.623999999996</v>
      </c>
      <c r="J6" s="54">
        <f>SUM('SAP IM, Historical'!V9:W9)</f>
        <v>30599.911999999997</v>
      </c>
      <c r="K6" s="54">
        <f>SUM('SAP IM, Historical'!Y9:Z9)</f>
        <v>21426.547330000001</v>
      </c>
      <c r="L6" s="54">
        <f>SUM('SAP IM, Historical'!AB9:AC9)</f>
        <v>19740.476900000001</v>
      </c>
      <c r="M6" s="54">
        <f>SUM('SAP IM, Historical'!AE9:AF9)</f>
        <v>20067.173320000002</v>
      </c>
      <c r="N6" s="54">
        <f>SUM('SAP IM, Historical'!AH9:AI9)</f>
        <v>34212.171999999999</v>
      </c>
      <c r="O6" s="54">
        <f>SUM('SAP IM, Historical'!AK9:AL9)</f>
        <v>30341.200000000001</v>
      </c>
      <c r="P6" s="54">
        <f>SUM('SAP IM, Historical'!AN9:AO9)</f>
        <v>32849</v>
      </c>
      <c r="Q6" s="54">
        <f>SUM('SAP IM, Historical'!AQ9:AR9)</f>
        <v>32193</v>
      </c>
      <c r="R6" s="366">
        <v>41494.423750000002</v>
      </c>
    </row>
    <row r="7" spans="1:19" s="56" customFormat="1">
      <c r="A7" s="53"/>
      <c r="B7" s="53" t="s">
        <v>159</v>
      </c>
      <c r="C7" s="53"/>
      <c r="D7" s="55">
        <f t="shared" ref="D7:N7" si="0">SUM(D4:D6)</f>
        <v>110364.93700000001</v>
      </c>
      <c r="E7" s="55">
        <f t="shared" si="0"/>
        <v>130140.25199999999</v>
      </c>
      <c r="F7" s="55">
        <f t="shared" si="0"/>
        <v>101384.659</v>
      </c>
      <c r="G7" s="55">
        <f t="shared" si="0"/>
        <v>100690.84599999999</v>
      </c>
      <c r="H7" s="55">
        <f t="shared" si="0"/>
        <v>90319.102449999977</v>
      </c>
      <c r="I7" s="55">
        <f t="shared" si="0"/>
        <v>88779.175999999992</v>
      </c>
      <c r="J7" s="55">
        <f t="shared" si="0"/>
        <v>78650.308999999994</v>
      </c>
      <c r="K7" s="55">
        <f t="shared" si="0"/>
        <v>69545.224329999997</v>
      </c>
      <c r="L7" s="55">
        <f t="shared" si="0"/>
        <v>68523.009900000005</v>
      </c>
      <c r="M7" s="55">
        <f t="shared" si="0"/>
        <v>70137.389320000002</v>
      </c>
      <c r="N7" s="55">
        <f t="shared" si="0"/>
        <v>83389.396999999997</v>
      </c>
      <c r="O7" s="55">
        <f t="shared" ref="O7:P7" si="1">SUM(O4:O6)</f>
        <v>71612.798999999999</v>
      </c>
      <c r="P7" s="55">
        <f t="shared" si="1"/>
        <v>73501.545840000006</v>
      </c>
      <c r="Q7" s="55">
        <f t="shared" ref="Q7" si="2">SUM(Q4:Q6)</f>
        <v>79058.100000000006</v>
      </c>
      <c r="R7" s="55">
        <f t="shared" ref="R7" si="3">SUM(R4:R6)</f>
        <v>92616.691600000006</v>
      </c>
    </row>
    <row r="8" spans="1:19">
      <c r="A8" s="51" t="s">
        <v>160</v>
      </c>
      <c r="B8" s="51"/>
      <c r="C8" s="51"/>
      <c r="D8" s="5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9">
      <c r="A9" s="51"/>
      <c r="B9" s="51" t="s">
        <v>160</v>
      </c>
      <c r="C9" s="51"/>
      <c r="D9" s="120">
        <f>'SAP IM, Historical'!F12</f>
        <v>9021.2210000000014</v>
      </c>
      <c r="E9" s="54">
        <f>'SAP IM, Historical'!I12</f>
        <v>5983.442</v>
      </c>
      <c r="F9" s="54">
        <f>SUM('SAP IM, Historical'!J12:K12)</f>
        <v>5208.1639999999998</v>
      </c>
      <c r="G9" s="54">
        <f>SUM('SAP IM, Historical'!M12:N12)</f>
        <v>4342.6859999999997</v>
      </c>
      <c r="H9" s="54">
        <f>SUM('SAP IM, Historical'!P12:Q12)</f>
        <v>5248.5429999999997</v>
      </c>
      <c r="I9" s="54">
        <f>SUM('SAP IM, Historical'!S12:T12)</f>
        <v>4461.84</v>
      </c>
      <c r="J9" s="54">
        <f>SUM('SAP IM, Historical'!V12:W12)</f>
        <v>5796.7649999999994</v>
      </c>
      <c r="K9" s="54">
        <f>SUM('SAP IM, Historical'!Y12:Z12)</f>
        <v>6610.382333333333</v>
      </c>
      <c r="L9" s="54">
        <f>SUM('SAP IM, Historical'!AB12:AC12)</f>
        <v>5832.9279999999999</v>
      </c>
      <c r="M9" s="54">
        <f>SUM('SAP IM, Historical'!AE12:AF12)</f>
        <v>6233.0050000000001</v>
      </c>
      <c r="N9" s="54">
        <f>SUM('SAP IM, Historical'!AH12:AI12)</f>
        <v>6393.7010000000009</v>
      </c>
      <c r="O9" s="54">
        <f>SUM('SAP IM, Historical'!AK12:AL12)</f>
        <v>4716.674</v>
      </c>
      <c r="P9" s="54">
        <f>SUM('SAP IM, Historical'!AN12:AO12)</f>
        <v>6976</v>
      </c>
      <c r="Q9" s="54">
        <f>SUM('SAP IM, Historical'!AO12:AP12)</f>
        <v>10606</v>
      </c>
      <c r="R9" s="366">
        <v>11556.85196</v>
      </c>
    </row>
    <row r="10" spans="1:19" s="56" customFormat="1">
      <c r="A10" s="53"/>
      <c r="B10" s="53" t="s">
        <v>161</v>
      </c>
      <c r="C10" s="53"/>
      <c r="D10" s="55">
        <f t="shared" ref="D10:N10" si="4">D9</f>
        <v>9021.2210000000014</v>
      </c>
      <c r="E10" s="55">
        <f t="shared" si="4"/>
        <v>5983.442</v>
      </c>
      <c r="F10" s="55">
        <f t="shared" si="4"/>
        <v>5208.1639999999998</v>
      </c>
      <c r="G10" s="55">
        <f t="shared" si="4"/>
        <v>4342.6859999999997</v>
      </c>
      <c r="H10" s="55">
        <f t="shared" si="4"/>
        <v>5248.5429999999997</v>
      </c>
      <c r="I10" s="55">
        <f t="shared" si="4"/>
        <v>4461.84</v>
      </c>
      <c r="J10" s="55">
        <f t="shared" si="4"/>
        <v>5796.7649999999994</v>
      </c>
      <c r="K10" s="55">
        <f t="shared" si="4"/>
        <v>6610.382333333333</v>
      </c>
      <c r="L10" s="55">
        <f t="shared" si="4"/>
        <v>5832.9279999999999</v>
      </c>
      <c r="M10" s="55">
        <f t="shared" si="4"/>
        <v>6233.0050000000001</v>
      </c>
      <c r="N10" s="55">
        <f t="shared" si="4"/>
        <v>6393.7010000000009</v>
      </c>
      <c r="O10" s="55">
        <f t="shared" ref="O10:P10" si="5">O9</f>
        <v>4716.674</v>
      </c>
      <c r="P10" s="55">
        <f t="shared" si="5"/>
        <v>6976</v>
      </c>
      <c r="Q10" s="55">
        <f t="shared" ref="Q10:R10" si="6">Q9</f>
        <v>10606</v>
      </c>
      <c r="R10" s="55">
        <f t="shared" si="6"/>
        <v>11556.85196</v>
      </c>
    </row>
    <row r="12" spans="1:19" s="65" customFormat="1">
      <c r="B12" s="63" t="s">
        <v>162</v>
      </c>
      <c r="C12" s="66"/>
      <c r="D12" s="67">
        <f t="shared" ref="D12:N12" si="7">SUM(D7,D10)</f>
        <v>119386.15800000001</v>
      </c>
      <c r="E12" s="67">
        <f t="shared" si="7"/>
        <v>136123.69399999999</v>
      </c>
      <c r="F12" s="67">
        <f t="shared" si="7"/>
        <v>106592.823</v>
      </c>
      <c r="G12" s="67">
        <f t="shared" si="7"/>
        <v>105033.53199999999</v>
      </c>
      <c r="H12" s="67">
        <f t="shared" si="7"/>
        <v>95567.645449999982</v>
      </c>
      <c r="I12" s="67">
        <f t="shared" si="7"/>
        <v>93241.015999999989</v>
      </c>
      <c r="J12" s="67">
        <f t="shared" si="7"/>
        <v>84447.073999999993</v>
      </c>
      <c r="K12" s="67">
        <f t="shared" si="7"/>
        <v>76155.606663333325</v>
      </c>
      <c r="L12" s="67">
        <f t="shared" si="7"/>
        <v>74355.937900000004</v>
      </c>
      <c r="M12" s="67">
        <f t="shared" si="7"/>
        <v>76370.394320000007</v>
      </c>
      <c r="N12" s="67">
        <f t="shared" si="7"/>
        <v>89783.097999999998</v>
      </c>
      <c r="O12" s="67">
        <f t="shared" ref="O12:P12" si="8">SUM(O7,O10)</f>
        <v>76329.472999999998</v>
      </c>
      <c r="P12" s="67">
        <f t="shared" si="8"/>
        <v>80477.545840000006</v>
      </c>
      <c r="Q12" s="67">
        <f t="shared" ref="Q12:R12" si="9">SUM(Q7,Q10)</f>
        <v>89664.1</v>
      </c>
      <c r="R12" s="67">
        <f t="shared" si="9"/>
        <v>104173.54356000001</v>
      </c>
    </row>
    <row r="13" spans="1:19">
      <c r="F13" s="58"/>
      <c r="G13" s="58"/>
      <c r="H13" s="58"/>
    </row>
    <row r="15" spans="1:19">
      <c r="A15" s="51" t="s">
        <v>163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 t="s">
        <v>164</v>
      </c>
      <c r="B16" s="6" t="s">
        <v>165</v>
      </c>
      <c r="C16" s="6"/>
      <c r="D16" s="58">
        <v>6819.3625000095171</v>
      </c>
      <c r="E16" s="58">
        <v>8389.7603540896635</v>
      </c>
      <c r="F16" s="58">
        <v>3769.8352515350002</v>
      </c>
      <c r="G16" s="58">
        <v>2487.9875866652546</v>
      </c>
      <c r="H16" s="58">
        <v>3691.4522587784604</v>
      </c>
      <c r="I16" s="58">
        <v>4232</v>
      </c>
      <c r="J16" s="58">
        <v>10346.011</v>
      </c>
      <c r="K16" s="58">
        <v>11187.774745819948</v>
      </c>
      <c r="L16" s="58">
        <v>9884.1165079372549</v>
      </c>
      <c r="M16" s="58">
        <v>8016.5183770556232</v>
      </c>
      <c r="N16" s="58">
        <v>13657.928813347884</v>
      </c>
      <c r="O16" s="58">
        <v>14738.772930921399</v>
      </c>
      <c r="P16" s="58">
        <v>12683.1719958427</v>
      </c>
      <c r="Q16" s="309">
        <v>14913</v>
      </c>
      <c r="R16" s="363">
        <v>17661.187357051662</v>
      </c>
      <c r="S16" s="6"/>
    </row>
    <row r="17" spans="1:19">
      <c r="A17" s="6"/>
      <c r="B17" s="6" t="s">
        <v>166</v>
      </c>
      <c r="C17" s="6"/>
      <c r="D17" s="58">
        <v>2671.0009024454785</v>
      </c>
      <c r="E17" s="58">
        <v>3788.3714632232213</v>
      </c>
      <c r="F17" s="58">
        <v>3784.1366340495078</v>
      </c>
      <c r="G17" s="58">
        <v>2963.9308512773223</v>
      </c>
      <c r="H17" s="58">
        <v>2213.8378604307859</v>
      </c>
      <c r="I17" s="58">
        <v>2369</v>
      </c>
      <c r="J17" s="58">
        <v>2376.2310000000002</v>
      </c>
      <c r="K17" s="58">
        <v>2347.2937647523777</v>
      </c>
      <c r="L17" s="58">
        <v>3299.994326788883</v>
      </c>
      <c r="M17" s="58">
        <v>6320.4600339891167</v>
      </c>
      <c r="N17" s="58">
        <v>3897.0605998304845</v>
      </c>
      <c r="O17" s="58">
        <v>3684.2058445754301</v>
      </c>
      <c r="P17" s="58">
        <v>3755.2611313054799</v>
      </c>
      <c r="Q17" s="309">
        <v>3593</v>
      </c>
      <c r="R17" s="363">
        <v>3916.3672676334936</v>
      </c>
      <c r="S17" s="6"/>
    </row>
    <row r="18" spans="1:19">
      <c r="A18" s="6"/>
      <c r="B18" s="6" t="s">
        <v>167</v>
      </c>
      <c r="C18" s="6"/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308"/>
      <c r="R18" s="363">
        <v>0</v>
      </c>
      <c r="S18" s="6"/>
    </row>
    <row r="19" spans="1:19" s="60" customFormat="1">
      <c r="A19" s="53"/>
      <c r="B19" s="53" t="s">
        <v>162</v>
      </c>
      <c r="C19" s="53"/>
      <c r="D19" s="61">
        <f>SUM(D16:D18)</f>
        <v>9490.3634024549956</v>
      </c>
      <c r="E19" s="61">
        <f>SUM(E16:E18)</f>
        <v>12178.131817312886</v>
      </c>
      <c r="F19" s="61">
        <f t="shared" ref="F19:N19" si="10">SUM(F16:F18)</f>
        <v>7553.9718855845076</v>
      </c>
      <c r="G19" s="61">
        <f t="shared" si="10"/>
        <v>5451.9184379425769</v>
      </c>
      <c r="H19" s="61">
        <f t="shared" si="10"/>
        <v>5905.2901192092468</v>
      </c>
      <c r="I19" s="61">
        <f t="shared" si="10"/>
        <v>6601</v>
      </c>
      <c r="J19" s="61">
        <f t="shared" si="10"/>
        <v>12722.242</v>
      </c>
      <c r="K19" s="61">
        <f t="shared" si="10"/>
        <v>13535.068510572326</v>
      </c>
      <c r="L19" s="61">
        <f t="shared" si="10"/>
        <v>13184.110834726138</v>
      </c>
      <c r="M19" s="61">
        <f t="shared" si="10"/>
        <v>14336.97841104474</v>
      </c>
      <c r="N19" s="61">
        <f t="shared" si="10"/>
        <v>17554.989413178369</v>
      </c>
      <c r="O19" s="61">
        <f t="shared" ref="O19:R19" si="11">SUM(O16:O18)</f>
        <v>18422.978775496827</v>
      </c>
      <c r="P19" s="61">
        <f t="shared" si="11"/>
        <v>16438.433127148179</v>
      </c>
      <c r="Q19" s="310">
        <f t="shared" si="11"/>
        <v>18506</v>
      </c>
      <c r="R19" s="61">
        <f t="shared" si="11"/>
        <v>21577.554624685155</v>
      </c>
      <c r="S19" s="53"/>
    </row>
    <row r="20" spans="1:19">
      <c r="A20" s="6" t="s">
        <v>168</v>
      </c>
      <c r="B20" s="6" t="s">
        <v>165</v>
      </c>
      <c r="C20" s="6"/>
      <c r="D20" s="58">
        <v>463.23186780016226</v>
      </c>
      <c r="E20" s="58">
        <v>463.61982206868447</v>
      </c>
      <c r="F20" s="58">
        <v>354.7584201190038</v>
      </c>
      <c r="G20" s="58">
        <v>220.89585451221251</v>
      </c>
      <c r="H20" s="58">
        <v>338.50164237772225</v>
      </c>
      <c r="I20" s="58">
        <v>545</v>
      </c>
      <c r="J20" s="58">
        <v>1072.971</v>
      </c>
      <c r="K20" s="58">
        <v>3891.3476935018721</v>
      </c>
      <c r="L20" s="58">
        <v>1307.6948489757881</v>
      </c>
      <c r="M20" s="58">
        <v>1284.4466626235069</v>
      </c>
      <c r="N20" s="58">
        <v>1052.7792656932052</v>
      </c>
      <c r="O20" s="58">
        <v>1570.09888795904</v>
      </c>
      <c r="P20" s="58">
        <v>767.26609218590397</v>
      </c>
      <c r="Q20" s="308">
        <v>1645</v>
      </c>
      <c r="R20" s="363">
        <v>3428.6184674446408</v>
      </c>
      <c r="S20" s="6"/>
    </row>
    <row r="21" spans="1:19">
      <c r="A21" s="6"/>
      <c r="B21" s="6" t="s">
        <v>169</v>
      </c>
      <c r="C21" s="6"/>
      <c r="D21" s="58">
        <v>25086.557487419854</v>
      </c>
      <c r="E21" s="58">
        <v>19788.401253615189</v>
      </c>
      <c r="F21" s="58">
        <v>20270.60471600842</v>
      </c>
      <c r="G21" s="58">
        <v>15385.604708599696</v>
      </c>
      <c r="H21" s="58">
        <v>17029.310814354743</v>
      </c>
      <c r="I21" s="58">
        <v>25996</v>
      </c>
      <c r="J21" s="58">
        <v>28671.577000000001</v>
      </c>
      <c r="K21" s="58">
        <v>21602.432103801941</v>
      </c>
      <c r="L21" s="58">
        <v>17391.929738684743</v>
      </c>
      <c r="M21" s="58">
        <v>18815.494371531109</v>
      </c>
      <c r="N21" s="58">
        <v>23685.716177883729</v>
      </c>
      <c r="O21" s="58">
        <v>18690.0947487497</v>
      </c>
      <c r="P21" s="58">
        <v>17338.380513773402</v>
      </c>
      <c r="Q21" s="308">
        <v>20510</v>
      </c>
      <c r="R21" s="363">
        <v>25227.578423261755</v>
      </c>
      <c r="S21" s="6"/>
    </row>
    <row r="22" spans="1:19">
      <c r="A22" s="6"/>
      <c r="B22" s="6" t="s">
        <v>170</v>
      </c>
      <c r="C22" s="6"/>
      <c r="D22" s="58">
        <v>11322.411114708802</v>
      </c>
      <c r="E22" s="58">
        <v>15788.866522007185</v>
      </c>
      <c r="F22" s="58">
        <v>13826.305132078058</v>
      </c>
      <c r="G22" s="58">
        <v>13625.472408107818</v>
      </c>
      <c r="H22" s="58">
        <v>14202.171242109802</v>
      </c>
      <c r="I22" s="58">
        <v>11560</v>
      </c>
      <c r="J22" s="58">
        <v>5864.4690000000001</v>
      </c>
      <c r="K22" s="58">
        <v>4348.3336924023433</v>
      </c>
      <c r="L22" s="58">
        <v>7927.2254254665977</v>
      </c>
      <c r="M22" s="58">
        <v>11353.899745126184</v>
      </c>
      <c r="N22" s="58">
        <v>14197.044199790531</v>
      </c>
      <c r="O22" s="58">
        <v>12144.1125400116</v>
      </c>
      <c r="P22" s="58">
        <v>22979.606458536498</v>
      </c>
      <c r="Q22" s="308">
        <v>11969</v>
      </c>
      <c r="R22" s="363">
        <v>16464.51640742207</v>
      </c>
      <c r="S22" s="6"/>
    </row>
    <row r="23" spans="1:19">
      <c r="A23" s="6"/>
      <c r="B23" s="6" t="s">
        <v>171</v>
      </c>
      <c r="C23" s="6"/>
      <c r="D23" s="58">
        <v>10706.96477866951</v>
      </c>
      <c r="E23" s="58">
        <v>6288.5321658231251</v>
      </c>
      <c r="F23" s="58">
        <v>4026.2532761602902</v>
      </c>
      <c r="G23" s="58">
        <v>8815.1218002398637</v>
      </c>
      <c r="H23" s="58">
        <v>9878.1813867957881</v>
      </c>
      <c r="I23" s="58">
        <v>2886</v>
      </c>
      <c r="J23" s="58">
        <v>2737.8159999999998</v>
      </c>
      <c r="K23" s="58">
        <v>2669.0881855366865</v>
      </c>
      <c r="L23" s="58">
        <v>902.93975058599335</v>
      </c>
      <c r="M23" s="58">
        <v>2404.0536817238458</v>
      </c>
      <c r="N23" s="58">
        <v>3912.5001122551171</v>
      </c>
      <c r="O23" s="58">
        <v>3410.34700599595</v>
      </c>
      <c r="P23" s="58">
        <v>3517.3733766895102</v>
      </c>
      <c r="Q23" s="308">
        <v>5909</v>
      </c>
      <c r="R23" s="363">
        <v>12354.754145130455</v>
      </c>
      <c r="S23" s="6"/>
    </row>
    <row r="24" spans="1:19">
      <c r="A24" s="6"/>
      <c r="B24" s="6" t="s">
        <v>172</v>
      </c>
      <c r="C24" s="6"/>
      <c r="D24" s="58">
        <v>16114.874947031516</v>
      </c>
      <c r="E24" s="58">
        <v>29196.557959631427</v>
      </c>
      <c r="F24" s="58">
        <v>5104.5755957175925</v>
      </c>
      <c r="G24" s="58">
        <v>3397.8470051739046</v>
      </c>
      <c r="H24" s="58">
        <v>6287.1260284952859</v>
      </c>
      <c r="I24" s="58">
        <v>11261</v>
      </c>
      <c r="J24" s="58">
        <v>3430.0630000000001</v>
      </c>
      <c r="K24" s="58">
        <v>691.85800575522342</v>
      </c>
      <c r="L24" s="58">
        <v>144.63499629575497</v>
      </c>
      <c r="M24" s="58">
        <v>175.33658560757948</v>
      </c>
      <c r="N24" s="58">
        <v>7926.5439597510667</v>
      </c>
      <c r="O24" s="58">
        <v>5879.0642081409596</v>
      </c>
      <c r="P24" s="58">
        <v>5.2873846582739102E-2</v>
      </c>
      <c r="Q24" s="308">
        <v>8312</v>
      </c>
      <c r="R24" s="363">
        <v>0.15979509964254551</v>
      </c>
      <c r="S24" s="6"/>
    </row>
    <row r="25" spans="1:19" s="60" customFormat="1">
      <c r="A25" s="53"/>
      <c r="B25" s="53" t="s">
        <v>162</v>
      </c>
      <c r="C25" s="53"/>
      <c r="D25" s="61">
        <f>SUM(D20:D24)</f>
        <v>63694.040195629837</v>
      </c>
      <c r="E25" s="61">
        <f>SUM(E20:E24)</f>
        <v>71525.977723145625</v>
      </c>
      <c r="F25" s="61">
        <f t="shared" ref="F25:N25" si="12">SUM(F20:F24)</f>
        <v>43582.497140083367</v>
      </c>
      <c r="G25" s="61">
        <f t="shared" si="12"/>
        <v>41444.941776633503</v>
      </c>
      <c r="H25" s="61">
        <f t="shared" si="12"/>
        <v>47735.291114133346</v>
      </c>
      <c r="I25" s="61">
        <f t="shared" si="12"/>
        <v>52248</v>
      </c>
      <c r="J25" s="61">
        <f t="shared" si="12"/>
        <v>41776.896000000001</v>
      </c>
      <c r="K25" s="61">
        <f t="shared" si="12"/>
        <v>33203.059680998063</v>
      </c>
      <c r="L25" s="61">
        <f t="shared" si="12"/>
        <v>27674.424760008875</v>
      </c>
      <c r="M25" s="61">
        <f t="shared" si="12"/>
        <v>34033.231046612222</v>
      </c>
      <c r="N25" s="61">
        <f t="shared" si="12"/>
        <v>50774.58371537365</v>
      </c>
      <c r="O25" s="61">
        <f t="shared" ref="O25:R25" si="13">SUM(O20:O24)</f>
        <v>41693.717390857251</v>
      </c>
      <c r="P25" s="61">
        <f t="shared" si="13"/>
        <v>44602.679315031892</v>
      </c>
      <c r="Q25" s="310">
        <f t="shared" si="13"/>
        <v>48345</v>
      </c>
      <c r="R25" s="61">
        <f t="shared" si="13"/>
        <v>57475.627238358567</v>
      </c>
      <c r="S25" s="53"/>
    </row>
    <row r="26" spans="1:19">
      <c r="A26" s="6" t="s">
        <v>173</v>
      </c>
      <c r="B26" s="6" t="s">
        <v>166</v>
      </c>
      <c r="C26" s="6"/>
      <c r="D26" s="58">
        <v>5314.6135671827205</v>
      </c>
      <c r="E26" s="58">
        <v>4438.2412654448317</v>
      </c>
      <c r="F26" s="58">
        <v>4509.9051299300199</v>
      </c>
      <c r="G26" s="58">
        <v>4545.1637995979245</v>
      </c>
      <c r="H26" s="58">
        <v>4295.6325355565914</v>
      </c>
      <c r="I26" s="58">
        <v>4224</v>
      </c>
      <c r="J26" s="58">
        <v>4111.32</v>
      </c>
      <c r="K26" s="58">
        <v>4507.1126916300609</v>
      </c>
      <c r="L26" s="58">
        <v>1935.6529355607699</v>
      </c>
      <c r="M26" s="58">
        <v>1477.8813502218686</v>
      </c>
      <c r="N26" s="58">
        <v>1861.9682050172862</v>
      </c>
      <c r="O26" s="58">
        <v>3006.5373441702</v>
      </c>
      <c r="P26" s="58">
        <v>1924.1519296485601</v>
      </c>
      <c r="Q26" s="308">
        <v>1868</v>
      </c>
      <c r="R26" s="363">
        <v>1362.1462529811463</v>
      </c>
      <c r="S26" s="6"/>
    </row>
    <row r="27" spans="1:19">
      <c r="A27" s="6"/>
      <c r="B27" s="6" t="s">
        <v>174</v>
      </c>
      <c r="C27" s="6"/>
      <c r="D27" s="58">
        <v>6803.5270956410868</v>
      </c>
      <c r="E27" s="58">
        <v>4634.0280047943652</v>
      </c>
      <c r="F27" s="58">
        <v>4357.8124627292491</v>
      </c>
      <c r="G27" s="58">
        <v>2500.4626674523352</v>
      </c>
      <c r="H27" s="58">
        <v>3491.0686221997476</v>
      </c>
      <c r="I27" s="58">
        <v>6629</v>
      </c>
      <c r="J27" s="58">
        <v>3577.134</v>
      </c>
      <c r="K27" s="58">
        <v>4037.0715067995507</v>
      </c>
      <c r="L27" s="58">
        <v>6306.9758621580286</v>
      </c>
      <c r="M27" s="58">
        <v>3904.2202517281357</v>
      </c>
      <c r="N27" s="58">
        <v>3597.5036080116529</v>
      </c>
      <c r="O27" s="58">
        <v>1039.1264328449699</v>
      </c>
      <c r="P27" s="58">
        <v>4771.0812066896096</v>
      </c>
      <c r="Q27" s="308">
        <v>4486</v>
      </c>
      <c r="R27" s="363">
        <v>6203.2278477198788</v>
      </c>
      <c r="S27" s="6"/>
    </row>
    <row r="28" spans="1:19">
      <c r="A28" s="6"/>
      <c r="B28" s="6" t="s">
        <v>175</v>
      </c>
      <c r="C28" s="6"/>
      <c r="D28" s="58">
        <v>2102.0682502273862</v>
      </c>
      <c r="E28" s="58">
        <v>1277.9081317551779</v>
      </c>
      <c r="F28" s="58">
        <v>1797.6226367033514</v>
      </c>
      <c r="G28" s="58">
        <v>2010.0312583004261</v>
      </c>
      <c r="H28" s="58">
        <v>590.08631765921336</v>
      </c>
      <c r="I28" s="58">
        <v>1254</v>
      </c>
      <c r="J28" s="58">
        <v>957.48400000000004</v>
      </c>
      <c r="K28" s="58">
        <v>0</v>
      </c>
      <c r="L28" s="58">
        <v>4498.4498033446607</v>
      </c>
      <c r="M28" s="58">
        <v>1870.9851038499985</v>
      </c>
      <c r="N28" s="58">
        <v>3377.0362481185466</v>
      </c>
      <c r="O28" s="58">
        <v>2809.92686779718</v>
      </c>
      <c r="P28" s="58">
        <v>1125.54508148171</v>
      </c>
      <c r="Q28" s="308">
        <v>2897</v>
      </c>
      <c r="R28" s="363">
        <v>4210.8846153070608</v>
      </c>
      <c r="S28" s="6"/>
    </row>
    <row r="29" spans="1:19" s="60" customFormat="1">
      <c r="A29" s="53"/>
      <c r="B29" s="53" t="s">
        <v>162</v>
      </c>
      <c r="C29" s="53"/>
      <c r="D29" s="61">
        <f>SUM(D26:D28)</f>
        <v>14220.208913051194</v>
      </c>
      <c r="E29" s="61">
        <f>SUM(E26:E28)</f>
        <v>10350.177401994375</v>
      </c>
      <c r="F29" s="61">
        <f t="shared" ref="F29:N29" si="14">SUM(F26:F28)</f>
        <v>10665.34022936262</v>
      </c>
      <c r="G29" s="61">
        <f t="shared" si="14"/>
        <v>9055.6577253506857</v>
      </c>
      <c r="H29" s="61">
        <f t="shared" si="14"/>
        <v>8376.7874754155528</v>
      </c>
      <c r="I29" s="61">
        <f t="shared" si="14"/>
        <v>12107</v>
      </c>
      <c r="J29" s="61">
        <f t="shared" si="14"/>
        <v>8645.9380000000001</v>
      </c>
      <c r="K29" s="61">
        <f t="shared" si="14"/>
        <v>8544.1841984296116</v>
      </c>
      <c r="L29" s="61">
        <f t="shared" si="14"/>
        <v>12741.078601063458</v>
      </c>
      <c r="M29" s="61">
        <f t="shared" si="14"/>
        <v>7253.0867058000022</v>
      </c>
      <c r="N29" s="61">
        <f t="shared" si="14"/>
        <v>8836.5080611474859</v>
      </c>
      <c r="O29" s="61">
        <f t="shared" ref="O29:R29" si="15">SUM(O26:O28)</f>
        <v>6855.5906448123496</v>
      </c>
      <c r="P29" s="61">
        <f t="shared" si="15"/>
        <v>7820.7782178198795</v>
      </c>
      <c r="Q29" s="310">
        <f t="shared" si="15"/>
        <v>9251</v>
      </c>
      <c r="R29" s="61">
        <f t="shared" si="15"/>
        <v>11776.258716008086</v>
      </c>
      <c r="S29" s="53"/>
    </row>
    <row r="30" spans="1:19" s="62" customFormat="1">
      <c r="A30" s="63"/>
      <c r="B30" s="63" t="s">
        <v>224</v>
      </c>
      <c r="C30" s="63"/>
      <c r="D30" s="68"/>
      <c r="E30" s="68"/>
      <c r="F30" s="68">
        <f>SUM(F19,F25,F29)</f>
        <v>61801.809255030494</v>
      </c>
      <c r="G30" s="68"/>
      <c r="H30" s="68">
        <f>H29+H25+H19</f>
        <v>62017.368708758142</v>
      </c>
      <c r="I30" s="68">
        <f t="shared" ref="I30:Q30" si="16">I29+I25+I19</f>
        <v>70956</v>
      </c>
      <c r="J30" s="68">
        <f t="shared" si="16"/>
        <v>63145.076000000001</v>
      </c>
      <c r="K30" s="68">
        <f t="shared" si="16"/>
        <v>55282.312389999999</v>
      </c>
      <c r="L30" s="68">
        <f t="shared" si="16"/>
        <v>53599.614195798473</v>
      </c>
      <c r="M30" s="68">
        <f t="shared" si="16"/>
        <v>55623.296163456966</v>
      </c>
      <c r="N30" s="68">
        <f t="shared" si="16"/>
        <v>77166.0811896995</v>
      </c>
      <c r="O30" s="68">
        <f t="shared" si="16"/>
        <v>66972.286811166428</v>
      </c>
      <c r="P30" s="68">
        <f t="shared" si="16"/>
        <v>68861.890659999946</v>
      </c>
      <c r="Q30" s="68">
        <f t="shared" si="16"/>
        <v>76102</v>
      </c>
      <c r="R30" s="63"/>
      <c r="S30" s="63"/>
    </row>
    <row r="31" spans="1:19">
      <c r="A31" s="6" t="s">
        <v>176</v>
      </c>
      <c r="B31" s="6" t="s">
        <v>165</v>
      </c>
      <c r="C31" s="6"/>
      <c r="D31" s="58">
        <v>4089.0581016407709</v>
      </c>
      <c r="E31" s="58">
        <v>6600.777854428622</v>
      </c>
      <c r="F31" s="58">
        <v>9766.1849629722601</v>
      </c>
      <c r="G31" s="58">
        <v>12914.356146870465</v>
      </c>
      <c r="H31" s="58">
        <v>10773.306131006831</v>
      </c>
      <c r="I31" s="58">
        <v>0</v>
      </c>
      <c r="J31" s="58">
        <v>1056.3969999999999</v>
      </c>
      <c r="K31" s="58">
        <v>0</v>
      </c>
      <c r="L31" s="58">
        <v>1637.9327800168189</v>
      </c>
      <c r="M31" s="58">
        <v>4384.3651847115634</v>
      </c>
      <c r="N31" s="58">
        <v>6.0605684756296991</v>
      </c>
      <c r="O31" s="58">
        <v>5.1145108474265797</v>
      </c>
      <c r="P31" s="58"/>
      <c r="Q31" s="6"/>
      <c r="R31" s="368">
        <v>0</v>
      </c>
      <c r="S31" s="6"/>
    </row>
    <row r="32" spans="1:19">
      <c r="A32" s="6"/>
      <c r="B32" s="6" t="s">
        <v>177</v>
      </c>
      <c r="C32" s="6"/>
      <c r="D32" s="58">
        <v>0</v>
      </c>
      <c r="E32" s="58">
        <v>0</v>
      </c>
      <c r="F32" s="58">
        <v>0</v>
      </c>
      <c r="G32" s="58">
        <v>26</v>
      </c>
      <c r="H32" s="58">
        <v>81</v>
      </c>
      <c r="I32" s="58">
        <v>727</v>
      </c>
      <c r="J32" s="58">
        <v>98.57</v>
      </c>
      <c r="K32" s="58">
        <v>174.36689850003015</v>
      </c>
      <c r="L32" s="58">
        <v>465.51332183183519</v>
      </c>
      <c r="M32" s="58">
        <v>1112.1998931979863</v>
      </c>
      <c r="N32" s="58">
        <v>1403.8147950177211</v>
      </c>
      <c r="O32" s="58">
        <v>1447.27136041514</v>
      </c>
      <c r="P32" s="317">
        <v>936</v>
      </c>
      <c r="Q32" s="318">
        <v>655</v>
      </c>
      <c r="R32" s="368">
        <v>0</v>
      </c>
      <c r="S32" s="6"/>
    </row>
    <row r="33" spans="1:20">
      <c r="A33" s="6"/>
      <c r="B33" s="6" t="s">
        <v>178</v>
      </c>
      <c r="C33" s="6"/>
      <c r="D33" s="58">
        <v>0</v>
      </c>
      <c r="E33" s="58">
        <v>388</v>
      </c>
      <c r="F33" s="58">
        <v>2956</v>
      </c>
      <c r="G33" s="58">
        <v>188</v>
      </c>
      <c r="H33" s="58">
        <v>206</v>
      </c>
      <c r="I33" s="58">
        <v>1186</v>
      </c>
      <c r="J33" s="58">
        <v>56.499000000000002</v>
      </c>
      <c r="K33" s="58">
        <v>80.789471499969864</v>
      </c>
      <c r="L33" s="58">
        <v>2513.5336023528812</v>
      </c>
      <c r="M33" s="58">
        <v>7853.3162543575581</v>
      </c>
      <c r="N33" s="58">
        <v>3687.0558858296326</v>
      </c>
      <c r="O33" s="58">
        <v>5466.6477263572297</v>
      </c>
      <c r="P33" s="319">
        <v>8158</v>
      </c>
      <c r="Q33" s="320">
        <v>7683</v>
      </c>
      <c r="R33" s="368">
        <v>0</v>
      </c>
      <c r="S33" s="6"/>
    </row>
    <row r="34" spans="1:20" s="60" customFormat="1">
      <c r="A34" s="53"/>
      <c r="B34" s="53" t="s">
        <v>162</v>
      </c>
      <c r="C34" s="53"/>
      <c r="D34" s="61">
        <f>SUM(D31:D33)</f>
        <v>4089.0581016407709</v>
      </c>
      <c r="E34" s="61">
        <f>SUM(E31:E33)</f>
        <v>6988.777854428622</v>
      </c>
      <c r="F34" s="61">
        <f t="shared" ref="F34:N34" si="17">SUM(F31:F33)</f>
        <v>12722.18496297226</v>
      </c>
      <c r="G34" s="61">
        <f t="shared" si="17"/>
        <v>13128.356146870465</v>
      </c>
      <c r="H34" s="61">
        <f t="shared" si="17"/>
        <v>11060.306131006831</v>
      </c>
      <c r="I34" s="61">
        <f t="shared" si="17"/>
        <v>1913</v>
      </c>
      <c r="J34" s="61">
        <f t="shared" si="17"/>
        <v>1211.4659999999999</v>
      </c>
      <c r="K34" s="61">
        <f t="shared" si="17"/>
        <v>255.15637000000001</v>
      </c>
      <c r="L34" s="61">
        <f t="shared" si="17"/>
        <v>4616.9797042015352</v>
      </c>
      <c r="M34" s="61">
        <f t="shared" si="17"/>
        <v>13349.881332267109</v>
      </c>
      <c r="N34" s="61">
        <f t="shared" si="17"/>
        <v>5096.9312493229836</v>
      </c>
      <c r="O34" s="61">
        <f t="shared" ref="O34:Q34" si="18">SUM(O31:O33)</f>
        <v>6919.0335976197966</v>
      </c>
      <c r="P34" s="61">
        <f t="shared" si="18"/>
        <v>9094</v>
      </c>
      <c r="Q34" s="61">
        <f t="shared" si="18"/>
        <v>8338</v>
      </c>
      <c r="R34" s="61">
        <f t="shared" ref="R34" si="19">SUM(R31:R33)</f>
        <v>0</v>
      </c>
      <c r="S34" s="53"/>
    </row>
    <row r="35" spans="1:20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20" s="62" customFormat="1">
      <c r="A36" s="63"/>
      <c r="B36" s="63" t="s">
        <v>162</v>
      </c>
      <c r="C36" s="63"/>
      <c r="D36" s="64">
        <f>SUM(D19,D25,D29,D34)</f>
        <v>91493.670612776783</v>
      </c>
      <c r="E36" s="64">
        <f>SUM(E19,E25,E29,E34)</f>
        <v>101043.0647968815</v>
      </c>
      <c r="F36" s="64">
        <f t="shared" ref="F36:N36" si="20">SUM(F19,F25,F29,F34)</f>
        <v>74523.994218002757</v>
      </c>
      <c r="G36" s="64">
        <f t="shared" si="20"/>
        <v>69080.874086797237</v>
      </c>
      <c r="H36" s="64">
        <f t="shared" si="20"/>
        <v>73077.674839764979</v>
      </c>
      <c r="I36" s="64">
        <f t="shared" si="20"/>
        <v>72869</v>
      </c>
      <c r="J36" s="64">
        <f t="shared" si="20"/>
        <v>64356.542000000001</v>
      </c>
      <c r="K36" s="64">
        <f t="shared" si="20"/>
        <v>55537.468759999996</v>
      </c>
      <c r="L36" s="64">
        <f t="shared" si="20"/>
        <v>58216.5939</v>
      </c>
      <c r="M36" s="64">
        <f t="shared" si="20"/>
        <v>68973.17749572407</v>
      </c>
      <c r="N36" s="64">
        <f t="shared" si="20"/>
        <v>82263.012439022481</v>
      </c>
      <c r="O36" s="64">
        <f t="shared" ref="O36:R36" si="21">SUM(O19,O25,O29,O34)</f>
        <v>73891.320408786225</v>
      </c>
      <c r="P36" s="64">
        <f t="shared" si="21"/>
        <v>77955.890659999946</v>
      </c>
      <c r="Q36" s="64">
        <f t="shared" si="21"/>
        <v>84440</v>
      </c>
      <c r="R36" s="64">
        <f t="shared" si="21"/>
        <v>90829.440579051807</v>
      </c>
      <c r="S36" s="63"/>
    </row>
    <row r="37" spans="1:20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20">
      <c r="D38" s="6"/>
      <c r="E38" s="6"/>
      <c r="F38" s="6"/>
      <c r="G38" s="6"/>
      <c r="H38" s="6"/>
      <c r="I38" s="6"/>
      <c r="J38" s="6"/>
      <c r="K38" s="6"/>
      <c r="L38" s="6"/>
      <c r="M38" s="6"/>
      <c r="N38" s="316" t="s">
        <v>294</v>
      </c>
      <c r="O38" s="316"/>
      <c r="P38" s="316"/>
      <c r="Q38" s="368">
        <v>9246</v>
      </c>
      <c r="R38" s="368">
        <v>8925</v>
      </c>
      <c r="T38" s="369" t="s">
        <v>295</v>
      </c>
    </row>
    <row r="39" spans="1:20">
      <c r="F39" s="69"/>
      <c r="G39" s="82"/>
    </row>
  </sheetData>
  <phoneticPr fontId="33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5C23-5CCE-4E8C-AD62-BC0CB7787BC2}">
  <sheetPr>
    <tabColor theme="4" tint="0.79998168889431442"/>
  </sheetPr>
  <dimension ref="A1:AV33"/>
  <sheetViews>
    <sheetView showGridLines="0" zoomScale="120" zoomScaleNormal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0" sqref="E30"/>
    </sheetView>
  </sheetViews>
  <sheetFormatPr defaultColWidth="9.140625" defaultRowHeight="12.75"/>
  <cols>
    <col min="1" max="1" width="9.140625" style="6"/>
    <col min="2" max="2" width="2.85546875" style="6" customWidth="1"/>
    <col min="3" max="3" width="26" style="6" bestFit="1" customWidth="1"/>
    <col min="4" max="6" width="10" style="6" customWidth="1"/>
    <col min="7" max="8" width="11.5703125" style="6" customWidth="1"/>
    <col min="9" max="9" width="11" style="6" customWidth="1"/>
    <col min="10" max="11" width="11" style="6" bestFit="1" customWidth="1"/>
    <col min="12" max="12" width="11" style="6" customWidth="1"/>
    <col min="13" max="14" width="10" style="6" bestFit="1" customWidth="1"/>
    <col min="15" max="15" width="10" style="6" customWidth="1"/>
    <col min="16" max="17" width="10" style="6" bestFit="1" customWidth="1"/>
    <col min="18" max="18" width="10" style="6" customWidth="1"/>
    <col min="19" max="20" width="10" style="6" bestFit="1" customWidth="1"/>
    <col min="21" max="21" width="10" style="6" customWidth="1"/>
    <col min="22" max="22" width="10" style="6" bestFit="1" customWidth="1"/>
    <col min="23" max="23" width="9.140625" style="6"/>
    <col min="24" max="24" width="9.140625" style="6" customWidth="1"/>
    <col min="25" max="26" width="9.140625" style="6"/>
    <col min="27" max="27" width="9.140625" style="6" customWidth="1"/>
    <col min="28" max="29" width="9.140625" style="6"/>
    <col min="30" max="30" width="9.140625" style="6" customWidth="1"/>
    <col min="31" max="32" width="9.140625" style="6"/>
    <col min="33" max="33" width="9.140625" style="6" customWidth="1"/>
    <col min="34" max="35" width="9.140625" style="6"/>
    <col min="36" max="36" width="9.140625" style="6" customWidth="1"/>
    <col min="37" max="16384" width="9.140625" style="6"/>
  </cols>
  <sheetData>
    <row r="1" spans="1:48">
      <c r="A1" s="1"/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8">
      <c r="A2" s="7"/>
      <c r="B2" s="8"/>
      <c r="C2" s="9"/>
      <c r="D2" s="9"/>
      <c r="E2" s="9"/>
      <c r="F2" s="9"/>
      <c r="G2" s="9"/>
      <c r="H2" s="9"/>
      <c r="I2" s="9"/>
      <c r="J2" s="605" t="s">
        <v>179</v>
      </c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7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8">
      <c r="A3" s="11"/>
      <c r="B3" s="12"/>
      <c r="C3" s="13"/>
      <c r="D3" s="14">
        <v>2008</v>
      </c>
      <c r="E3" s="15">
        <v>2009</v>
      </c>
      <c r="F3" s="115" t="s">
        <v>122</v>
      </c>
      <c r="G3" s="14">
        <v>2009</v>
      </c>
      <c r="H3" s="15">
        <v>2010</v>
      </c>
      <c r="I3" s="119" t="s">
        <v>123</v>
      </c>
      <c r="J3" s="14">
        <v>2010</v>
      </c>
      <c r="K3" s="15">
        <f t="shared" ref="K3" si="0">J3+1</f>
        <v>2011</v>
      </c>
      <c r="L3" s="115" t="s">
        <v>124</v>
      </c>
      <c r="M3" s="16">
        <v>2011</v>
      </c>
      <c r="N3" s="17">
        <v>2012</v>
      </c>
      <c r="O3" s="115" t="s">
        <v>125</v>
      </c>
      <c r="P3" s="14">
        <v>2012</v>
      </c>
      <c r="Q3" s="15">
        <v>2013</v>
      </c>
      <c r="R3" s="115" t="s">
        <v>126</v>
      </c>
      <c r="S3" s="16">
        <v>2013</v>
      </c>
      <c r="T3" s="17">
        <v>2014</v>
      </c>
      <c r="U3" s="115" t="s">
        <v>127</v>
      </c>
      <c r="V3" s="14">
        <v>2014</v>
      </c>
      <c r="W3" s="15">
        <v>2015</v>
      </c>
      <c r="X3" s="115" t="s">
        <v>128</v>
      </c>
      <c r="Y3" s="18">
        <v>2015</v>
      </c>
      <c r="Z3" s="19">
        <v>2016</v>
      </c>
      <c r="AA3" s="116" t="s">
        <v>129</v>
      </c>
      <c r="AB3" s="14">
        <v>2016</v>
      </c>
      <c r="AC3" s="15">
        <v>2017</v>
      </c>
      <c r="AD3" s="115" t="s">
        <v>130</v>
      </c>
      <c r="AE3" s="18">
        <v>2017</v>
      </c>
      <c r="AF3" s="18">
        <v>2018</v>
      </c>
      <c r="AG3" s="117" t="s">
        <v>131</v>
      </c>
      <c r="AH3" s="14">
        <v>2018</v>
      </c>
      <c r="AI3" s="20">
        <v>2019</v>
      </c>
      <c r="AJ3" s="116" t="s">
        <v>132</v>
      </c>
      <c r="AK3" s="14">
        <v>2019</v>
      </c>
      <c r="AL3" s="20">
        <v>2020</v>
      </c>
      <c r="AM3" s="116" t="s">
        <v>133</v>
      </c>
      <c r="AN3" s="14">
        <v>2020</v>
      </c>
      <c r="AO3" s="20">
        <v>2021</v>
      </c>
      <c r="AP3" s="116" t="s">
        <v>134</v>
      </c>
      <c r="AQ3" s="14">
        <v>2021</v>
      </c>
      <c r="AR3" s="20">
        <v>2022</v>
      </c>
      <c r="AS3" s="116" t="s">
        <v>135</v>
      </c>
      <c r="AT3" s="14">
        <v>2022</v>
      </c>
      <c r="AU3" s="20">
        <v>2023</v>
      </c>
      <c r="AV3" s="116" t="s">
        <v>180</v>
      </c>
    </row>
    <row r="4" spans="1:48">
      <c r="A4" s="7"/>
      <c r="B4" s="21"/>
      <c r="C4" s="22"/>
      <c r="D4" s="23" t="s">
        <v>181</v>
      </c>
      <c r="E4" s="23" t="s">
        <v>181</v>
      </c>
      <c r="F4" s="108"/>
      <c r="G4" s="23" t="s">
        <v>181</v>
      </c>
      <c r="H4" s="23" t="s">
        <v>181</v>
      </c>
      <c r="I4" s="108"/>
      <c r="J4" s="23" t="s">
        <v>181</v>
      </c>
      <c r="K4" s="23" t="s">
        <v>181</v>
      </c>
      <c r="L4" s="108"/>
      <c r="M4" s="24" t="s">
        <v>181</v>
      </c>
      <c r="N4" s="24" t="s">
        <v>181</v>
      </c>
      <c r="O4" s="108"/>
      <c r="P4" s="23" t="s">
        <v>181</v>
      </c>
      <c r="Q4" s="23" t="s">
        <v>181</v>
      </c>
      <c r="R4" s="108"/>
      <c r="S4" s="24" t="s">
        <v>181</v>
      </c>
      <c r="T4" s="24" t="s">
        <v>181</v>
      </c>
      <c r="U4" s="108"/>
      <c r="V4" s="23" t="s">
        <v>181</v>
      </c>
      <c r="W4" s="23" t="s">
        <v>181</v>
      </c>
      <c r="X4" s="108"/>
      <c r="Y4" s="24" t="s">
        <v>181</v>
      </c>
      <c r="Z4" s="24" t="s">
        <v>181</v>
      </c>
      <c r="AA4" s="108"/>
      <c r="AB4" s="23" t="s">
        <v>181</v>
      </c>
      <c r="AC4" s="23" t="s">
        <v>181</v>
      </c>
      <c r="AD4" s="108"/>
      <c r="AE4" s="24" t="s">
        <v>181</v>
      </c>
      <c r="AF4" s="24" t="s">
        <v>181</v>
      </c>
      <c r="AG4" s="108"/>
      <c r="AH4" s="23" t="s">
        <v>181</v>
      </c>
      <c r="AI4" s="23" t="s">
        <v>181</v>
      </c>
      <c r="AJ4" s="108"/>
      <c r="AK4" s="23" t="s">
        <v>181</v>
      </c>
      <c r="AL4" s="23" t="s">
        <v>181</v>
      </c>
      <c r="AM4" s="108"/>
      <c r="AN4" s="23" t="s">
        <v>181</v>
      </c>
      <c r="AO4" s="23" t="s">
        <v>181</v>
      </c>
      <c r="AP4" s="108"/>
      <c r="AQ4" s="23" t="s">
        <v>181</v>
      </c>
      <c r="AR4" s="23" t="s">
        <v>181</v>
      </c>
      <c r="AS4" s="108"/>
      <c r="AT4" s="23" t="s">
        <v>181</v>
      </c>
      <c r="AU4" s="23" t="s">
        <v>181</v>
      </c>
      <c r="AV4" s="108"/>
    </row>
    <row r="5" spans="1:48">
      <c r="A5" s="25" t="s">
        <v>64</v>
      </c>
      <c r="B5" s="26"/>
      <c r="C5" s="27"/>
      <c r="D5" s="23" t="s">
        <v>102</v>
      </c>
      <c r="E5" s="23" t="s">
        <v>103</v>
      </c>
      <c r="F5" s="108"/>
      <c r="G5" s="23" t="s">
        <v>102</v>
      </c>
      <c r="H5" s="23" t="s">
        <v>103</v>
      </c>
      <c r="I5" s="108"/>
      <c r="J5" s="23" t="s">
        <v>102</v>
      </c>
      <c r="K5" s="23" t="s">
        <v>103</v>
      </c>
      <c r="L5" s="108"/>
      <c r="M5" s="24" t="str">
        <f t="shared" ref="M5:V5" si="1">$J5</f>
        <v>Jul-Dec</v>
      </c>
      <c r="N5" s="24" t="s">
        <v>103</v>
      </c>
      <c r="O5" s="108"/>
      <c r="P5" s="23" t="str">
        <f t="shared" si="1"/>
        <v>Jul-Dec</v>
      </c>
      <c r="Q5" s="23" t="s">
        <v>103</v>
      </c>
      <c r="R5" s="108"/>
      <c r="S5" s="24" t="str">
        <f t="shared" si="1"/>
        <v>Jul-Dec</v>
      </c>
      <c r="T5" s="24" t="s">
        <v>103</v>
      </c>
      <c r="U5" s="108"/>
      <c r="V5" s="23" t="str">
        <f t="shared" si="1"/>
        <v>Jul-Dec</v>
      </c>
      <c r="W5" s="23" t="s">
        <v>103</v>
      </c>
      <c r="X5" s="108"/>
      <c r="Y5" s="24" t="s">
        <v>102</v>
      </c>
      <c r="Z5" s="24" t="s">
        <v>103</v>
      </c>
      <c r="AA5" s="108"/>
      <c r="AB5" s="23" t="s">
        <v>102</v>
      </c>
      <c r="AC5" s="23" t="s">
        <v>103</v>
      </c>
      <c r="AD5" s="108"/>
      <c r="AE5" s="24" t="s">
        <v>102</v>
      </c>
      <c r="AF5" s="24" t="s">
        <v>103</v>
      </c>
      <c r="AG5" s="108"/>
      <c r="AH5" s="23" t="s">
        <v>102</v>
      </c>
      <c r="AI5" s="23" t="s">
        <v>103</v>
      </c>
      <c r="AJ5" s="108"/>
      <c r="AK5" s="23" t="s">
        <v>102</v>
      </c>
      <c r="AL5" s="23" t="s">
        <v>103</v>
      </c>
      <c r="AM5" s="108"/>
      <c r="AN5" s="23" t="s">
        <v>102</v>
      </c>
      <c r="AO5" s="23" t="s">
        <v>103</v>
      </c>
      <c r="AP5" s="108"/>
      <c r="AQ5" s="23" t="s">
        <v>102</v>
      </c>
      <c r="AR5" s="23" t="s">
        <v>103</v>
      </c>
      <c r="AS5" s="108"/>
      <c r="AT5" s="23" t="s">
        <v>102</v>
      </c>
      <c r="AU5" s="23" t="s">
        <v>103</v>
      </c>
      <c r="AV5" s="108"/>
    </row>
    <row r="6" spans="1:48">
      <c r="A6" s="7" t="s">
        <v>66</v>
      </c>
      <c r="B6" s="21"/>
      <c r="C6" s="28"/>
      <c r="D6" s="29"/>
      <c r="E6" s="29"/>
      <c r="F6" s="109"/>
      <c r="G6" s="29"/>
      <c r="H6" s="29"/>
      <c r="I6" s="109"/>
      <c r="J6" s="29" t="str">
        <f t="shared" ref="J6:Z6" si="2">IF($A$1=2,J10,"")</f>
        <v/>
      </c>
      <c r="K6" s="29" t="str">
        <f t="shared" si="2"/>
        <v/>
      </c>
      <c r="L6" s="109"/>
      <c r="M6" s="29" t="str">
        <f t="shared" si="2"/>
        <v/>
      </c>
      <c r="N6" s="29" t="str">
        <f t="shared" si="2"/>
        <v/>
      </c>
      <c r="O6" s="109"/>
      <c r="P6" s="29" t="str">
        <f t="shared" si="2"/>
        <v/>
      </c>
      <c r="Q6" s="29" t="str">
        <f t="shared" si="2"/>
        <v/>
      </c>
      <c r="R6" s="109"/>
      <c r="S6" s="29" t="str">
        <f t="shared" si="2"/>
        <v/>
      </c>
      <c r="T6" s="29" t="str">
        <f t="shared" si="2"/>
        <v/>
      </c>
      <c r="U6" s="109"/>
      <c r="V6" s="29" t="str">
        <f t="shared" si="2"/>
        <v/>
      </c>
      <c r="W6" s="29" t="str">
        <f t="shared" si="2"/>
        <v/>
      </c>
      <c r="X6" s="109"/>
      <c r="Y6" s="29" t="str">
        <f t="shared" si="2"/>
        <v/>
      </c>
      <c r="Z6" s="29" t="str">
        <f t="shared" si="2"/>
        <v/>
      </c>
      <c r="AA6" s="109"/>
      <c r="AB6" s="29"/>
      <c r="AC6" s="29" t="str">
        <f t="shared" ref="AC6:AE6" si="3">IF($A$1=2,AC10,"")</f>
        <v/>
      </c>
      <c r="AD6" s="109"/>
      <c r="AE6" s="29" t="str">
        <f t="shared" si="3"/>
        <v/>
      </c>
      <c r="AF6" s="29"/>
      <c r="AG6" s="109"/>
      <c r="AH6" s="29"/>
      <c r="AI6" s="29"/>
      <c r="AJ6" s="109"/>
      <c r="AK6" s="29"/>
      <c r="AL6" s="29"/>
      <c r="AM6" s="109"/>
      <c r="AN6" s="29"/>
      <c r="AO6" s="29"/>
      <c r="AP6" s="109"/>
      <c r="AQ6" s="29"/>
      <c r="AR6" s="29"/>
      <c r="AS6" s="109"/>
      <c r="AT6" s="29"/>
      <c r="AU6" s="29"/>
      <c r="AV6" s="109"/>
    </row>
    <row r="7" spans="1:48">
      <c r="A7" s="30"/>
      <c r="B7" s="31" t="s">
        <v>67</v>
      </c>
      <c r="C7" s="32" t="s">
        <v>36</v>
      </c>
      <c r="D7" s="29">
        <v>10792.146000000001</v>
      </c>
      <c r="E7" s="29">
        <v>10819.084000000001</v>
      </c>
      <c r="F7" s="109">
        <f>SUM(D7:E7)</f>
        <v>21611.230000000003</v>
      </c>
      <c r="G7" s="29">
        <v>12158.926999999998</v>
      </c>
      <c r="H7" s="29">
        <v>12079.543</v>
      </c>
      <c r="I7" s="109">
        <f>SUM(G7:H7)</f>
        <v>24238.469999999998</v>
      </c>
      <c r="J7" s="29">
        <v>12276.789999999999</v>
      </c>
      <c r="K7" s="29">
        <v>14822.575999999999</v>
      </c>
      <c r="L7" s="109">
        <f>SUM(J7:K7)</f>
        <v>27099.365999999998</v>
      </c>
      <c r="M7" s="29">
        <v>18990.175999999999</v>
      </c>
      <c r="N7" s="29">
        <v>13709.394</v>
      </c>
      <c r="O7" s="109">
        <f>SUM(M7:N7)</f>
        <v>32699.57</v>
      </c>
      <c r="P7" s="29">
        <v>14913.932449999989</v>
      </c>
      <c r="Q7" s="29">
        <v>11903.934999999999</v>
      </c>
      <c r="R7" s="109">
        <f>SUM(P7:Q7)</f>
        <v>26817.867449999991</v>
      </c>
      <c r="S7" s="29">
        <v>13094.074000000001</v>
      </c>
      <c r="T7" s="29">
        <v>9759.4110000000001</v>
      </c>
      <c r="U7" s="109">
        <f>SUM(S7:T7)</f>
        <v>22853.485000000001</v>
      </c>
      <c r="V7" s="29">
        <v>9617.1110000000008</v>
      </c>
      <c r="W7" s="29">
        <v>9407.9259999999995</v>
      </c>
      <c r="X7" s="109">
        <f>SUM(V7:W7)</f>
        <v>19025.037</v>
      </c>
      <c r="Y7" s="29">
        <v>9792.4969999999994</v>
      </c>
      <c r="Z7" s="33">
        <v>11203.552</v>
      </c>
      <c r="AA7" s="109">
        <f>SUM(Y7:Z7)</f>
        <v>20996.048999999999</v>
      </c>
      <c r="AB7" s="33">
        <v>10502.682999999999</v>
      </c>
      <c r="AC7" s="29">
        <v>11150.542000000001</v>
      </c>
      <c r="AD7" s="109">
        <f>SUM(AB7:AC7)</f>
        <v>21653.224999999999</v>
      </c>
      <c r="AE7" s="34">
        <v>13044.347</v>
      </c>
      <c r="AF7" s="34">
        <v>8642.6669999999995</v>
      </c>
      <c r="AG7" s="109">
        <f>SUM(AE7:AF7)</f>
        <v>21687.013999999999</v>
      </c>
      <c r="AH7" s="34">
        <v>9317.0130000000008</v>
      </c>
      <c r="AI7" s="34">
        <v>9246.1970000000001</v>
      </c>
      <c r="AJ7" s="109">
        <f>SUM(AH7:AI7)</f>
        <v>18563.21</v>
      </c>
      <c r="AK7" s="121">
        <v>9052.6530000000002</v>
      </c>
      <c r="AL7" s="121">
        <v>8349.2160000000003</v>
      </c>
      <c r="AM7" s="109">
        <f>SUM(AK7:AL7)</f>
        <v>17401.868999999999</v>
      </c>
      <c r="AN7" s="121">
        <v>7617.4410000000007</v>
      </c>
      <c r="AO7" s="121">
        <v>7763.9620000000004</v>
      </c>
      <c r="AP7" s="109">
        <f>SUM(AN7:AO7)</f>
        <v>15381.403000000002</v>
      </c>
      <c r="AQ7" s="121">
        <f>22278-11201.7</f>
        <v>11076.3</v>
      </c>
      <c r="AR7" s="121">
        <v>12856.5</v>
      </c>
      <c r="AS7" s="109">
        <f>SUM(AQ7:AR7)</f>
        <v>23932.799999999999</v>
      </c>
      <c r="AT7" s="121">
        <f>26983.6-AR7</f>
        <v>14127.099999999999</v>
      </c>
      <c r="AU7" s="361">
        <v>14169.056420000001</v>
      </c>
      <c r="AV7" s="109">
        <f>SUM(AT7:AU7)</f>
        <v>28296.156419999999</v>
      </c>
    </row>
    <row r="8" spans="1:48">
      <c r="A8" s="30"/>
      <c r="B8" s="31"/>
      <c r="C8" s="32" t="s">
        <v>37</v>
      </c>
      <c r="D8" s="29">
        <v>11283.036</v>
      </c>
      <c r="E8" s="29">
        <v>11137.81</v>
      </c>
      <c r="F8" s="109">
        <f t="shared" ref="F8:F9" si="4">SUM(D8:E8)</f>
        <v>22420.845999999998</v>
      </c>
      <c r="G8" s="29">
        <v>13672.646999999999</v>
      </c>
      <c r="H8" s="29">
        <v>16708.145</v>
      </c>
      <c r="I8" s="109">
        <f t="shared" ref="I8:I9" si="5">SUM(G8:H8)</f>
        <v>30380.792000000001</v>
      </c>
      <c r="J8" s="29">
        <v>14310.948</v>
      </c>
      <c r="K8" s="29">
        <v>13728.262000000001</v>
      </c>
      <c r="L8" s="109">
        <f t="shared" ref="L8:L9" si="6">SUM(J8:K8)</f>
        <v>28039.21</v>
      </c>
      <c r="M8" s="29">
        <v>12960.907999999998</v>
      </c>
      <c r="N8" s="29">
        <v>11691.584999999999</v>
      </c>
      <c r="O8" s="109">
        <f t="shared" ref="O8:O9" si="7">SUM(M8:N8)</f>
        <v>24652.492999999995</v>
      </c>
      <c r="P8" s="29">
        <v>10485.89</v>
      </c>
      <c r="Q8" s="29">
        <v>10494.778</v>
      </c>
      <c r="R8" s="109">
        <f t="shared" ref="R8:R9" si="8">SUM(P8:Q8)</f>
        <v>20980.667999999998</v>
      </c>
      <c r="S8" s="29">
        <v>12338.326000000001</v>
      </c>
      <c r="T8" s="29">
        <v>12093.740999999998</v>
      </c>
      <c r="U8" s="109">
        <f t="shared" ref="U8:U9" si="9">SUM(S8:T8)</f>
        <v>24432.066999999999</v>
      </c>
      <c r="V8" s="29">
        <v>13900.499</v>
      </c>
      <c r="W8" s="29">
        <v>15124.861000000001</v>
      </c>
      <c r="X8" s="109">
        <f t="shared" ref="X8:X9" si="10">SUM(V8:W8)</f>
        <v>29025.360000000001</v>
      </c>
      <c r="Y8" s="29">
        <v>14475.081999999999</v>
      </c>
      <c r="Z8" s="33">
        <v>12647.545999999998</v>
      </c>
      <c r="AA8" s="109">
        <f t="shared" ref="AA8:AA9" si="11">SUM(Y8:Z8)</f>
        <v>27122.627999999997</v>
      </c>
      <c r="AB8" s="33">
        <v>13183.106</v>
      </c>
      <c r="AC8" s="29">
        <v>13946.202000000001</v>
      </c>
      <c r="AD8" s="109">
        <f t="shared" ref="AD8:AD9" si="12">SUM(AB8:AC8)</f>
        <v>27129.308000000001</v>
      </c>
      <c r="AE8" s="34">
        <v>14121.293</v>
      </c>
      <c r="AF8" s="34">
        <v>14261.909</v>
      </c>
      <c r="AG8" s="109">
        <f t="shared" ref="AG8:AG9" si="13">SUM(AE8:AF8)</f>
        <v>28383.201999999997</v>
      </c>
      <c r="AH8" s="34">
        <v>15180.655999999999</v>
      </c>
      <c r="AI8" s="34">
        <v>15433.359</v>
      </c>
      <c r="AJ8" s="109">
        <f t="shared" ref="AJ8:AJ9" si="14">SUM(AH8:AI8)</f>
        <v>30614.014999999999</v>
      </c>
      <c r="AK8" s="121">
        <v>12736.811</v>
      </c>
      <c r="AL8" s="121">
        <v>11132.919</v>
      </c>
      <c r="AM8" s="109">
        <f t="shared" ref="AM8:AM9" si="15">SUM(AK8:AL8)</f>
        <v>23869.73</v>
      </c>
      <c r="AN8" s="121">
        <v>11834.766000000001</v>
      </c>
      <c r="AO8" s="121">
        <v>13436.376839999997</v>
      </c>
      <c r="AP8" s="109">
        <f t="shared" ref="AP8:AP9" si="16">SUM(AN8:AO8)</f>
        <v>25271.14284</v>
      </c>
      <c r="AQ8" s="121">
        <f>21733.2-9896.9</f>
        <v>11836.300000000001</v>
      </c>
      <c r="AR8" s="121">
        <v>11096</v>
      </c>
      <c r="AS8" s="109">
        <f t="shared" ref="AS8:AS9" si="17">SUM(AQ8:AR8)</f>
        <v>22932.300000000003</v>
      </c>
      <c r="AT8" s="121">
        <f>21315.5-AR8</f>
        <v>10219.5</v>
      </c>
      <c r="AU8" s="361">
        <v>12606.611430000001</v>
      </c>
      <c r="AV8" s="109">
        <f t="shared" ref="AV8:AV22" si="18">SUM(AT8:AU8)</f>
        <v>22826.111430000001</v>
      </c>
    </row>
    <row r="9" spans="1:48">
      <c r="A9" s="30"/>
      <c r="B9" s="31" t="s">
        <v>67</v>
      </c>
      <c r="C9" s="32" t="s">
        <v>38</v>
      </c>
      <c r="D9" s="29">
        <v>26605.845999999998</v>
      </c>
      <c r="E9" s="29">
        <v>39727.015000000014</v>
      </c>
      <c r="F9" s="109">
        <f t="shared" si="4"/>
        <v>66332.861000000004</v>
      </c>
      <c r="G9" s="29">
        <v>47565.749999999985</v>
      </c>
      <c r="H9" s="29">
        <v>27955.24</v>
      </c>
      <c r="I9" s="109">
        <f t="shared" si="5"/>
        <v>75520.989999999991</v>
      </c>
      <c r="J9" s="29">
        <v>28372.472000000005</v>
      </c>
      <c r="K9" s="29">
        <v>17873.610999999997</v>
      </c>
      <c r="L9" s="109">
        <f t="shared" si="6"/>
        <v>46246.082999999999</v>
      </c>
      <c r="M9" s="29">
        <v>19793.279999999992</v>
      </c>
      <c r="N9" s="29">
        <v>23545.503000000001</v>
      </c>
      <c r="O9" s="109">
        <f t="shared" si="7"/>
        <v>43338.782999999996</v>
      </c>
      <c r="P9" s="29">
        <v>20969.128000000001</v>
      </c>
      <c r="Q9" s="29">
        <v>21551.438999999998</v>
      </c>
      <c r="R9" s="109">
        <f t="shared" si="8"/>
        <v>42520.566999999995</v>
      </c>
      <c r="S9" s="29">
        <v>24609.611000000001</v>
      </c>
      <c r="T9" s="29">
        <v>16884.012999999995</v>
      </c>
      <c r="U9" s="109">
        <f t="shared" si="9"/>
        <v>41493.623999999996</v>
      </c>
      <c r="V9" s="29">
        <v>18579.134999999998</v>
      </c>
      <c r="W9" s="29">
        <v>12020.777</v>
      </c>
      <c r="X9" s="109">
        <f t="shared" si="10"/>
        <v>30599.911999999997</v>
      </c>
      <c r="Y9" s="29">
        <v>13544.349369999998</v>
      </c>
      <c r="Z9" s="33">
        <v>7882.1979600000013</v>
      </c>
      <c r="AA9" s="109">
        <f t="shared" si="11"/>
        <v>21426.547330000001</v>
      </c>
      <c r="AB9" s="33">
        <v>7885.6290000000008</v>
      </c>
      <c r="AC9" s="29">
        <v>11854.847900000001</v>
      </c>
      <c r="AD9" s="109">
        <f t="shared" si="12"/>
        <v>19740.476900000001</v>
      </c>
      <c r="AE9" s="34">
        <v>10491.742319999999</v>
      </c>
      <c r="AF9" s="34">
        <v>9575.4310000000005</v>
      </c>
      <c r="AG9" s="109">
        <f t="shared" si="13"/>
        <v>20067.173320000002</v>
      </c>
      <c r="AH9" s="34">
        <v>14526.174999999999</v>
      </c>
      <c r="AI9" s="34">
        <v>19685.996999999999</v>
      </c>
      <c r="AJ9" s="109">
        <f t="shared" si="14"/>
        <v>34212.171999999999</v>
      </c>
      <c r="AK9" s="121">
        <v>18163.2</v>
      </c>
      <c r="AL9" s="121">
        <v>12178</v>
      </c>
      <c r="AM9" s="109">
        <f t="shared" si="15"/>
        <v>30341.200000000001</v>
      </c>
      <c r="AN9" s="121">
        <v>17272</v>
      </c>
      <c r="AO9" s="121">
        <v>15577</v>
      </c>
      <c r="AP9" s="109">
        <f t="shared" si="16"/>
        <v>32849</v>
      </c>
      <c r="AQ9" s="121">
        <f>31975-15677</f>
        <v>16298</v>
      </c>
      <c r="AR9" s="121">
        <v>15895</v>
      </c>
      <c r="AS9" s="109">
        <f t="shared" si="17"/>
        <v>32193</v>
      </c>
      <c r="AT9" s="121">
        <f>36847.1-AR9</f>
        <v>20952.099999999999</v>
      </c>
      <c r="AU9" s="361">
        <v>20542.32375</v>
      </c>
      <c r="AV9" s="109">
        <f t="shared" si="18"/>
        <v>41494.423750000002</v>
      </c>
    </row>
    <row r="10" spans="1:48">
      <c r="A10" s="35"/>
      <c r="B10" s="36" t="s">
        <v>67</v>
      </c>
      <c r="C10" s="37" t="s">
        <v>159</v>
      </c>
      <c r="D10" s="113">
        <f t="shared" ref="D10:AI10" si="19">SUM(D7:D9)</f>
        <v>48681.027999999998</v>
      </c>
      <c r="E10" s="113">
        <f t="shared" si="19"/>
        <v>61683.909000000014</v>
      </c>
      <c r="F10" s="113">
        <f t="shared" ref="F10" si="20">SUM(F7:F9)</f>
        <v>110364.93700000001</v>
      </c>
      <c r="G10" s="113">
        <f t="shared" si="19"/>
        <v>73397.323999999979</v>
      </c>
      <c r="H10" s="113">
        <f t="shared" si="19"/>
        <v>56742.928</v>
      </c>
      <c r="I10" s="113">
        <f t="shared" ref="I10" si="21">SUM(I7:I9)</f>
        <v>130140.25199999999</v>
      </c>
      <c r="J10" s="113">
        <f t="shared" si="19"/>
        <v>54960.210000000006</v>
      </c>
      <c r="K10" s="113">
        <f t="shared" si="19"/>
        <v>46424.448999999993</v>
      </c>
      <c r="L10" s="113">
        <f t="shared" si="19"/>
        <v>101384.659</v>
      </c>
      <c r="M10" s="113">
        <f t="shared" si="19"/>
        <v>51744.363999999987</v>
      </c>
      <c r="N10" s="113">
        <f t="shared" si="19"/>
        <v>48946.482000000004</v>
      </c>
      <c r="O10" s="113">
        <f t="shared" ref="O10" si="22">SUM(O7:O9)</f>
        <v>100690.84599999999</v>
      </c>
      <c r="P10" s="113">
        <f t="shared" si="19"/>
        <v>46368.950449999989</v>
      </c>
      <c r="Q10" s="113">
        <f t="shared" si="19"/>
        <v>43950.152000000002</v>
      </c>
      <c r="R10" s="113">
        <f t="shared" ref="R10" si="23">SUM(R7:R9)</f>
        <v>90319.102449999977</v>
      </c>
      <c r="S10" s="113">
        <f t="shared" si="19"/>
        <v>50042.010999999999</v>
      </c>
      <c r="T10" s="113">
        <f t="shared" si="19"/>
        <v>38737.164999999994</v>
      </c>
      <c r="U10" s="113">
        <f t="shared" ref="U10" si="24">SUM(U7:U9)</f>
        <v>88779.175999999992</v>
      </c>
      <c r="V10" s="113">
        <f t="shared" si="19"/>
        <v>42096.744999999995</v>
      </c>
      <c r="W10" s="113">
        <f t="shared" si="19"/>
        <v>36553.563999999998</v>
      </c>
      <c r="X10" s="113">
        <f t="shared" ref="X10" si="25">SUM(X7:X9)</f>
        <v>78650.308999999994</v>
      </c>
      <c r="Y10" s="113">
        <f t="shared" si="19"/>
        <v>37811.928369999994</v>
      </c>
      <c r="Z10" s="113">
        <f t="shared" si="19"/>
        <v>31733.295959999999</v>
      </c>
      <c r="AA10" s="113">
        <f t="shared" ref="AA10" si="26">SUM(AA7:AA9)</f>
        <v>69545.224329999997</v>
      </c>
      <c r="AB10" s="113">
        <f t="shared" si="19"/>
        <v>31571.417999999998</v>
      </c>
      <c r="AC10" s="113">
        <f t="shared" si="19"/>
        <v>36951.591899999999</v>
      </c>
      <c r="AD10" s="113">
        <f t="shared" ref="AD10" si="27">SUM(AD7:AD9)</f>
        <v>68523.009900000005</v>
      </c>
      <c r="AE10" s="113">
        <f t="shared" si="19"/>
        <v>37657.382319999997</v>
      </c>
      <c r="AF10" s="113">
        <f t="shared" si="19"/>
        <v>32480.007000000001</v>
      </c>
      <c r="AG10" s="113">
        <f t="shared" ref="AG10" si="28">SUM(AG7:AG9)</f>
        <v>70137.389320000002</v>
      </c>
      <c r="AH10" s="113">
        <f t="shared" si="19"/>
        <v>39023.843999999997</v>
      </c>
      <c r="AI10" s="113">
        <f t="shared" si="19"/>
        <v>44365.553</v>
      </c>
      <c r="AJ10" s="113">
        <f t="shared" ref="AJ10:AP10" si="29">SUM(AJ7:AJ9)</f>
        <v>83389.396999999997</v>
      </c>
      <c r="AK10" s="113">
        <f t="shared" si="29"/>
        <v>39952.664000000004</v>
      </c>
      <c r="AL10" s="113">
        <f t="shared" si="29"/>
        <v>31660.135000000002</v>
      </c>
      <c r="AM10" s="113">
        <f t="shared" si="29"/>
        <v>71612.798999999999</v>
      </c>
      <c r="AN10" s="113">
        <f t="shared" si="29"/>
        <v>36724.207000000002</v>
      </c>
      <c r="AO10" s="113">
        <f t="shared" si="29"/>
        <v>36777.338839999997</v>
      </c>
      <c r="AP10" s="113">
        <f t="shared" si="29"/>
        <v>73501.545840000006</v>
      </c>
      <c r="AQ10" s="113">
        <f t="shared" ref="AQ10:AU10" si="30">SUM(AQ7:AQ9)</f>
        <v>39210.6</v>
      </c>
      <c r="AR10" s="113">
        <f t="shared" si="30"/>
        <v>39847.5</v>
      </c>
      <c r="AS10" s="113">
        <f t="shared" si="30"/>
        <v>79058.100000000006</v>
      </c>
      <c r="AT10" s="113">
        <f t="shared" si="30"/>
        <v>45298.7</v>
      </c>
      <c r="AU10" s="113">
        <f t="shared" si="30"/>
        <v>47317.991600000001</v>
      </c>
      <c r="AV10" s="113">
        <f t="shared" si="18"/>
        <v>92616.691599999991</v>
      </c>
    </row>
    <row r="11" spans="1:48">
      <c r="A11" s="38" t="s">
        <v>160</v>
      </c>
      <c r="B11" s="39"/>
      <c r="C11" s="40"/>
      <c r="D11" s="124"/>
      <c r="E11" s="124"/>
      <c r="F11" s="110"/>
      <c r="G11" s="124"/>
      <c r="H11" s="124"/>
      <c r="I11" s="110"/>
      <c r="J11" s="124" t="str">
        <f t="shared" ref="J11:Z11" si="31">IF($A$1=2,J13,"")</f>
        <v/>
      </c>
      <c r="K11" s="124" t="str">
        <f t="shared" si="31"/>
        <v/>
      </c>
      <c r="L11" s="110"/>
      <c r="M11" s="124" t="str">
        <f t="shared" si="31"/>
        <v/>
      </c>
      <c r="N11" s="124" t="str">
        <f t="shared" si="31"/>
        <v/>
      </c>
      <c r="O11" s="110"/>
      <c r="P11" s="124" t="str">
        <f t="shared" si="31"/>
        <v/>
      </c>
      <c r="Q11" s="124" t="str">
        <f t="shared" si="31"/>
        <v/>
      </c>
      <c r="R11" s="110"/>
      <c r="S11" s="124" t="str">
        <f t="shared" si="31"/>
        <v/>
      </c>
      <c r="T11" s="124" t="str">
        <f t="shared" si="31"/>
        <v/>
      </c>
      <c r="U11" s="110"/>
      <c r="V11" s="124" t="str">
        <f t="shared" si="31"/>
        <v/>
      </c>
      <c r="W11" s="124" t="str">
        <f t="shared" si="31"/>
        <v/>
      </c>
      <c r="X11" s="110"/>
      <c r="Y11" s="124" t="str">
        <f t="shared" si="31"/>
        <v/>
      </c>
      <c r="Z11" s="124" t="str">
        <f t="shared" si="31"/>
        <v/>
      </c>
      <c r="AA11" s="110"/>
      <c r="AB11" s="124"/>
      <c r="AC11" s="124" t="str">
        <f t="shared" ref="AC11:AE11" si="32">IF($A$1=2,AC13,"")</f>
        <v/>
      </c>
      <c r="AD11" s="110"/>
      <c r="AE11" s="122" t="str">
        <f t="shared" si="32"/>
        <v/>
      </c>
      <c r="AF11" s="122"/>
      <c r="AG11" s="110"/>
      <c r="AH11" s="122"/>
      <c r="AI11" s="122"/>
      <c r="AJ11" s="110"/>
      <c r="AK11" s="122"/>
      <c r="AL11" s="122"/>
      <c r="AM11" s="110"/>
      <c r="AN11" s="122"/>
      <c r="AO11" s="122"/>
      <c r="AP11" s="110"/>
      <c r="AQ11" s="122"/>
      <c r="AR11" s="122"/>
      <c r="AS11" s="110"/>
      <c r="AT11" s="122"/>
      <c r="AU11" s="122"/>
      <c r="AV11" s="109"/>
    </row>
    <row r="12" spans="1:48">
      <c r="A12" s="30"/>
      <c r="B12" s="31" t="s">
        <v>67</v>
      </c>
      <c r="C12" s="32" t="s">
        <v>160</v>
      </c>
      <c r="D12" s="29">
        <v>5242.8340000000007</v>
      </c>
      <c r="E12" s="29">
        <v>3778.3870000000002</v>
      </c>
      <c r="F12" s="109">
        <f>SUM(D12:E12)</f>
        <v>9021.2210000000014</v>
      </c>
      <c r="G12" s="29">
        <v>3483.953</v>
      </c>
      <c r="H12" s="29">
        <v>2499.489</v>
      </c>
      <c r="I12" s="109">
        <f>SUM(G12:H12)</f>
        <v>5983.442</v>
      </c>
      <c r="J12" s="29">
        <v>2423.2919999999999</v>
      </c>
      <c r="K12" s="29">
        <v>2784.8719999999998</v>
      </c>
      <c r="L12" s="109">
        <f>SUM(J12:K12)</f>
        <v>5208.1639999999998</v>
      </c>
      <c r="M12" s="29">
        <v>1909.6010000000001</v>
      </c>
      <c r="N12" s="29">
        <v>2433.085</v>
      </c>
      <c r="O12" s="109">
        <f>SUM(M12:N12)</f>
        <v>4342.6859999999997</v>
      </c>
      <c r="P12" s="29">
        <v>3016.308</v>
      </c>
      <c r="Q12" s="29">
        <v>2232.2350000000001</v>
      </c>
      <c r="R12" s="109">
        <f>SUM(P12:Q12)</f>
        <v>5248.5429999999997</v>
      </c>
      <c r="S12" s="29">
        <v>2454.9450000000002</v>
      </c>
      <c r="T12" s="29">
        <v>2006.895</v>
      </c>
      <c r="U12" s="109">
        <f>SUM(S12:T12)</f>
        <v>4461.84</v>
      </c>
      <c r="V12" s="29">
        <v>2550.89</v>
      </c>
      <c r="W12" s="29">
        <v>3245.875</v>
      </c>
      <c r="X12" s="109">
        <f>SUM(V12:W12)</f>
        <v>5796.7649999999994</v>
      </c>
      <c r="Y12" s="29">
        <v>3624.4293333333326</v>
      </c>
      <c r="Z12" s="33">
        <v>2985.953</v>
      </c>
      <c r="AA12" s="109">
        <f>SUM(Y12:Z12)</f>
        <v>6610.382333333333</v>
      </c>
      <c r="AB12" s="33">
        <v>2626.4749999999999</v>
      </c>
      <c r="AC12" s="29">
        <v>3206.453</v>
      </c>
      <c r="AD12" s="109">
        <f>SUM(AB12:AC12)</f>
        <v>5832.9279999999999</v>
      </c>
      <c r="AE12" s="34">
        <v>3291.1730000000002</v>
      </c>
      <c r="AF12" s="34">
        <v>2941.8319999999999</v>
      </c>
      <c r="AG12" s="109">
        <f>SUM(AE12:AF12)</f>
        <v>6233.0050000000001</v>
      </c>
      <c r="AH12" s="34">
        <v>2892.7860000000005</v>
      </c>
      <c r="AI12" s="34">
        <v>3500.915</v>
      </c>
      <c r="AJ12" s="109">
        <f>SUM(AH12:AI12)</f>
        <v>6393.7010000000009</v>
      </c>
      <c r="AK12" s="121">
        <v>2436.674</v>
      </c>
      <c r="AL12" s="121">
        <v>2280</v>
      </c>
      <c r="AM12" s="109">
        <f>SUM(AK12:AL12)</f>
        <v>4716.674</v>
      </c>
      <c r="AN12" s="121">
        <v>3346</v>
      </c>
      <c r="AO12" s="121">
        <v>3630</v>
      </c>
      <c r="AP12" s="109">
        <f>SUM(AN12:AO12)</f>
        <v>6976</v>
      </c>
      <c r="AQ12" s="121">
        <f>7204-3649</f>
        <v>3555</v>
      </c>
      <c r="AR12" s="121">
        <v>4670.7</v>
      </c>
      <c r="AS12" s="109">
        <f>SUM(AQ12:AR12)</f>
        <v>8225.7000000000007</v>
      </c>
      <c r="AT12" s="121">
        <f>SUM(8634.2-AR12)</f>
        <v>3963.5000000000009</v>
      </c>
      <c r="AU12" s="361">
        <v>7593.35196</v>
      </c>
      <c r="AV12" s="109">
        <f t="shared" si="18"/>
        <v>11556.85196</v>
      </c>
    </row>
    <row r="13" spans="1:48">
      <c r="A13" s="35"/>
      <c r="B13" s="36" t="s">
        <v>67</v>
      </c>
      <c r="C13" s="37" t="s">
        <v>161</v>
      </c>
      <c r="D13" s="113">
        <f t="shared" ref="D13:AI13" si="33">SUM(D12:D12)</f>
        <v>5242.8340000000007</v>
      </c>
      <c r="E13" s="113">
        <f t="shared" si="33"/>
        <v>3778.3870000000002</v>
      </c>
      <c r="F13" s="113">
        <f t="shared" ref="F13" si="34">SUM(F12:F12)</f>
        <v>9021.2210000000014</v>
      </c>
      <c r="G13" s="113">
        <f t="shared" si="33"/>
        <v>3483.953</v>
      </c>
      <c r="H13" s="113">
        <f t="shared" si="33"/>
        <v>2499.489</v>
      </c>
      <c r="I13" s="113">
        <f t="shared" ref="I13" si="35">SUM(I12:I12)</f>
        <v>5983.442</v>
      </c>
      <c r="J13" s="113">
        <f t="shared" si="33"/>
        <v>2423.2919999999999</v>
      </c>
      <c r="K13" s="113">
        <f t="shared" si="33"/>
        <v>2784.8719999999998</v>
      </c>
      <c r="L13" s="113">
        <f t="shared" si="33"/>
        <v>5208.1639999999998</v>
      </c>
      <c r="M13" s="113">
        <f t="shared" si="33"/>
        <v>1909.6010000000001</v>
      </c>
      <c r="N13" s="113">
        <f t="shared" si="33"/>
        <v>2433.085</v>
      </c>
      <c r="O13" s="113">
        <f t="shared" ref="O13" si="36">SUM(O12:O12)</f>
        <v>4342.6859999999997</v>
      </c>
      <c r="P13" s="113">
        <f t="shared" si="33"/>
        <v>3016.308</v>
      </c>
      <c r="Q13" s="113">
        <f t="shared" si="33"/>
        <v>2232.2350000000001</v>
      </c>
      <c r="R13" s="113">
        <f t="shared" ref="R13" si="37">SUM(R12:R12)</f>
        <v>5248.5429999999997</v>
      </c>
      <c r="S13" s="113">
        <f t="shared" si="33"/>
        <v>2454.9450000000002</v>
      </c>
      <c r="T13" s="113">
        <f t="shared" si="33"/>
        <v>2006.895</v>
      </c>
      <c r="U13" s="113">
        <f t="shared" ref="U13" si="38">SUM(U12:U12)</f>
        <v>4461.84</v>
      </c>
      <c r="V13" s="113">
        <f t="shared" si="33"/>
        <v>2550.89</v>
      </c>
      <c r="W13" s="113">
        <f t="shared" si="33"/>
        <v>3245.875</v>
      </c>
      <c r="X13" s="113">
        <f t="shared" ref="X13" si="39">SUM(X12:X12)</f>
        <v>5796.7649999999994</v>
      </c>
      <c r="Y13" s="113">
        <f t="shared" si="33"/>
        <v>3624.4293333333326</v>
      </c>
      <c r="Z13" s="113">
        <f t="shared" si="33"/>
        <v>2985.953</v>
      </c>
      <c r="AA13" s="113">
        <f t="shared" ref="AA13" si="40">SUM(AA12:AA12)</f>
        <v>6610.382333333333</v>
      </c>
      <c r="AB13" s="113">
        <f t="shared" si="33"/>
        <v>2626.4749999999999</v>
      </c>
      <c r="AC13" s="113">
        <f t="shared" si="33"/>
        <v>3206.453</v>
      </c>
      <c r="AD13" s="113">
        <f t="shared" ref="AD13" si="41">SUM(AD12:AD12)</f>
        <v>5832.9279999999999</v>
      </c>
      <c r="AE13" s="113">
        <f t="shared" si="33"/>
        <v>3291.1730000000002</v>
      </c>
      <c r="AF13" s="113">
        <f t="shared" si="33"/>
        <v>2941.8319999999999</v>
      </c>
      <c r="AG13" s="113">
        <f t="shared" ref="AG13" si="42">SUM(AG12:AG12)</f>
        <v>6233.0050000000001</v>
      </c>
      <c r="AH13" s="113">
        <f t="shared" si="33"/>
        <v>2892.7860000000005</v>
      </c>
      <c r="AI13" s="113">
        <f t="shared" si="33"/>
        <v>3500.915</v>
      </c>
      <c r="AJ13" s="113">
        <f t="shared" ref="AJ13:AP13" si="43">SUM(AJ12:AJ12)</f>
        <v>6393.7010000000009</v>
      </c>
      <c r="AK13" s="113">
        <f t="shared" si="43"/>
        <v>2436.674</v>
      </c>
      <c r="AL13" s="113">
        <f t="shared" si="43"/>
        <v>2280</v>
      </c>
      <c r="AM13" s="113">
        <f t="shared" si="43"/>
        <v>4716.674</v>
      </c>
      <c r="AN13" s="113">
        <f t="shared" si="43"/>
        <v>3346</v>
      </c>
      <c r="AO13" s="113">
        <f t="shared" si="43"/>
        <v>3630</v>
      </c>
      <c r="AP13" s="113">
        <f t="shared" si="43"/>
        <v>6976</v>
      </c>
      <c r="AQ13" s="113">
        <f t="shared" ref="AQ13:AU13" si="44">SUM(AQ12:AQ12)</f>
        <v>3555</v>
      </c>
      <c r="AR13" s="113">
        <f t="shared" si="44"/>
        <v>4670.7</v>
      </c>
      <c r="AS13" s="113">
        <f t="shared" si="44"/>
        <v>8225.7000000000007</v>
      </c>
      <c r="AT13" s="113">
        <f t="shared" si="44"/>
        <v>3963.5000000000009</v>
      </c>
      <c r="AU13" s="113">
        <f t="shared" si="44"/>
        <v>7593.35196</v>
      </c>
      <c r="AV13" s="113">
        <f t="shared" si="18"/>
        <v>11556.85196</v>
      </c>
    </row>
    <row r="14" spans="1:48">
      <c r="A14" s="41" t="s">
        <v>182</v>
      </c>
      <c r="B14" s="39"/>
      <c r="C14" s="40"/>
      <c r="D14" s="124"/>
      <c r="E14" s="124"/>
      <c r="F14" s="110"/>
      <c r="G14" s="124"/>
      <c r="H14" s="124"/>
      <c r="I14" s="110"/>
      <c r="J14" s="124" t="str">
        <f t="shared" ref="J14:Z14" si="45">IF($A$1=2,J19,"")</f>
        <v/>
      </c>
      <c r="K14" s="124" t="str">
        <f t="shared" si="45"/>
        <v/>
      </c>
      <c r="L14" s="110"/>
      <c r="M14" s="124" t="str">
        <f t="shared" si="45"/>
        <v/>
      </c>
      <c r="N14" s="124" t="str">
        <f t="shared" si="45"/>
        <v/>
      </c>
      <c r="O14" s="110"/>
      <c r="P14" s="124" t="str">
        <f t="shared" si="45"/>
        <v/>
      </c>
      <c r="Q14" s="124" t="str">
        <f t="shared" si="45"/>
        <v/>
      </c>
      <c r="R14" s="110"/>
      <c r="S14" s="124" t="str">
        <f t="shared" si="45"/>
        <v/>
      </c>
      <c r="T14" s="124" t="str">
        <f t="shared" si="45"/>
        <v/>
      </c>
      <c r="U14" s="110"/>
      <c r="V14" s="124" t="str">
        <f t="shared" si="45"/>
        <v/>
      </c>
      <c r="W14" s="124" t="str">
        <f t="shared" si="45"/>
        <v/>
      </c>
      <c r="X14" s="110"/>
      <c r="Y14" s="124" t="str">
        <f t="shared" si="45"/>
        <v/>
      </c>
      <c r="Z14" s="124" t="str">
        <f t="shared" si="45"/>
        <v/>
      </c>
      <c r="AA14" s="110"/>
      <c r="AB14" s="124"/>
      <c r="AC14" s="124" t="str">
        <f t="shared" ref="AC14:AE14" si="46">IF($A$1=2,AC19,"")</f>
        <v/>
      </c>
      <c r="AD14" s="110"/>
      <c r="AE14" s="122" t="str">
        <f t="shared" si="46"/>
        <v/>
      </c>
      <c r="AF14" s="122"/>
      <c r="AG14" s="112"/>
      <c r="AH14" s="122"/>
      <c r="AI14" s="122"/>
      <c r="AJ14" s="110"/>
      <c r="AK14" s="122"/>
      <c r="AL14" s="122"/>
      <c r="AM14" s="110"/>
      <c r="AN14" s="122"/>
      <c r="AO14" s="122"/>
      <c r="AP14" s="110"/>
      <c r="AQ14" s="122"/>
      <c r="AR14" s="122"/>
      <c r="AS14" s="110"/>
      <c r="AT14" s="122"/>
      <c r="AU14" s="122"/>
      <c r="AV14" s="109"/>
    </row>
    <row r="15" spans="1:48">
      <c r="A15" s="42"/>
      <c r="B15" s="31" t="s">
        <v>67</v>
      </c>
      <c r="C15" s="32" t="s">
        <v>36</v>
      </c>
      <c r="D15" s="43">
        <v>-2302.6831299999999</v>
      </c>
      <c r="E15" s="43">
        <v>-4175.5217199999997</v>
      </c>
      <c r="F15" s="111">
        <f t="shared" ref="F15:F18" si="47">SUM(D15:E15)</f>
        <v>-6478.2048500000001</v>
      </c>
      <c r="G15" s="43">
        <v>-3856.8195299999998</v>
      </c>
      <c r="H15" s="43">
        <v>-4729.6519699999999</v>
      </c>
      <c r="I15" s="111">
        <f t="shared" ref="I15:I18" si="48">SUM(G15:H15)</f>
        <v>-8586.4714999999997</v>
      </c>
      <c r="J15" s="43">
        <v>-6396.1463400000002</v>
      </c>
      <c r="K15" s="43">
        <v>-10202.25676</v>
      </c>
      <c r="L15" s="111">
        <f t="shared" ref="L15:L18" si="49">SUM(J15:K15)</f>
        <v>-16598.4031</v>
      </c>
      <c r="M15" s="43">
        <v>-15293.2772</v>
      </c>
      <c r="N15" s="43">
        <v>-9489.1837199999991</v>
      </c>
      <c r="O15" s="111">
        <f t="shared" ref="O15:O18" si="50">SUM(M15:N15)</f>
        <v>-24782.460919999998</v>
      </c>
      <c r="P15" s="43">
        <v>-8849.7237399999995</v>
      </c>
      <c r="Q15" s="44">
        <v>-6118.2261800000006</v>
      </c>
      <c r="R15" s="111">
        <f t="shared" ref="R15:R18" si="51">SUM(P15:Q15)</f>
        <v>-14967.949919999999</v>
      </c>
      <c r="S15" s="43">
        <v>-8235.4788799999988</v>
      </c>
      <c r="T15" s="44">
        <v>-4989.3020199999992</v>
      </c>
      <c r="U15" s="111">
        <f t="shared" ref="U15:U18" si="52">SUM(S15:T15)</f>
        <v>-13224.780899999998</v>
      </c>
      <c r="V15" s="44">
        <v>-4182.807670000002</v>
      </c>
      <c r="W15" s="44">
        <v>-3796.8893599999997</v>
      </c>
      <c r="X15" s="111">
        <f t="shared" ref="X15:X18" si="53">SUM(V15:W15)</f>
        <v>-7979.6970300000012</v>
      </c>
      <c r="Y15" s="43">
        <f>-7480-W15</f>
        <v>-3683.1106400000003</v>
      </c>
      <c r="Z15" s="43">
        <v>-8080.8313900000003</v>
      </c>
      <c r="AA15" s="111">
        <f t="shared" ref="AA15:AA18" si="54">SUM(Y15:Z15)</f>
        <v>-11763.94203</v>
      </c>
      <c r="AB15" s="43">
        <v>-7101.4365299999999</v>
      </c>
      <c r="AC15" s="44">
        <v>-5989.1487500000003</v>
      </c>
      <c r="AD15" s="111">
        <f t="shared" ref="AD15:AD18" si="55">SUM(AB15:AC15)</f>
        <v>-13090.585279999999</v>
      </c>
      <c r="AE15" s="44">
        <v>-7440.8778000000002</v>
      </c>
      <c r="AF15" s="44">
        <v>-3890.37165</v>
      </c>
      <c r="AG15" s="111">
        <f t="shared" ref="AG15:AG18" si="56">SUM(AE15:AF15)</f>
        <v>-11331.249449999999</v>
      </c>
      <c r="AH15" s="44">
        <v>-4075.9837699999998</v>
      </c>
      <c r="AI15" s="44">
        <v>-3388.7999999999997</v>
      </c>
      <c r="AJ15" s="111">
        <f t="shared" ref="AJ15:AJ18" si="57">SUM(AH15:AI15)</f>
        <v>-7464.78377</v>
      </c>
      <c r="AK15" s="123">
        <v>-3947.0957599999997</v>
      </c>
      <c r="AL15" s="123">
        <v>-4101.3830500000004</v>
      </c>
      <c r="AM15" s="111">
        <f t="shared" ref="AM15:AM18" si="58">SUM(AK15:AL15)</f>
        <v>-8048.4788100000005</v>
      </c>
      <c r="AN15" s="123">
        <v>-3582.9861799999999</v>
      </c>
      <c r="AO15" s="123">
        <v>-2567.7553600000001</v>
      </c>
      <c r="AP15" s="111">
        <f t="shared" ref="AP15:AP18" si="59">SUM(AN15:AO15)</f>
        <v>-6150.74154</v>
      </c>
      <c r="AQ15" s="123">
        <f>SUM(5424.1-2567.7)*-1</f>
        <v>-2856.4000000000005</v>
      </c>
      <c r="AR15" s="123">
        <v>-2735</v>
      </c>
      <c r="AS15" s="111">
        <f t="shared" ref="AS15:AS18" si="60">SUM(AQ15:AR15)</f>
        <v>-5591.4000000000005</v>
      </c>
      <c r="AT15" s="123">
        <f>SUM(5455.9+AR15)*-1</f>
        <v>-2720.8999999999996</v>
      </c>
      <c r="AU15" s="364">
        <v>-3036.6734999999999</v>
      </c>
      <c r="AV15" s="109">
        <f t="shared" si="18"/>
        <v>-5757.5734999999995</v>
      </c>
    </row>
    <row r="16" spans="1:48">
      <c r="A16" s="42"/>
      <c r="B16" s="31"/>
      <c r="C16" s="32" t="s">
        <v>37</v>
      </c>
      <c r="D16" s="43">
        <v>-14965.68881</v>
      </c>
      <c r="E16" s="43">
        <v>-13508.223679999999</v>
      </c>
      <c r="F16" s="111">
        <f t="shared" si="47"/>
        <v>-28473.912489999999</v>
      </c>
      <c r="G16" s="43">
        <v>-12170.68152</v>
      </c>
      <c r="H16" s="43">
        <v>-14451.274439999999</v>
      </c>
      <c r="I16" s="111">
        <f t="shared" si="48"/>
        <v>-26621.955959999999</v>
      </c>
      <c r="J16" s="43">
        <v>-12957.19377</v>
      </c>
      <c r="K16" s="43">
        <v>-9860.1922500000001</v>
      </c>
      <c r="L16" s="111">
        <f t="shared" si="49"/>
        <v>-22817.386019999998</v>
      </c>
      <c r="M16" s="43">
        <v>-7667.4301000000014</v>
      </c>
      <c r="N16" s="43">
        <v>-7181.3393699999997</v>
      </c>
      <c r="O16" s="111">
        <f t="shared" si="50"/>
        <v>-14848.769470000001</v>
      </c>
      <c r="P16" s="43">
        <v>-6091.3846599999997</v>
      </c>
      <c r="Q16" s="44">
        <v>-4770.5717100000002</v>
      </c>
      <c r="R16" s="111">
        <f t="shared" si="51"/>
        <v>-10861.95637</v>
      </c>
      <c r="S16" s="43">
        <v>-10816.63934</v>
      </c>
      <c r="T16" s="44">
        <v>-4670.2184899999993</v>
      </c>
      <c r="U16" s="111">
        <f t="shared" si="52"/>
        <v>-15486.857829999999</v>
      </c>
      <c r="V16" s="44">
        <v>-6072.6997900000006</v>
      </c>
      <c r="W16" s="44">
        <v>-6289.9336600000006</v>
      </c>
      <c r="X16" s="111">
        <f t="shared" si="53"/>
        <v>-12362.633450000001</v>
      </c>
      <c r="Y16" s="43">
        <f>-13238.98452-W16</f>
        <v>-6949.0508599999994</v>
      </c>
      <c r="Z16" s="43">
        <v>-4110.6206099999999</v>
      </c>
      <c r="AA16" s="111">
        <f t="shared" si="54"/>
        <v>-11059.671469999999</v>
      </c>
      <c r="AB16" s="43">
        <v>-4230.2818200000002</v>
      </c>
      <c r="AC16" s="44">
        <v>-3744.7686999999996</v>
      </c>
      <c r="AD16" s="111">
        <f t="shared" si="55"/>
        <v>-7975.0505199999998</v>
      </c>
      <c r="AE16" s="44">
        <v>-3265.9370400000007</v>
      </c>
      <c r="AF16" s="44">
        <v>-3493.3436799999999</v>
      </c>
      <c r="AG16" s="111">
        <f t="shared" si="56"/>
        <v>-6759.2807200000007</v>
      </c>
      <c r="AH16" s="44">
        <v>-3920.6247499999999</v>
      </c>
      <c r="AI16" s="44">
        <v>-3188.7</v>
      </c>
      <c r="AJ16" s="111">
        <f t="shared" si="57"/>
        <v>-7109.3247499999998</v>
      </c>
      <c r="AK16" s="123">
        <v>-2810.8364899999997</v>
      </c>
      <c r="AL16" s="123">
        <v>-2447.22138</v>
      </c>
      <c r="AM16" s="111">
        <f t="shared" si="58"/>
        <v>-5258.0578699999996</v>
      </c>
      <c r="AN16" s="123">
        <v>-3778.2434400000006</v>
      </c>
      <c r="AO16" s="123">
        <v>-4495.8909800000001</v>
      </c>
      <c r="AP16" s="111">
        <f t="shared" si="59"/>
        <v>-8274.1344200000003</v>
      </c>
      <c r="AQ16" s="123">
        <f>SUM(9140.8-4495.9)*-1</f>
        <v>-4644.8999999999996</v>
      </c>
      <c r="AR16" s="123">
        <v>-4106.8999999999996</v>
      </c>
      <c r="AS16" s="111">
        <f t="shared" si="60"/>
        <v>-8751.7999999999993</v>
      </c>
      <c r="AT16" s="123">
        <f>SUM(8111.5+AR16)*-1</f>
        <v>-4004.6000000000004</v>
      </c>
      <c r="AU16" s="364">
        <v>-4699.6237000000001</v>
      </c>
      <c r="AV16" s="109">
        <f t="shared" si="18"/>
        <v>-8704.2237000000005</v>
      </c>
    </row>
    <row r="17" spans="1:48">
      <c r="A17" s="42"/>
      <c r="B17" s="31" t="s">
        <v>67</v>
      </c>
      <c r="C17" s="32" t="s">
        <v>38</v>
      </c>
      <c r="D17" s="43">
        <v>-10142.567590000001</v>
      </c>
      <c r="E17" s="43">
        <v>-29085.852940000001</v>
      </c>
      <c r="F17" s="111">
        <f t="shared" si="47"/>
        <v>-39228.420530000003</v>
      </c>
      <c r="G17" s="43">
        <v>-36413.317589999991</v>
      </c>
      <c r="H17" s="43">
        <v>-26262.950390000002</v>
      </c>
      <c r="I17" s="111">
        <f t="shared" si="48"/>
        <v>-62676.26797999999</v>
      </c>
      <c r="J17" s="43">
        <v>-26478.004949999999</v>
      </c>
      <c r="K17" s="43">
        <v>-17281.430130000001</v>
      </c>
      <c r="L17" s="111">
        <f t="shared" si="49"/>
        <v>-43759.435079999996</v>
      </c>
      <c r="M17" s="43">
        <v>-15666.84923</v>
      </c>
      <c r="N17" s="43">
        <v>-10099.12522</v>
      </c>
      <c r="O17" s="111">
        <f t="shared" si="50"/>
        <v>-25765.974450000002</v>
      </c>
      <c r="P17" s="43">
        <v>-13564.544629999999</v>
      </c>
      <c r="Q17" s="44">
        <v>-12347.937910000001</v>
      </c>
      <c r="R17" s="111">
        <f t="shared" si="51"/>
        <v>-25912.482539999997</v>
      </c>
      <c r="S17" s="43">
        <v>-18060.092710000001</v>
      </c>
      <c r="T17" s="44">
        <v>-11014.733179999999</v>
      </c>
      <c r="U17" s="111">
        <f t="shared" si="52"/>
        <v>-29074.82589</v>
      </c>
      <c r="V17" s="44">
        <v>-7422.5300000000025</v>
      </c>
      <c r="W17" s="44">
        <v>-7397.5540000000001</v>
      </c>
      <c r="X17" s="111">
        <f t="shared" si="53"/>
        <v>-14820.084000000003</v>
      </c>
      <c r="Y17" s="43">
        <f>-13332.2995-W17</f>
        <v>-5934.7454999999991</v>
      </c>
      <c r="Z17" s="43">
        <v>-5470.5299599999998</v>
      </c>
      <c r="AA17" s="111">
        <f t="shared" si="54"/>
        <v>-11405.275459999999</v>
      </c>
      <c r="AB17" s="43">
        <v>-4584.2164300000004</v>
      </c>
      <c r="AC17" s="44">
        <v>-8137.2686700000004</v>
      </c>
      <c r="AD17" s="111">
        <f t="shared" si="55"/>
        <v>-12721.485100000002</v>
      </c>
      <c r="AE17" s="44">
        <v>-8033.4586899999995</v>
      </c>
      <c r="AF17" s="44">
        <v>-7116.5591999999997</v>
      </c>
      <c r="AG17" s="111">
        <f t="shared" si="56"/>
        <v>-15150.017889999999</v>
      </c>
      <c r="AH17" s="44">
        <v>-10541.830599999999</v>
      </c>
      <c r="AI17" s="44">
        <v>-16693.8</v>
      </c>
      <c r="AJ17" s="111">
        <f t="shared" si="57"/>
        <v>-27235.630599999997</v>
      </c>
      <c r="AK17" s="123">
        <v>-15612.816930000001</v>
      </c>
      <c r="AL17" s="123">
        <v>-10542.343369999999</v>
      </c>
      <c r="AM17" s="111">
        <f t="shared" si="58"/>
        <v>-26155.1603</v>
      </c>
      <c r="AN17" s="123">
        <v>-13736.73007</v>
      </c>
      <c r="AO17" s="123">
        <v>-14495.502480000001</v>
      </c>
      <c r="AP17" s="111">
        <f t="shared" si="59"/>
        <v>-28232.232550000001</v>
      </c>
      <c r="AQ17" s="123">
        <f>SUM(30942.4-14495.5)*-1</f>
        <v>-16446.900000000001</v>
      </c>
      <c r="AR17" s="123">
        <v>-14342.8</v>
      </c>
      <c r="AS17" s="111">
        <f t="shared" si="60"/>
        <v>-30789.7</v>
      </c>
      <c r="AT17" s="123">
        <f>SUM(29794.2+AR17)*-1</f>
        <v>-15451.400000000001</v>
      </c>
      <c r="AU17" s="364">
        <v>-18086.700140000001</v>
      </c>
      <c r="AV17" s="109">
        <f t="shared" si="18"/>
        <v>-33538.100140000002</v>
      </c>
    </row>
    <row r="18" spans="1:48">
      <c r="A18" s="42"/>
      <c r="B18" s="31" t="s">
        <v>67</v>
      </c>
      <c r="C18" s="32" t="s">
        <v>160</v>
      </c>
      <c r="D18" s="43">
        <v>-6809.30951</v>
      </c>
      <c r="E18" s="43">
        <v>-6463.2319200000002</v>
      </c>
      <c r="F18" s="111">
        <f t="shared" si="47"/>
        <v>-13272.541430000001</v>
      </c>
      <c r="G18" s="43">
        <v>-4907.5781000000006</v>
      </c>
      <c r="H18" s="43">
        <v>-6551.0944199999994</v>
      </c>
      <c r="I18" s="111">
        <f t="shared" si="48"/>
        <v>-11458.67252</v>
      </c>
      <c r="J18" s="43">
        <v>-4439.9508600000008</v>
      </c>
      <c r="K18" s="43">
        <v>-4892.7221</v>
      </c>
      <c r="L18" s="111">
        <f t="shared" si="49"/>
        <v>-9332.6729599999999</v>
      </c>
      <c r="M18" s="43">
        <v>-4644.3177299999998</v>
      </c>
      <c r="N18" s="43">
        <f>-5178.704</f>
        <v>-5178.7039999999997</v>
      </c>
      <c r="O18" s="111">
        <f t="shared" si="50"/>
        <v>-9823.0217300000004</v>
      </c>
      <c r="P18" s="43">
        <f>-3412.6847</f>
        <v>-3412.6846999999998</v>
      </c>
      <c r="Q18" s="44">
        <v>-2764.0488299999997</v>
      </c>
      <c r="R18" s="111">
        <f t="shared" si="51"/>
        <v>-6176.7335299999995</v>
      </c>
      <c r="S18" s="43">
        <v>-3724.64527</v>
      </c>
      <c r="T18" s="44">
        <v>-3975.5850799999998</v>
      </c>
      <c r="U18" s="111">
        <f t="shared" si="52"/>
        <v>-7700.2303499999998</v>
      </c>
      <c r="V18" s="44">
        <v>-4533.1389900000004</v>
      </c>
      <c r="W18" s="44">
        <v>-4507.6935600000006</v>
      </c>
      <c r="X18" s="111">
        <f t="shared" si="53"/>
        <v>-9040.832550000001</v>
      </c>
      <c r="Y18" s="43">
        <f>-9339.20363333333-W18</f>
        <v>-4831.5100733333302</v>
      </c>
      <c r="Z18" s="43">
        <v>-4265.2063099999996</v>
      </c>
      <c r="AA18" s="111">
        <f t="shared" si="54"/>
        <v>-9096.7163833333288</v>
      </c>
      <c r="AB18" s="43">
        <v>-3586.5846300000003</v>
      </c>
      <c r="AC18" s="44">
        <v>-5560.2043199999998</v>
      </c>
      <c r="AD18" s="111">
        <f t="shared" si="55"/>
        <v>-9146.7889500000001</v>
      </c>
      <c r="AE18" s="44">
        <v>-5807.0218900000009</v>
      </c>
      <c r="AF18" s="44">
        <v>-5159.5659999999998</v>
      </c>
      <c r="AG18" s="111">
        <f t="shared" si="56"/>
        <v>-10966.587890000001</v>
      </c>
      <c r="AH18" s="44">
        <v>-5263.7276000000002</v>
      </c>
      <c r="AI18" s="44">
        <v>-4494.5999999999995</v>
      </c>
      <c r="AJ18" s="111">
        <f t="shared" si="57"/>
        <v>-9758.3276000000005</v>
      </c>
      <c r="AK18" s="123">
        <v>-3822.3263900000002</v>
      </c>
      <c r="AL18" s="123">
        <v>-5926.4419099999996</v>
      </c>
      <c r="AM18" s="111">
        <f t="shared" si="58"/>
        <v>-9748.7682999999997</v>
      </c>
      <c r="AN18" s="123">
        <v>-7298.8396899999989</v>
      </c>
      <c r="AO18" s="123">
        <v>-6853.47822</v>
      </c>
      <c r="AP18" s="111">
        <f t="shared" si="59"/>
        <v>-14152.317909999998</v>
      </c>
      <c r="AQ18" s="123">
        <f>SUM(12589.3-6853.4)*-1</f>
        <v>-5735.9</v>
      </c>
      <c r="AR18" s="123">
        <v>-7106.9</v>
      </c>
      <c r="AS18" s="111">
        <f t="shared" si="60"/>
        <v>-12842.8</v>
      </c>
      <c r="AT18" s="123">
        <f>SUM(13408.6+AR18)*-1</f>
        <v>-6301.7000000000007</v>
      </c>
      <c r="AU18" s="364">
        <v>-7727.0982199999999</v>
      </c>
      <c r="AV18" s="109">
        <f t="shared" si="18"/>
        <v>-14028.798220000001</v>
      </c>
    </row>
    <row r="19" spans="1:48">
      <c r="A19" s="45"/>
      <c r="B19" s="36" t="s">
        <v>67</v>
      </c>
      <c r="C19" s="37" t="s">
        <v>89</v>
      </c>
      <c r="D19" s="114">
        <f t="shared" ref="D19:E19" si="61">SUM(D15:D18)</f>
        <v>-34220.249040000002</v>
      </c>
      <c r="E19" s="114">
        <f t="shared" si="61"/>
        <v>-53232.830259999995</v>
      </c>
      <c r="F19" s="114">
        <f t="shared" ref="F19:H19" si="62">SUM(F15:F18)</f>
        <v>-87453.079299999998</v>
      </c>
      <c r="G19" s="114">
        <f t="shared" si="62"/>
        <v>-57348.396739999989</v>
      </c>
      <c r="H19" s="114">
        <f t="shared" si="62"/>
        <v>-51994.971219999999</v>
      </c>
      <c r="I19" s="114">
        <f t="shared" ref="I19" si="63">SUM(I15:I18)</f>
        <v>-109343.36795999997</v>
      </c>
      <c r="J19" s="114">
        <f t="shared" ref="J19:AI19" si="64">SUM(J15:J18)</f>
        <v>-50271.295920000004</v>
      </c>
      <c r="K19" s="114">
        <f t="shared" si="64"/>
        <v>-42236.601240000004</v>
      </c>
      <c r="L19" s="114">
        <f t="shared" si="64"/>
        <v>-92507.897159999993</v>
      </c>
      <c r="M19" s="114">
        <f t="shared" si="64"/>
        <v>-43271.874260000004</v>
      </c>
      <c r="N19" s="114">
        <f t="shared" si="64"/>
        <v>-31948.352309999995</v>
      </c>
      <c r="O19" s="114">
        <f t="shared" ref="O19" si="65">SUM(O15:O18)</f>
        <v>-75220.226569999999</v>
      </c>
      <c r="P19" s="114">
        <f t="shared" si="64"/>
        <v>-31918.337729999999</v>
      </c>
      <c r="Q19" s="114">
        <f t="shared" si="64"/>
        <v>-26000.784630000002</v>
      </c>
      <c r="R19" s="114">
        <f t="shared" ref="R19" si="66">SUM(R15:R18)</f>
        <v>-57919.122359999994</v>
      </c>
      <c r="S19" s="114">
        <f t="shared" si="64"/>
        <v>-40836.856200000002</v>
      </c>
      <c r="T19" s="114">
        <f t="shared" si="64"/>
        <v>-24649.838769999998</v>
      </c>
      <c r="U19" s="114">
        <f t="shared" ref="U19" si="67">SUM(U15:U18)</f>
        <v>-65486.694969999997</v>
      </c>
      <c r="V19" s="114">
        <f t="shared" si="64"/>
        <v>-22211.176450000006</v>
      </c>
      <c r="W19" s="114">
        <f t="shared" si="64"/>
        <v>-21992.07058</v>
      </c>
      <c r="X19" s="114">
        <f t="shared" ref="X19" si="68">SUM(X15:X18)</f>
        <v>-44203.247030000006</v>
      </c>
      <c r="Y19" s="114">
        <f t="shared" si="64"/>
        <v>-21398.41707333333</v>
      </c>
      <c r="Z19" s="114">
        <f t="shared" si="64"/>
        <v>-21927.188269999999</v>
      </c>
      <c r="AA19" s="114">
        <f t="shared" ref="AA19" si="69">SUM(AA15:AA18)</f>
        <v>-43325.605343333329</v>
      </c>
      <c r="AB19" s="114">
        <f t="shared" si="64"/>
        <v>-19502.519410000001</v>
      </c>
      <c r="AC19" s="114">
        <f t="shared" si="64"/>
        <v>-23431.390440000003</v>
      </c>
      <c r="AD19" s="114">
        <f t="shared" ref="AD19" si="70">SUM(AD15:AD18)</f>
        <v>-42933.909850000004</v>
      </c>
      <c r="AE19" s="114">
        <f t="shared" si="64"/>
        <v>-24547.295419999999</v>
      </c>
      <c r="AF19" s="114">
        <f t="shared" si="64"/>
        <v>-19659.840529999998</v>
      </c>
      <c r="AG19" s="114">
        <f t="shared" ref="AG19" si="71">SUM(AG15:AG18)</f>
        <v>-44207.135950000004</v>
      </c>
      <c r="AH19" s="114">
        <f t="shared" si="64"/>
        <v>-23802.166720000001</v>
      </c>
      <c r="AI19" s="114">
        <f t="shared" si="64"/>
        <v>-27765.899999999998</v>
      </c>
      <c r="AJ19" s="114">
        <f t="shared" ref="AJ19:AP19" si="72">SUM(AJ15:AJ18)</f>
        <v>-51568.066720000003</v>
      </c>
      <c r="AK19" s="114">
        <f t="shared" si="72"/>
        <v>-26193.075570000001</v>
      </c>
      <c r="AL19" s="114">
        <f t="shared" si="72"/>
        <v>-23017.389709999996</v>
      </c>
      <c r="AM19" s="114">
        <f t="shared" si="72"/>
        <v>-49210.465280000004</v>
      </c>
      <c r="AN19" s="114">
        <f t="shared" si="72"/>
        <v>-28396.799379999997</v>
      </c>
      <c r="AO19" s="114">
        <f t="shared" si="72"/>
        <v>-28412.627040000003</v>
      </c>
      <c r="AP19" s="114">
        <f t="shared" si="72"/>
        <v>-56809.426420000003</v>
      </c>
      <c r="AQ19" s="114">
        <f t="shared" ref="AQ19:AU19" si="73">SUM(AQ15:AQ18)</f>
        <v>-29684.1</v>
      </c>
      <c r="AR19" s="114">
        <f t="shared" si="73"/>
        <v>-28291.599999999999</v>
      </c>
      <c r="AS19" s="114">
        <f t="shared" si="73"/>
        <v>-57975.7</v>
      </c>
      <c r="AT19" s="114">
        <f t="shared" si="73"/>
        <v>-28478.600000000002</v>
      </c>
      <c r="AU19" s="114">
        <f t="shared" si="73"/>
        <v>-33550.095560000002</v>
      </c>
      <c r="AV19" s="114">
        <f t="shared" si="18"/>
        <v>-62028.695560000007</v>
      </c>
    </row>
    <row r="20" spans="1:48">
      <c r="A20" s="41" t="s">
        <v>183</v>
      </c>
      <c r="B20" s="39"/>
      <c r="C20" s="40"/>
      <c r="D20" s="124"/>
      <c r="E20" s="124"/>
      <c r="F20" s="110"/>
      <c r="G20" s="124"/>
      <c r="H20" s="124"/>
      <c r="I20" s="110"/>
      <c r="J20" s="124"/>
      <c r="K20" s="124"/>
      <c r="L20" s="110"/>
      <c r="M20" s="124"/>
      <c r="N20" s="124"/>
      <c r="O20" s="110"/>
      <c r="P20" s="124"/>
      <c r="Q20" s="124"/>
      <c r="R20" s="110"/>
      <c r="S20" s="124"/>
      <c r="T20" s="124"/>
      <c r="U20" s="110"/>
      <c r="V20" s="124"/>
      <c r="W20" s="124"/>
      <c r="X20" s="110"/>
      <c r="Y20" s="124"/>
      <c r="Z20" s="124"/>
      <c r="AA20" s="110"/>
      <c r="AB20" s="124"/>
      <c r="AC20" s="124"/>
      <c r="AD20" s="110"/>
      <c r="AE20" s="124"/>
      <c r="AF20" s="124"/>
      <c r="AG20" s="110"/>
      <c r="AH20" s="124"/>
      <c r="AI20" s="124"/>
      <c r="AJ20" s="110"/>
      <c r="AK20" s="124"/>
      <c r="AL20" s="124"/>
      <c r="AM20" s="110"/>
      <c r="AN20" s="124"/>
      <c r="AO20" s="124"/>
      <c r="AP20" s="110"/>
      <c r="AQ20" s="124"/>
      <c r="AR20" s="124"/>
      <c r="AS20" s="110"/>
      <c r="AT20" s="124"/>
      <c r="AU20" s="124"/>
      <c r="AV20" s="109"/>
    </row>
    <row r="21" spans="1:48">
      <c r="A21" s="46"/>
      <c r="B21" s="47" t="s">
        <v>67</v>
      </c>
      <c r="C21" s="28" t="s">
        <v>92</v>
      </c>
      <c r="D21" s="114">
        <f t="shared" ref="D21:F21" si="74">D10+D13</f>
        <v>53923.862000000001</v>
      </c>
      <c r="E21" s="114">
        <f t="shared" si="74"/>
        <v>65462.296000000017</v>
      </c>
      <c r="F21" s="114">
        <f t="shared" si="74"/>
        <v>119386.15800000001</v>
      </c>
      <c r="G21" s="114">
        <f t="shared" ref="G21:H21" si="75">G10+G13</f>
        <v>76881.276999999973</v>
      </c>
      <c r="H21" s="114">
        <f t="shared" si="75"/>
        <v>59242.417000000001</v>
      </c>
      <c r="I21" s="114">
        <f t="shared" ref="I21" si="76">I10+I13</f>
        <v>136123.69399999999</v>
      </c>
      <c r="J21" s="114">
        <f>J10+J13</f>
        <v>57383.502000000008</v>
      </c>
      <c r="K21" s="114">
        <f t="shared" ref="K21:AI21" si="77">K10+K13</f>
        <v>49209.320999999996</v>
      </c>
      <c r="L21" s="114">
        <f t="shared" si="77"/>
        <v>106592.823</v>
      </c>
      <c r="M21" s="114">
        <f t="shared" si="77"/>
        <v>53653.964999999989</v>
      </c>
      <c r="N21" s="114">
        <f t="shared" si="77"/>
        <v>51379.567000000003</v>
      </c>
      <c r="O21" s="114">
        <f t="shared" ref="O21" si="78">O10+O13</f>
        <v>105033.53199999999</v>
      </c>
      <c r="P21" s="114">
        <f t="shared" si="77"/>
        <v>49385.258449999987</v>
      </c>
      <c r="Q21" s="114">
        <f t="shared" si="77"/>
        <v>46182.387000000002</v>
      </c>
      <c r="R21" s="114">
        <f t="shared" ref="R21" si="79">R10+R13</f>
        <v>95567.645449999982</v>
      </c>
      <c r="S21" s="114">
        <f t="shared" si="77"/>
        <v>52496.955999999998</v>
      </c>
      <c r="T21" s="114">
        <f t="shared" si="77"/>
        <v>40744.05999999999</v>
      </c>
      <c r="U21" s="114">
        <f t="shared" ref="U21" si="80">U10+U13</f>
        <v>93241.015999999989</v>
      </c>
      <c r="V21" s="114">
        <f t="shared" si="77"/>
        <v>44647.634999999995</v>
      </c>
      <c r="W21" s="114">
        <f t="shared" si="77"/>
        <v>39799.438999999998</v>
      </c>
      <c r="X21" s="114">
        <f t="shared" ref="X21" si="81">X10+X13</f>
        <v>84447.073999999993</v>
      </c>
      <c r="Y21" s="114">
        <f t="shared" si="77"/>
        <v>41436.357703333328</v>
      </c>
      <c r="Z21" s="114">
        <f t="shared" si="77"/>
        <v>34719.248959999997</v>
      </c>
      <c r="AA21" s="114">
        <f t="shared" ref="AA21" si="82">AA10+AA13</f>
        <v>76155.606663333325</v>
      </c>
      <c r="AB21" s="114">
        <f t="shared" si="77"/>
        <v>34197.892999999996</v>
      </c>
      <c r="AC21" s="114">
        <f t="shared" si="77"/>
        <v>40158.044900000001</v>
      </c>
      <c r="AD21" s="114">
        <f t="shared" ref="AD21" si="83">AD10+AD13</f>
        <v>74355.937900000004</v>
      </c>
      <c r="AE21" s="114">
        <f t="shared" si="77"/>
        <v>40948.555319999999</v>
      </c>
      <c r="AF21" s="114">
        <f t="shared" si="77"/>
        <v>35421.839</v>
      </c>
      <c r="AG21" s="114">
        <f t="shared" ref="AG21" si="84">AG10+AG13</f>
        <v>76370.394320000007</v>
      </c>
      <c r="AH21" s="114">
        <f t="shared" si="77"/>
        <v>41916.629999999997</v>
      </c>
      <c r="AI21" s="114">
        <f t="shared" si="77"/>
        <v>47866.468000000001</v>
      </c>
      <c r="AJ21" s="114">
        <f t="shared" ref="AJ21:AP21" si="85">AJ10+AJ13</f>
        <v>89783.097999999998</v>
      </c>
      <c r="AK21" s="114">
        <f t="shared" si="85"/>
        <v>42389.338000000003</v>
      </c>
      <c r="AL21" s="114">
        <f t="shared" si="85"/>
        <v>33940.135000000002</v>
      </c>
      <c r="AM21" s="114">
        <f t="shared" si="85"/>
        <v>76329.472999999998</v>
      </c>
      <c r="AN21" s="114">
        <f t="shared" si="85"/>
        <v>40070.207000000002</v>
      </c>
      <c r="AO21" s="114">
        <f t="shared" si="85"/>
        <v>40407.338839999997</v>
      </c>
      <c r="AP21" s="114">
        <f t="shared" si="85"/>
        <v>80477.545840000006</v>
      </c>
      <c r="AQ21" s="114">
        <f t="shared" ref="AQ21:AS21" si="86">AQ10+AQ13</f>
        <v>42765.599999999999</v>
      </c>
      <c r="AR21" s="114">
        <f t="shared" si="86"/>
        <v>44518.2</v>
      </c>
      <c r="AS21" s="114">
        <f t="shared" si="86"/>
        <v>87283.8</v>
      </c>
      <c r="AT21" s="114">
        <f t="shared" ref="AT21:AU21" si="87">AT10+AT13</f>
        <v>49262.2</v>
      </c>
      <c r="AU21" s="114">
        <f t="shared" si="87"/>
        <v>54911.343560000001</v>
      </c>
      <c r="AV21" s="114">
        <f t="shared" si="18"/>
        <v>104173.54355999999</v>
      </c>
    </row>
    <row r="22" spans="1:48">
      <c r="A22" s="48"/>
      <c r="B22" s="49" t="s">
        <v>67</v>
      </c>
      <c r="C22" s="50" t="s">
        <v>94</v>
      </c>
      <c r="D22" s="107">
        <f t="shared" ref="D22:F22" si="88">D21+D19</f>
        <v>19703.612959999999</v>
      </c>
      <c r="E22" s="107">
        <f t="shared" si="88"/>
        <v>12229.465740000021</v>
      </c>
      <c r="F22" s="107">
        <f t="shared" si="88"/>
        <v>31933.078700000013</v>
      </c>
      <c r="G22" s="107">
        <f t="shared" ref="G22:H22" si="89">G21+G19</f>
        <v>19532.880259999984</v>
      </c>
      <c r="H22" s="107">
        <f t="shared" si="89"/>
        <v>7247.4457800000018</v>
      </c>
      <c r="I22" s="107">
        <f t="shared" ref="I22" si="90">I21+I19</f>
        <v>26780.326040000014</v>
      </c>
      <c r="J22" s="107">
        <f>J21+J19</f>
        <v>7112.2060800000036</v>
      </c>
      <c r="K22" s="107">
        <f t="shared" ref="K22:AI22" si="91">K21+K19</f>
        <v>6972.7197599999927</v>
      </c>
      <c r="L22" s="107">
        <f t="shared" si="91"/>
        <v>14084.925840000011</v>
      </c>
      <c r="M22" s="107">
        <f t="shared" si="91"/>
        <v>10382.090739999985</v>
      </c>
      <c r="N22" s="107">
        <f t="shared" si="91"/>
        <v>19431.214690000008</v>
      </c>
      <c r="O22" s="107">
        <f t="shared" ref="O22" si="92">O21+O19</f>
        <v>29813.305429999993</v>
      </c>
      <c r="P22" s="107">
        <f t="shared" si="91"/>
        <v>17466.920719999987</v>
      </c>
      <c r="Q22" s="107">
        <f t="shared" si="91"/>
        <v>20181.602370000001</v>
      </c>
      <c r="R22" s="107">
        <f t="shared" ref="R22" si="93">R21+R19</f>
        <v>37648.523089999988</v>
      </c>
      <c r="S22" s="107">
        <f t="shared" si="91"/>
        <v>11660.099799999996</v>
      </c>
      <c r="T22" s="107">
        <f t="shared" si="91"/>
        <v>16094.221229999992</v>
      </c>
      <c r="U22" s="107">
        <f t="shared" ref="U22" si="94">U21+U19</f>
        <v>27754.321029999992</v>
      </c>
      <c r="V22" s="107">
        <f t="shared" si="91"/>
        <v>22436.458549999988</v>
      </c>
      <c r="W22" s="107">
        <f t="shared" si="91"/>
        <v>17807.368419999999</v>
      </c>
      <c r="X22" s="107">
        <f t="shared" ref="X22" si="95">X21+X19</f>
        <v>40243.826969999987</v>
      </c>
      <c r="Y22" s="107">
        <f t="shared" si="91"/>
        <v>20037.940629999997</v>
      </c>
      <c r="Z22" s="107">
        <f t="shared" si="91"/>
        <v>12792.060689999998</v>
      </c>
      <c r="AA22" s="107">
        <f t="shared" ref="AA22" si="96">AA21+AA19</f>
        <v>32830.001319999996</v>
      </c>
      <c r="AB22" s="107">
        <f t="shared" si="91"/>
        <v>14695.373589999996</v>
      </c>
      <c r="AC22" s="107">
        <f t="shared" si="91"/>
        <v>16726.654459999998</v>
      </c>
      <c r="AD22" s="107">
        <f t="shared" ref="AD22" si="97">AD21+AD19</f>
        <v>31422.028050000001</v>
      </c>
      <c r="AE22" s="107">
        <f t="shared" si="91"/>
        <v>16401.259900000001</v>
      </c>
      <c r="AF22" s="107">
        <f t="shared" si="91"/>
        <v>15761.998470000002</v>
      </c>
      <c r="AG22" s="107">
        <f t="shared" ref="AG22" si="98">AG21+AG19</f>
        <v>32163.258370000003</v>
      </c>
      <c r="AH22" s="107">
        <f t="shared" si="91"/>
        <v>18114.463279999996</v>
      </c>
      <c r="AI22" s="107">
        <f t="shared" si="91"/>
        <v>20100.568000000003</v>
      </c>
      <c r="AJ22" s="107">
        <f t="shared" ref="AJ22:AP22" si="99">AJ21+AJ19</f>
        <v>38215.031279999996</v>
      </c>
      <c r="AK22" s="107">
        <f t="shared" si="99"/>
        <v>16196.262430000002</v>
      </c>
      <c r="AL22" s="107">
        <f t="shared" si="99"/>
        <v>10922.745290000006</v>
      </c>
      <c r="AM22" s="107">
        <f t="shared" si="99"/>
        <v>27119.007719999994</v>
      </c>
      <c r="AN22" s="107">
        <f t="shared" si="99"/>
        <v>11673.407620000005</v>
      </c>
      <c r="AO22" s="107">
        <f t="shared" si="99"/>
        <v>11994.711799999994</v>
      </c>
      <c r="AP22" s="107">
        <f t="shared" si="99"/>
        <v>23668.119420000003</v>
      </c>
      <c r="AQ22" s="107">
        <f t="shared" ref="AQ22:AS22" si="100">AQ21+AQ19</f>
        <v>13081.5</v>
      </c>
      <c r="AR22" s="107">
        <f t="shared" si="100"/>
        <v>16226.599999999999</v>
      </c>
      <c r="AS22" s="107">
        <f t="shared" si="100"/>
        <v>29308.100000000006</v>
      </c>
      <c r="AT22" s="107">
        <f t="shared" ref="AT22:AU22" si="101">AT21+AT19</f>
        <v>20783.599999999995</v>
      </c>
      <c r="AU22" s="107">
        <f t="shared" si="101"/>
        <v>21361.248</v>
      </c>
      <c r="AV22" s="107">
        <f t="shared" si="18"/>
        <v>42144.847999999998</v>
      </c>
    </row>
    <row r="24" spans="1:48" ht="15">
      <c r="C24" t="s">
        <v>145</v>
      </c>
      <c r="F24" s="251">
        <v>44209.069147098511</v>
      </c>
      <c r="G24" s="251"/>
      <c r="H24" s="251"/>
      <c r="I24" s="251">
        <v>51553.902097072008</v>
      </c>
      <c r="J24" s="251"/>
      <c r="K24" s="251"/>
      <c r="L24" s="251">
        <v>45971.712798669738</v>
      </c>
      <c r="M24" s="251"/>
      <c r="N24" s="251"/>
      <c r="O24" s="251">
        <v>42982.974000000002</v>
      </c>
      <c r="P24" s="251"/>
      <c r="Q24" s="251"/>
      <c r="R24" s="251">
        <v>30403.365000000002</v>
      </c>
      <c r="S24" s="251"/>
      <c r="T24" s="251"/>
      <c r="U24" s="251">
        <v>32719.851999999999</v>
      </c>
      <c r="V24" s="251"/>
      <c r="W24" s="251"/>
      <c r="X24" s="251">
        <v>27968.168000000001</v>
      </c>
      <c r="Y24" s="251"/>
      <c r="Z24" s="251"/>
      <c r="AA24" s="251">
        <v>29249.756000000001</v>
      </c>
      <c r="AB24" s="251"/>
      <c r="AC24" s="251"/>
      <c r="AD24" s="251">
        <v>25112.641</v>
      </c>
      <c r="AE24" s="251"/>
      <c r="AF24" s="251"/>
      <c r="AG24" s="251">
        <v>23729.047999999999</v>
      </c>
      <c r="AH24" s="251"/>
      <c r="AI24" s="251"/>
      <c r="AJ24" s="251">
        <v>27394.317999999999</v>
      </c>
      <c r="AK24" s="251"/>
      <c r="AL24" s="251"/>
      <c r="AM24" s="251">
        <v>28002.702000000001</v>
      </c>
      <c r="AN24" s="251"/>
      <c r="AO24" s="251"/>
      <c r="AP24" s="251">
        <v>36747.807000000001</v>
      </c>
      <c r="AS24" s="251">
        <f>18551.8+SUM(30076.5-16748)</f>
        <v>31880.3</v>
      </c>
      <c r="AT24" s="251">
        <f>37007.6-18551.8</f>
        <v>18455.8</v>
      </c>
      <c r="AU24" s="6">
        <v>22872</v>
      </c>
      <c r="AV24" s="251">
        <f>AT24+AU24</f>
        <v>41327.800000000003</v>
      </c>
    </row>
    <row r="26" spans="1:48" ht="13.9" customHeight="1">
      <c r="C26" s="279" t="s">
        <v>184</v>
      </c>
      <c r="D26" s="280"/>
      <c r="E26" s="280"/>
      <c r="F26" s="280"/>
      <c r="G26" s="280"/>
      <c r="H26" s="280"/>
      <c r="I26" s="280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3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</row>
    <row r="27" spans="1:48">
      <c r="C27" s="280" t="s">
        <v>185</v>
      </c>
      <c r="D27" s="280">
        <v>18</v>
      </c>
      <c r="E27" s="280">
        <v>178</v>
      </c>
      <c r="F27" s="280">
        <v>195</v>
      </c>
      <c r="G27" s="280">
        <v>119</v>
      </c>
      <c r="H27" s="280">
        <v>246</v>
      </c>
      <c r="I27" s="280">
        <v>365</v>
      </c>
      <c r="J27" s="280">
        <v>102</v>
      </c>
      <c r="K27" s="280">
        <v>68</v>
      </c>
      <c r="L27" s="280">
        <v>170</v>
      </c>
      <c r="M27" s="280">
        <v>103</v>
      </c>
      <c r="N27" s="280">
        <v>34</v>
      </c>
      <c r="O27" s="280">
        <v>137</v>
      </c>
      <c r="P27" s="280">
        <v>62</v>
      </c>
      <c r="Q27" s="280">
        <v>399</v>
      </c>
      <c r="R27" s="280">
        <v>461</v>
      </c>
      <c r="S27" s="280">
        <v>219</v>
      </c>
      <c r="T27" s="280">
        <v>619</v>
      </c>
      <c r="U27" s="280">
        <v>838</v>
      </c>
      <c r="V27" s="284">
        <v>18</v>
      </c>
      <c r="W27" s="280">
        <v>83</v>
      </c>
      <c r="X27" s="280">
        <v>101</v>
      </c>
      <c r="Y27" s="280">
        <v>98</v>
      </c>
      <c r="Z27" s="280">
        <v>190</v>
      </c>
      <c r="AA27" s="280">
        <v>288</v>
      </c>
      <c r="AB27" s="280">
        <v>278</v>
      </c>
      <c r="AC27" s="286">
        <v>2406</v>
      </c>
      <c r="AD27" s="286">
        <v>2684</v>
      </c>
      <c r="AE27" s="286">
        <v>9760</v>
      </c>
      <c r="AF27" s="286">
        <v>2129</v>
      </c>
      <c r="AG27" s="286">
        <v>11889</v>
      </c>
      <c r="AH27" s="286">
        <v>3499</v>
      </c>
      <c r="AI27" s="286">
        <v>5554</v>
      </c>
      <c r="AJ27" s="286">
        <v>9053</v>
      </c>
      <c r="AK27" s="286">
        <v>4657</v>
      </c>
      <c r="AL27" s="286">
        <v>4052</v>
      </c>
      <c r="AM27" s="286">
        <v>8709</v>
      </c>
      <c r="AN27" s="286">
        <v>4021</v>
      </c>
      <c r="AO27" s="286">
        <v>5994</v>
      </c>
      <c r="AP27" s="286">
        <v>10015</v>
      </c>
      <c r="AQ27" s="286">
        <v>3698</v>
      </c>
      <c r="AR27" s="286">
        <v>5548</v>
      </c>
      <c r="AS27" s="286">
        <v>9246</v>
      </c>
      <c r="AT27" s="286">
        <v>4045</v>
      </c>
      <c r="AU27" s="362">
        <v>4880.2742700000008</v>
      </c>
      <c r="AV27" s="286">
        <f>SUM(AT27:AU27)</f>
        <v>8925.2742700000017</v>
      </c>
    </row>
    <row r="28" spans="1:48">
      <c r="C28" s="280" t="s">
        <v>186</v>
      </c>
      <c r="D28" s="280">
        <v>-16</v>
      </c>
      <c r="E28" s="280">
        <v>-162</v>
      </c>
      <c r="F28" s="280">
        <v>-178</v>
      </c>
      <c r="G28" s="280">
        <v>-203</v>
      </c>
      <c r="H28" s="280">
        <v>-356</v>
      </c>
      <c r="I28" s="280">
        <v>-559</v>
      </c>
      <c r="J28" s="280">
        <v>-84</v>
      </c>
      <c r="K28" s="280">
        <v>-326</v>
      </c>
      <c r="L28" s="280">
        <v>-410</v>
      </c>
      <c r="M28" s="280">
        <v>-77</v>
      </c>
      <c r="N28" s="280">
        <v>-270</v>
      </c>
      <c r="O28" s="280">
        <v>-348</v>
      </c>
      <c r="P28" s="280">
        <v>-71</v>
      </c>
      <c r="Q28" s="280">
        <v>-461</v>
      </c>
      <c r="R28" s="280">
        <v>-532</v>
      </c>
      <c r="S28" s="280">
        <v>-318</v>
      </c>
      <c r="T28" s="280">
        <v>-599</v>
      </c>
      <c r="U28" s="280">
        <v>-917</v>
      </c>
      <c r="V28" s="284">
        <v>-144</v>
      </c>
      <c r="W28" s="280">
        <v>-175</v>
      </c>
      <c r="X28" s="280">
        <v>-319</v>
      </c>
      <c r="Y28" s="280">
        <v>-186</v>
      </c>
      <c r="Z28" s="280">
        <v>-332</v>
      </c>
      <c r="AA28" s="280">
        <v>-518</v>
      </c>
      <c r="AB28" s="280">
        <v>-383</v>
      </c>
      <c r="AC28" s="286">
        <v>-2839</v>
      </c>
      <c r="AD28" s="286">
        <v>-3222</v>
      </c>
      <c r="AE28" s="286">
        <v>-15460</v>
      </c>
      <c r="AF28" s="286">
        <v>-3354</v>
      </c>
      <c r="AG28" s="286">
        <v>-18814</v>
      </c>
      <c r="AH28" s="286">
        <v>-5314</v>
      </c>
      <c r="AI28" s="286">
        <v>-6209</v>
      </c>
      <c r="AJ28" s="286">
        <v>-11523</v>
      </c>
      <c r="AK28" s="286">
        <v>-5735</v>
      </c>
      <c r="AL28" s="286">
        <v>-5088</v>
      </c>
      <c r="AM28" s="286">
        <v>-10823</v>
      </c>
      <c r="AN28" s="286">
        <v>-4942</v>
      </c>
      <c r="AO28" s="286">
        <v>-6353</v>
      </c>
      <c r="AP28" s="286">
        <v>-11295</v>
      </c>
      <c r="AQ28" s="286">
        <v>-4352</v>
      </c>
      <c r="AR28" s="286">
        <v>-6090</v>
      </c>
      <c r="AS28" s="286">
        <v>-10441</v>
      </c>
      <c r="AT28" s="286">
        <v>-4005</v>
      </c>
      <c r="AU28" s="364">
        <v>-6757</v>
      </c>
      <c r="AV28" s="286">
        <f t="shared" ref="AV28:AV29" si="102">SUM(AT28:AU28)</f>
        <v>-10762</v>
      </c>
    </row>
    <row r="29" spans="1:48">
      <c r="C29" s="287" t="s">
        <v>187</v>
      </c>
      <c r="D29" s="287">
        <v>2</v>
      </c>
      <c r="E29" s="287">
        <v>16</v>
      </c>
      <c r="F29" s="287">
        <v>18</v>
      </c>
      <c r="G29" s="287">
        <v>-84</v>
      </c>
      <c r="H29" s="287">
        <v>-110</v>
      </c>
      <c r="I29" s="287">
        <v>-194</v>
      </c>
      <c r="J29" s="287">
        <v>18</v>
      </c>
      <c r="K29" s="287">
        <v>-258</v>
      </c>
      <c r="L29" s="287">
        <v>-240</v>
      </c>
      <c r="M29" s="287">
        <v>26</v>
      </c>
      <c r="N29" s="287">
        <v>-237</v>
      </c>
      <c r="O29" s="287">
        <v>-211</v>
      </c>
      <c r="P29" s="287">
        <v>-9</v>
      </c>
      <c r="Q29" s="287">
        <v>-62</v>
      </c>
      <c r="R29" s="287">
        <v>-71</v>
      </c>
      <c r="S29" s="287">
        <v>-100</v>
      </c>
      <c r="T29" s="287">
        <v>21</v>
      </c>
      <c r="U29" s="287">
        <v>-79</v>
      </c>
      <c r="V29" s="288">
        <v>-125</v>
      </c>
      <c r="W29" s="287">
        <v>-92</v>
      </c>
      <c r="X29" s="287">
        <v>-218</v>
      </c>
      <c r="Y29" s="287">
        <v>-87</v>
      </c>
      <c r="Z29" s="287">
        <v>-142</v>
      </c>
      <c r="AA29" s="287">
        <v>-230</v>
      </c>
      <c r="AB29" s="287">
        <v>-105</v>
      </c>
      <c r="AC29" s="287">
        <v>-434</v>
      </c>
      <c r="AD29" s="287">
        <v>-539</v>
      </c>
      <c r="AE29" s="289">
        <v>-5700</v>
      </c>
      <c r="AF29" s="289">
        <v>-1225</v>
      </c>
      <c r="AG29" s="289">
        <v>-6925</v>
      </c>
      <c r="AH29" s="289">
        <v>-1815</v>
      </c>
      <c r="AI29" s="287">
        <v>-655</v>
      </c>
      <c r="AJ29" s="289">
        <v>-2470</v>
      </c>
      <c r="AK29" s="289">
        <v>-1078</v>
      </c>
      <c r="AL29" s="289">
        <v>-1036</v>
      </c>
      <c r="AM29" s="289">
        <v>-2114</v>
      </c>
      <c r="AN29" s="287">
        <v>-921</v>
      </c>
      <c r="AO29" s="287">
        <v>-359</v>
      </c>
      <c r="AP29" s="289">
        <v>-1280</v>
      </c>
      <c r="AQ29" s="287">
        <v>-654</v>
      </c>
      <c r="AR29" s="287">
        <v>-541</v>
      </c>
      <c r="AS29" s="289">
        <v>-1195</v>
      </c>
      <c r="AT29" s="367">
        <f>SUM(AT27:AT28)</f>
        <v>40</v>
      </c>
      <c r="AU29" s="367">
        <f>SUM(AU27:AU28)</f>
        <v>-1876.7257299999992</v>
      </c>
      <c r="AV29" s="286">
        <f t="shared" si="102"/>
        <v>-1836.7257299999992</v>
      </c>
    </row>
    <row r="30" spans="1:48">
      <c r="AO30" s="6" t="s">
        <v>188</v>
      </c>
      <c r="AP30" s="6" t="s">
        <v>189</v>
      </c>
    </row>
    <row r="31" spans="1:48">
      <c r="AO31" s="6" t="s">
        <v>37</v>
      </c>
      <c r="AP31" s="6" t="s">
        <v>190</v>
      </c>
    </row>
    <row r="32" spans="1:48">
      <c r="AO32" s="6" t="s">
        <v>191</v>
      </c>
      <c r="AP32" s="6" t="s">
        <v>192</v>
      </c>
    </row>
    <row r="33" spans="41:46">
      <c r="AO33" s="278" t="s">
        <v>193</v>
      </c>
      <c r="AP33" s="278" t="s">
        <v>194</v>
      </c>
      <c r="AQ33" s="278" t="s">
        <v>195</v>
      </c>
      <c r="AR33" s="278"/>
      <c r="AS33" s="278"/>
      <c r="AT33" s="278"/>
    </row>
  </sheetData>
  <mergeCells count="1">
    <mergeCell ref="J2:AF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BA6C-433F-4757-A29D-0AFB536D61EC}">
  <dimension ref="A1:BT49"/>
  <sheetViews>
    <sheetView showGridLines="0" zoomScaleNormal="100" workbookViewId="0">
      <pane xSplit="2" topLeftCell="C1" activePane="topRight" state="frozen"/>
      <selection pane="topRight" activeCell="C1" sqref="C1"/>
    </sheetView>
  </sheetViews>
  <sheetFormatPr defaultColWidth="9.28515625" defaultRowHeight="15"/>
  <cols>
    <col min="2" max="2" width="56.85546875" bestFit="1" customWidth="1"/>
    <col min="3" max="6" width="14.42578125" customWidth="1"/>
    <col min="7" max="10" width="14.28515625" customWidth="1"/>
    <col min="11" max="11" width="14.28515625" bestFit="1" customWidth="1"/>
    <col min="12" max="14" width="14.28515625" customWidth="1"/>
    <col min="15" max="15" width="14.28515625" bestFit="1" customWidth="1"/>
    <col min="16" max="18" width="14.28515625" customWidth="1"/>
    <col min="19" max="19" width="14.28515625" bestFit="1" customWidth="1"/>
    <col min="20" max="22" width="14.28515625" customWidth="1"/>
    <col min="23" max="23" width="14.28515625" bestFit="1" customWidth="1"/>
    <col min="24" max="26" width="14.28515625" customWidth="1"/>
    <col min="27" max="27" width="14.28515625" bestFit="1" customWidth="1"/>
    <col min="28" max="30" width="14.28515625" customWidth="1"/>
    <col min="31" max="31" width="14.28515625" bestFit="1" customWidth="1"/>
    <col min="32" max="34" width="14.28515625" customWidth="1"/>
    <col min="35" max="35" width="14.28515625" bestFit="1" customWidth="1"/>
    <col min="36" max="38" width="14.28515625" customWidth="1"/>
    <col min="39" max="39" width="14.28515625" bestFit="1" customWidth="1"/>
    <col min="42" max="42" width="11.28515625" bestFit="1" customWidth="1"/>
    <col min="43" max="43" width="9.5703125" bestFit="1" customWidth="1"/>
    <col min="44" max="45" width="10.140625" bestFit="1" customWidth="1"/>
    <col min="46" max="46" width="9.5703125" bestFit="1" customWidth="1"/>
    <col min="56" max="56" width="9.28515625" bestFit="1" customWidth="1"/>
    <col min="57" max="58" width="10.140625" bestFit="1" customWidth="1"/>
    <col min="59" max="59" width="9.5703125" bestFit="1" customWidth="1"/>
    <col min="60" max="60" width="9.28515625" bestFit="1" customWidth="1"/>
    <col min="61" max="61" width="10.140625" bestFit="1" customWidth="1"/>
  </cols>
  <sheetData>
    <row r="1" spans="1:72">
      <c r="A1" s="608" t="s">
        <v>196</v>
      </c>
      <c r="B1" s="609"/>
      <c r="C1" s="125" t="s">
        <v>197</v>
      </c>
      <c r="D1" s="125"/>
      <c r="E1" s="125"/>
      <c r="F1" s="125"/>
      <c r="G1" s="125" t="s">
        <v>198</v>
      </c>
      <c r="H1" s="125"/>
      <c r="I1" s="125"/>
      <c r="J1" s="125"/>
      <c r="K1" s="125" t="s">
        <v>199</v>
      </c>
      <c r="L1" s="125"/>
      <c r="M1" s="125"/>
      <c r="N1" s="125"/>
      <c r="O1" s="125" t="s">
        <v>200</v>
      </c>
      <c r="P1" s="125"/>
      <c r="Q1" s="125"/>
      <c r="R1" s="125"/>
      <c r="S1" s="125" t="s">
        <v>201</v>
      </c>
      <c r="T1" s="125"/>
      <c r="U1" s="125"/>
      <c r="V1" s="125"/>
      <c r="W1" s="125" t="s">
        <v>202</v>
      </c>
      <c r="X1" s="125"/>
      <c r="Y1" s="125"/>
      <c r="Z1" s="125"/>
      <c r="AA1" s="125" t="s">
        <v>203</v>
      </c>
      <c r="AB1" s="125"/>
      <c r="AC1" s="125"/>
      <c r="AD1" s="125"/>
      <c r="AE1" s="125" t="s">
        <v>204</v>
      </c>
      <c r="AF1" s="125"/>
      <c r="AG1" s="125"/>
      <c r="AH1" s="125"/>
      <c r="AI1" s="125" t="s">
        <v>205</v>
      </c>
      <c r="AJ1" s="125"/>
      <c r="AK1" s="125"/>
      <c r="AL1" s="125"/>
      <c r="AM1" s="125" t="s">
        <v>206</v>
      </c>
      <c r="AN1" s="125"/>
      <c r="AO1" s="125"/>
      <c r="AP1" s="125"/>
      <c r="AQ1" s="125" t="s">
        <v>207</v>
      </c>
      <c r="AR1" s="125"/>
      <c r="AS1" s="125"/>
      <c r="AT1" s="125"/>
      <c r="AU1" s="125" t="s">
        <v>208</v>
      </c>
      <c r="AV1" s="125"/>
      <c r="AW1" s="125"/>
      <c r="AX1" s="125"/>
      <c r="AY1" s="132" t="s">
        <v>209</v>
      </c>
      <c r="AZ1" s="125"/>
      <c r="BA1" s="125"/>
      <c r="BB1" s="125"/>
      <c r="BC1" s="259"/>
      <c r="BD1" s="259"/>
      <c r="BE1" s="259"/>
      <c r="BF1" s="260" t="s">
        <v>276</v>
      </c>
      <c r="BG1" s="259"/>
      <c r="BH1" s="259"/>
      <c r="BI1" s="378" t="s">
        <v>299</v>
      </c>
      <c r="BJ1" s="377"/>
      <c r="BK1" s="259"/>
      <c r="BL1" s="259"/>
      <c r="BM1" s="316" t="s">
        <v>269</v>
      </c>
      <c r="BN1" s="374" t="s">
        <v>267</v>
      </c>
      <c r="BO1" s="315" t="s">
        <v>268</v>
      </c>
      <c r="BQ1" s="374" t="s">
        <v>298</v>
      </c>
      <c r="BR1" s="315" t="s">
        <v>297</v>
      </c>
      <c r="BT1" s="315" t="s">
        <v>296</v>
      </c>
    </row>
    <row r="2" spans="1:72">
      <c r="A2" s="90" t="s">
        <v>210</v>
      </c>
      <c r="B2" s="91" t="s">
        <v>211</v>
      </c>
      <c r="C2" s="103">
        <v>-15.713769999999998</v>
      </c>
      <c r="D2" s="103"/>
      <c r="E2" s="103"/>
      <c r="F2" s="103"/>
      <c r="G2" s="103">
        <v>-50.491</v>
      </c>
      <c r="H2" s="103"/>
      <c r="I2" s="103"/>
      <c r="J2" s="103"/>
      <c r="K2" s="103">
        <f>-24.636-8</f>
        <v>-32.635999999999996</v>
      </c>
      <c r="L2" s="103"/>
      <c r="M2" s="103"/>
      <c r="N2" s="103"/>
      <c r="O2" s="103">
        <v>-5.0339999999999998</v>
      </c>
      <c r="P2" s="103"/>
      <c r="Q2" s="103"/>
      <c r="R2" s="103"/>
      <c r="S2" s="103">
        <v>-20.841999999999999</v>
      </c>
      <c r="T2" s="103"/>
      <c r="U2" s="103"/>
      <c r="V2" s="103"/>
      <c r="W2" s="103">
        <v>-12.309999999999999</v>
      </c>
      <c r="X2" s="103"/>
      <c r="Y2" s="103"/>
      <c r="Z2" s="103"/>
      <c r="AA2" s="103">
        <v>-30.85</v>
      </c>
      <c r="AB2" s="103"/>
      <c r="AC2" s="103"/>
      <c r="AD2" s="103"/>
      <c r="AE2" s="103">
        <v>-259.19506999999999</v>
      </c>
      <c r="AF2" s="103"/>
      <c r="AG2" s="103"/>
      <c r="AH2" s="103"/>
      <c r="AI2" s="103">
        <v>-23.16724000000001</v>
      </c>
      <c r="AJ2" s="103"/>
      <c r="AK2" s="103"/>
      <c r="AL2" s="103"/>
      <c r="AM2" s="103">
        <v>1.2999999999999401E-2</v>
      </c>
      <c r="AN2" s="103"/>
      <c r="AO2" s="103"/>
      <c r="AP2" s="103"/>
      <c r="AQ2" s="103">
        <v>-28.117999999999999</v>
      </c>
      <c r="AR2" s="103"/>
      <c r="AS2" s="103"/>
      <c r="AT2" s="103"/>
      <c r="AU2" s="103">
        <v>-373.78995000000003</v>
      </c>
      <c r="AV2" s="103"/>
      <c r="AW2" s="103"/>
      <c r="AX2" s="103"/>
      <c r="AY2" s="103">
        <v>-2973.4901599999998</v>
      </c>
      <c r="AZ2" s="103"/>
      <c r="BA2" s="103"/>
      <c r="BB2" s="103"/>
      <c r="BC2" s="259"/>
      <c r="BD2" s="259"/>
      <c r="BE2" s="259"/>
      <c r="BF2" s="261">
        <f>-(BN2+BO2)</f>
        <v>-2354.6999999999998</v>
      </c>
      <c r="BG2" s="259"/>
      <c r="BH2" s="259"/>
      <c r="BI2" s="376">
        <f t="shared" ref="BI2:BI9" si="0">-SUM(BQ2:BR2)</f>
        <v>-2667.7401499999996</v>
      </c>
      <c r="BJ2" s="103"/>
      <c r="BK2" s="259"/>
      <c r="BL2" s="259"/>
      <c r="BN2" s="371">
        <v>1238.8</v>
      </c>
      <c r="BO2" s="371">
        <v>1115.9000000000001</v>
      </c>
      <c r="BQ2" s="371">
        <f t="shared" ref="BQ2:BQ9" si="1">BT2-BO2</f>
        <v>1368.4159999999997</v>
      </c>
      <c r="BR2" s="371">
        <f>-1299324.15/(-1000)</f>
        <v>1299.3241499999999</v>
      </c>
      <c r="BT2">
        <v>2484.3159999999998</v>
      </c>
    </row>
    <row r="3" spans="1:72">
      <c r="A3" s="90" t="s">
        <v>190</v>
      </c>
      <c r="B3" s="91" t="s">
        <v>212</v>
      </c>
      <c r="C3" s="103">
        <v>-31856.072210000002</v>
      </c>
      <c r="D3" s="103"/>
      <c r="E3" s="103"/>
      <c r="F3" s="103"/>
      <c r="G3" s="103">
        <v>-28529.475409999999</v>
      </c>
      <c r="H3" s="103"/>
      <c r="I3" s="103"/>
      <c r="J3" s="103"/>
      <c r="K3" s="103">
        <v>-22817.386019999998</v>
      </c>
      <c r="L3" s="103"/>
      <c r="M3" s="103"/>
      <c r="N3" s="103"/>
      <c r="O3" s="103">
        <v>-14858.180969999999</v>
      </c>
      <c r="P3" s="103"/>
      <c r="Q3" s="103"/>
      <c r="R3" s="103"/>
      <c r="S3" s="103">
        <v>-10861.95637</v>
      </c>
      <c r="T3" s="103"/>
      <c r="U3" s="103"/>
      <c r="V3" s="103"/>
      <c r="W3" s="103">
        <v>-14235.11283</v>
      </c>
      <c r="X3" s="103"/>
      <c r="Y3" s="103"/>
      <c r="Z3" s="103"/>
      <c r="AA3" s="103">
        <v>-12286.533449999999</v>
      </c>
      <c r="AB3" s="103"/>
      <c r="AC3" s="103"/>
      <c r="AD3" s="103"/>
      <c r="AE3" s="103">
        <v>-8695.2565099999993</v>
      </c>
      <c r="AF3" s="103"/>
      <c r="AG3" s="103"/>
      <c r="AH3" s="103"/>
      <c r="AI3" s="103">
        <v>-7639.0505200000007</v>
      </c>
      <c r="AJ3" s="103"/>
      <c r="AK3" s="103"/>
      <c r="AL3" s="103"/>
      <c r="AM3" s="103">
        <v>-7095.2807200000007</v>
      </c>
      <c r="AN3" s="103"/>
      <c r="AO3" s="103"/>
      <c r="AP3" s="103"/>
      <c r="AQ3" s="103">
        <v>-7109.3062200000004</v>
      </c>
      <c r="AR3" s="103"/>
      <c r="AS3" s="103"/>
      <c r="AT3" s="103"/>
      <c r="AU3" s="103">
        <v>-5258.0578699999996</v>
      </c>
      <c r="AV3" s="103"/>
      <c r="AW3" s="103"/>
      <c r="AX3" s="103"/>
      <c r="AY3" s="103">
        <v>-8274.1344200000003</v>
      </c>
      <c r="AZ3" s="103"/>
      <c r="BA3" s="103"/>
      <c r="BB3" s="103"/>
      <c r="BC3" s="259"/>
      <c r="BD3" s="259"/>
      <c r="BE3" s="259"/>
      <c r="BF3" s="261">
        <f t="shared" ref="BF3:BF10" si="2">-(BN3+BO3)</f>
        <v>-8751.7999999999993</v>
      </c>
      <c r="BG3" s="259"/>
      <c r="BH3" s="259"/>
      <c r="BI3" s="376">
        <f t="shared" si="0"/>
        <v>-8704.3087000000014</v>
      </c>
      <c r="BJ3" s="103"/>
      <c r="BK3" s="259"/>
      <c r="BL3" s="259"/>
      <c r="BN3" s="371">
        <v>4644.8999999999996</v>
      </c>
      <c r="BO3" s="371">
        <v>4106.8999999999996</v>
      </c>
      <c r="BQ3" s="371">
        <f t="shared" si="1"/>
        <v>4004.6850000000004</v>
      </c>
      <c r="BR3" s="371">
        <f>-4699623.7/(-1000)</f>
        <v>4699.6237000000001</v>
      </c>
      <c r="BT3">
        <v>8111.585</v>
      </c>
    </row>
    <row r="4" spans="1:72">
      <c r="A4" s="90" t="s">
        <v>192</v>
      </c>
      <c r="B4" s="91" t="s">
        <v>213</v>
      </c>
      <c r="C4" s="103">
        <v>-40596.494030000002</v>
      </c>
      <c r="D4" s="103"/>
      <c r="E4" s="103"/>
      <c r="F4" s="103"/>
      <c r="G4" s="103">
        <v>-72821.374779999998</v>
      </c>
      <c r="H4" s="103"/>
      <c r="I4" s="103"/>
      <c r="J4" s="103"/>
      <c r="K4" s="103">
        <v>-43759.435079999996</v>
      </c>
      <c r="L4" s="103"/>
      <c r="M4" s="103"/>
      <c r="N4" s="103"/>
      <c r="O4" s="103">
        <v>-25765.974450000002</v>
      </c>
      <c r="P4" s="103"/>
      <c r="Q4" s="103"/>
      <c r="R4" s="103"/>
      <c r="S4" s="103">
        <v>-25912.482539999997</v>
      </c>
      <c r="T4" s="103"/>
      <c r="U4" s="103"/>
      <c r="V4" s="103"/>
      <c r="W4" s="103">
        <v>-29074.82589</v>
      </c>
      <c r="X4" s="103"/>
      <c r="Y4" s="103"/>
      <c r="Z4" s="103"/>
      <c r="AA4" s="103">
        <v>-14820.084000000003</v>
      </c>
      <c r="AB4" s="103"/>
      <c r="AC4" s="103"/>
      <c r="AD4" s="103"/>
      <c r="AE4" s="103">
        <v>-11740.49453</v>
      </c>
      <c r="AF4" s="103"/>
      <c r="AG4" s="103"/>
      <c r="AH4" s="103"/>
      <c r="AI4" s="103">
        <v>-12123.485100000002</v>
      </c>
      <c r="AJ4" s="103"/>
      <c r="AK4" s="103"/>
      <c r="AL4" s="103"/>
      <c r="AM4" s="103">
        <v>-14771.517889999999</v>
      </c>
      <c r="AN4" s="103"/>
      <c r="AO4" s="103"/>
      <c r="AP4" s="103"/>
      <c r="AQ4" s="103">
        <v>-27235.669870000002</v>
      </c>
      <c r="AR4" s="103"/>
      <c r="AS4" s="103"/>
      <c r="AT4" s="103"/>
      <c r="AU4" s="103">
        <v>-26155.160299999996</v>
      </c>
      <c r="AV4" s="103"/>
      <c r="AW4" s="103"/>
      <c r="AX4" s="103"/>
      <c r="AY4" s="103">
        <v>-28232.232550000001</v>
      </c>
      <c r="AZ4" s="103"/>
      <c r="BA4" s="103"/>
      <c r="BB4" s="103"/>
      <c r="BC4" s="259"/>
      <c r="BD4" s="259"/>
      <c r="BE4" s="259"/>
      <c r="BF4" s="261">
        <f t="shared" si="2"/>
        <v>-30789.8</v>
      </c>
      <c r="BG4" s="259"/>
      <c r="BH4" s="259"/>
      <c r="BI4" s="376">
        <f t="shared" si="0"/>
        <v>-33538.106140000004</v>
      </c>
      <c r="BJ4" s="103"/>
      <c r="BK4" s="259"/>
      <c r="BL4" s="259"/>
      <c r="BN4" s="371">
        <v>16447</v>
      </c>
      <c r="BO4" s="371">
        <v>14342.8</v>
      </c>
      <c r="BQ4" s="371">
        <f t="shared" si="1"/>
        <v>15451.405999999999</v>
      </c>
      <c r="BR4" s="371">
        <f>-18086700.14/(-1000)</f>
        <v>18086.700140000001</v>
      </c>
      <c r="BT4">
        <v>29794.205999999998</v>
      </c>
    </row>
    <row r="5" spans="1:72">
      <c r="A5" s="90" t="s">
        <v>214</v>
      </c>
      <c r="B5" s="91" t="s">
        <v>215</v>
      </c>
      <c r="C5" s="103">
        <v>-4844.3691500000004</v>
      </c>
      <c r="D5" s="103"/>
      <c r="E5" s="103"/>
      <c r="F5" s="103"/>
      <c r="G5" s="103">
        <v>-1423.5055299999997</v>
      </c>
      <c r="H5" s="103"/>
      <c r="I5" s="103"/>
      <c r="J5" s="103"/>
      <c r="K5" s="103">
        <v>-247.79960000000003</v>
      </c>
      <c r="L5" s="103"/>
      <c r="M5" s="103"/>
      <c r="N5" s="103"/>
      <c r="O5" s="103">
        <v>-348.05250000000001</v>
      </c>
      <c r="P5" s="103"/>
      <c r="Q5" s="103"/>
      <c r="R5" s="103"/>
      <c r="S5" s="103">
        <v>-2732.96666</v>
      </c>
      <c r="T5" s="103"/>
      <c r="U5" s="103"/>
      <c r="V5" s="103"/>
      <c r="W5" s="103">
        <v>-6745.1039799999999</v>
      </c>
      <c r="X5" s="103"/>
      <c r="Y5" s="103"/>
      <c r="Z5" s="103"/>
      <c r="AA5" s="103">
        <v>-8920.5855499999998</v>
      </c>
      <c r="AB5" s="103"/>
      <c r="AC5" s="103"/>
      <c r="AD5" s="103"/>
      <c r="AE5" s="103">
        <v>-5135.7661599999992</v>
      </c>
      <c r="AF5" s="103"/>
      <c r="AG5" s="103"/>
      <c r="AH5" s="103"/>
      <c r="AI5" s="103">
        <v>-7056.4640999999992</v>
      </c>
      <c r="AJ5" s="103"/>
      <c r="AK5" s="103"/>
      <c r="AL5" s="103"/>
      <c r="AM5" s="103">
        <v>-8105.483290000001</v>
      </c>
      <c r="AN5" s="103"/>
      <c r="AO5" s="103"/>
      <c r="AP5" s="103"/>
      <c r="AQ5" s="103">
        <v>-7483.5396000000001</v>
      </c>
      <c r="AR5" s="103"/>
      <c r="AS5" s="103"/>
      <c r="AT5" s="103"/>
      <c r="AU5" s="103">
        <v>-7933.6970000000001</v>
      </c>
      <c r="AV5" s="103"/>
      <c r="AW5" s="103"/>
      <c r="AX5" s="103"/>
      <c r="AY5" s="103">
        <v>-8760.054619999999</v>
      </c>
      <c r="AZ5" s="103"/>
      <c r="BA5" s="103"/>
      <c r="BB5" s="103"/>
      <c r="BC5" s="259"/>
      <c r="BD5" s="259"/>
      <c r="BE5" s="259"/>
      <c r="BF5" s="261">
        <f t="shared" si="2"/>
        <v>-7785.5</v>
      </c>
      <c r="BG5" s="259"/>
      <c r="BH5" s="259"/>
      <c r="BI5" s="376">
        <f t="shared" si="0"/>
        <v>-8644.8843400000005</v>
      </c>
      <c r="BJ5" s="103"/>
      <c r="BK5" s="259"/>
      <c r="BL5" s="259"/>
      <c r="BN5" s="371">
        <v>3700.9</v>
      </c>
      <c r="BO5" s="371">
        <v>4084.6</v>
      </c>
      <c r="BQ5" s="371">
        <f t="shared" si="1"/>
        <v>3494.0189999999998</v>
      </c>
      <c r="BR5" s="371">
        <f>-5150865.34/(-1000)</f>
        <v>5150.8653400000003</v>
      </c>
      <c r="BT5">
        <v>7578.6189999999997</v>
      </c>
    </row>
    <row r="6" spans="1:72">
      <c r="A6" s="90" t="s">
        <v>216</v>
      </c>
      <c r="B6" s="91" t="s">
        <v>217</v>
      </c>
      <c r="C6" s="103">
        <v>-2254.0067600000002</v>
      </c>
      <c r="D6" s="103"/>
      <c r="E6" s="103"/>
      <c r="F6" s="103"/>
      <c r="G6" s="103">
        <v>-2402.7390000000005</v>
      </c>
      <c r="H6" s="103"/>
      <c r="I6" s="103"/>
      <c r="J6" s="103"/>
      <c r="K6" s="103">
        <v>-2074.2480399999999</v>
      </c>
      <c r="L6" s="103"/>
      <c r="M6" s="103"/>
      <c r="N6" s="103"/>
      <c r="O6" s="103">
        <v>-1771.4409000000001</v>
      </c>
      <c r="P6" s="103"/>
      <c r="Q6" s="103"/>
      <c r="R6" s="103"/>
      <c r="S6" s="103">
        <v>-1676.13787</v>
      </c>
      <c r="T6" s="103"/>
      <c r="U6" s="103"/>
      <c r="V6" s="103"/>
      <c r="W6" s="103">
        <v>-2158.01361</v>
      </c>
      <c r="X6" s="103"/>
      <c r="Y6" s="103"/>
      <c r="Z6" s="103"/>
      <c r="AA6" s="103">
        <v>-2420.6334200000001</v>
      </c>
      <c r="AB6" s="103"/>
      <c r="AC6" s="103"/>
      <c r="AD6" s="103"/>
      <c r="AE6" s="103">
        <v>-6811.9126400000005</v>
      </c>
      <c r="AF6" s="103"/>
      <c r="AG6" s="103"/>
      <c r="AH6" s="103"/>
      <c r="AI6" s="103">
        <v>-5745.38436</v>
      </c>
      <c r="AJ6" s="103"/>
      <c r="AK6" s="103"/>
      <c r="AL6" s="103"/>
      <c r="AM6" s="103">
        <v>-3890.1390999999999</v>
      </c>
      <c r="AN6" s="103"/>
      <c r="AO6" s="103"/>
      <c r="AP6" s="103"/>
      <c r="AQ6" s="103">
        <v>-3351.6218100000001</v>
      </c>
      <c r="AR6" s="103"/>
      <c r="AS6" s="103"/>
      <c r="AT6" s="103"/>
      <c r="AU6" s="103">
        <v>-2933.8418099999999</v>
      </c>
      <c r="AV6" s="103"/>
      <c r="AW6" s="103"/>
      <c r="AX6" s="103"/>
      <c r="AY6" s="103">
        <v>-3186.5363799999996</v>
      </c>
      <c r="AZ6" s="103"/>
      <c r="BA6" s="103"/>
      <c r="BB6" s="103"/>
      <c r="BC6" s="259"/>
      <c r="BD6" s="259"/>
      <c r="BE6" s="259"/>
      <c r="BF6" s="261">
        <f t="shared" si="2"/>
        <v>-3237.6</v>
      </c>
      <c r="BG6" s="259"/>
      <c r="BH6" s="259"/>
      <c r="BI6" s="376">
        <f t="shared" si="0"/>
        <v>-3089.0323500000004</v>
      </c>
      <c r="BJ6" s="103"/>
      <c r="BK6" s="259"/>
      <c r="BL6" s="259"/>
      <c r="BN6" s="371">
        <v>1617.6</v>
      </c>
      <c r="BO6" s="371">
        <v>1620</v>
      </c>
      <c r="BQ6" s="371">
        <f t="shared" si="1"/>
        <v>1351.683</v>
      </c>
      <c r="BR6" s="371">
        <f>-1737349.35/(-1000)</f>
        <v>1737.3493500000002</v>
      </c>
      <c r="BT6">
        <v>2971.683</v>
      </c>
    </row>
    <row r="7" spans="1:72">
      <c r="A7" s="126" t="s">
        <v>218</v>
      </c>
      <c r="B7" s="91" t="s">
        <v>219</v>
      </c>
      <c r="C7" s="103">
        <v>-3595.1974099999998</v>
      </c>
      <c r="D7" s="103"/>
      <c r="E7" s="103"/>
      <c r="F7" s="103"/>
      <c r="G7" s="103">
        <v>-5976.1227699999999</v>
      </c>
      <c r="H7" s="103"/>
      <c r="I7" s="103"/>
      <c r="J7" s="103"/>
      <c r="K7" s="103">
        <v>-13969.03298</v>
      </c>
      <c r="L7" s="103"/>
      <c r="M7" s="103"/>
      <c r="N7" s="103"/>
      <c r="O7" s="103">
        <v>-22645.305920000003</v>
      </c>
      <c r="P7" s="103"/>
      <c r="Q7" s="103"/>
      <c r="R7" s="103"/>
      <c r="S7" s="103">
        <v>-13216.555909999999</v>
      </c>
      <c r="T7" s="103"/>
      <c r="U7" s="103"/>
      <c r="V7" s="103"/>
      <c r="W7" s="103">
        <v>-11013.674569999999</v>
      </c>
      <c r="X7" s="103"/>
      <c r="Y7" s="103"/>
      <c r="Z7" s="103"/>
      <c r="AA7" s="103">
        <v>-5512.5407900000009</v>
      </c>
      <c r="AB7" s="103"/>
      <c r="AC7" s="103"/>
      <c r="AD7" s="103"/>
      <c r="AE7" s="103">
        <v>-7250.3770500000001</v>
      </c>
      <c r="AF7" s="103"/>
      <c r="AG7" s="103"/>
      <c r="AH7" s="103"/>
      <c r="AI7" s="103">
        <v>-8220.4190899999994</v>
      </c>
      <c r="AJ7" s="103"/>
      <c r="AK7" s="103"/>
      <c r="AL7" s="103"/>
      <c r="AM7" s="103">
        <v>-7465.5353500000001</v>
      </c>
      <c r="AN7" s="103"/>
      <c r="AO7" s="103"/>
      <c r="AP7" s="103"/>
      <c r="AQ7" s="103">
        <v>-4028.5351300000002</v>
      </c>
      <c r="AR7" s="103"/>
      <c r="AS7" s="103"/>
      <c r="AT7" s="103"/>
      <c r="AU7" s="103">
        <v>-4734.2050499999996</v>
      </c>
      <c r="AV7" s="103"/>
      <c r="AW7" s="103"/>
      <c r="AX7" s="103"/>
      <c r="AY7" s="103">
        <v>9.2850000000000001</v>
      </c>
      <c r="AZ7" s="103"/>
      <c r="BA7" s="103"/>
      <c r="BB7" s="103"/>
      <c r="BC7" s="259"/>
      <c r="BD7" s="259"/>
      <c r="BE7" s="259"/>
      <c r="BF7" s="261">
        <f t="shared" si="2"/>
        <v>0</v>
      </c>
      <c r="BG7" s="259"/>
      <c r="BH7" s="259"/>
      <c r="BI7" s="376">
        <f t="shared" si="0"/>
        <v>0</v>
      </c>
      <c r="BJ7" s="103"/>
      <c r="BK7" s="259"/>
      <c r="BL7" s="259"/>
      <c r="BN7" s="371"/>
      <c r="BO7" s="371"/>
      <c r="BQ7" s="371">
        <f t="shared" si="1"/>
        <v>0</v>
      </c>
      <c r="BR7" s="371"/>
      <c r="BT7">
        <v>0</v>
      </c>
    </row>
    <row r="8" spans="1:72">
      <c r="A8" s="90" t="s">
        <v>220</v>
      </c>
      <c r="B8" s="91" t="s">
        <v>221</v>
      </c>
      <c r="C8" s="103">
        <v>-1024.1634999999999</v>
      </c>
      <c r="D8" s="103"/>
      <c r="E8" s="103"/>
      <c r="F8" s="103"/>
      <c r="G8" s="103">
        <v>-668.23328000000015</v>
      </c>
      <c r="H8" s="103"/>
      <c r="I8" s="103"/>
      <c r="J8" s="103"/>
      <c r="K8" s="103">
        <v>-530.4860799999999</v>
      </c>
      <c r="L8" s="103"/>
      <c r="M8" s="103"/>
      <c r="N8" s="103"/>
      <c r="O8" s="103">
        <v>-360.68010000000004</v>
      </c>
      <c r="P8" s="103"/>
      <c r="Q8" s="103"/>
      <c r="R8" s="103"/>
      <c r="S8" s="103">
        <v>-54.414139999999996</v>
      </c>
      <c r="T8" s="103"/>
      <c r="U8" s="103"/>
      <c r="V8" s="103"/>
      <c r="W8" s="103">
        <v>-40.782719999999998</v>
      </c>
      <c r="X8" s="103"/>
      <c r="Y8" s="103"/>
      <c r="Z8" s="103"/>
      <c r="AA8" s="103">
        <v>-15.67282</v>
      </c>
      <c r="AB8" s="103"/>
      <c r="AC8" s="103"/>
      <c r="AD8" s="103"/>
      <c r="AE8" s="103">
        <v>-27.217799999999997</v>
      </c>
      <c r="AF8" s="103"/>
      <c r="AG8" s="103"/>
      <c r="AH8" s="103"/>
      <c r="AI8" s="103">
        <v>-35.614589999999993</v>
      </c>
      <c r="AJ8" s="103"/>
      <c r="AK8" s="103"/>
      <c r="AL8" s="103"/>
      <c r="AM8" s="103">
        <v>-18.088000000000001</v>
      </c>
      <c r="AN8" s="103"/>
      <c r="AO8" s="103"/>
      <c r="AP8" s="103"/>
      <c r="AQ8" s="103">
        <v>-56.456910000000001</v>
      </c>
      <c r="AR8" s="103"/>
      <c r="AS8" s="103"/>
      <c r="AT8" s="103"/>
      <c r="AU8" s="103">
        <v>-6.6419999999999995</v>
      </c>
      <c r="AV8" s="103"/>
      <c r="AW8" s="103"/>
      <c r="AX8" s="103"/>
      <c r="AY8" s="103">
        <v>0</v>
      </c>
      <c r="AZ8" s="103"/>
      <c r="BA8" s="103"/>
      <c r="BB8" s="103"/>
      <c r="BC8" s="259"/>
      <c r="BD8" s="259"/>
      <c r="BE8" s="259"/>
      <c r="BF8" s="261">
        <f t="shared" si="2"/>
        <v>0</v>
      </c>
      <c r="BG8" s="259"/>
      <c r="BH8" s="259"/>
      <c r="BI8" s="376">
        <f t="shared" si="0"/>
        <v>0</v>
      </c>
      <c r="BJ8" s="103"/>
      <c r="BK8" s="259"/>
      <c r="BL8" s="259"/>
      <c r="BN8" s="371">
        <v>0</v>
      </c>
      <c r="BO8" s="371">
        <v>0</v>
      </c>
      <c r="BQ8" s="371">
        <f t="shared" si="1"/>
        <v>0</v>
      </c>
      <c r="BR8" s="371"/>
      <c r="BT8">
        <v>0</v>
      </c>
    </row>
    <row r="9" spans="1:72">
      <c r="A9" s="90" t="s">
        <v>222</v>
      </c>
      <c r="B9" s="91" t="s">
        <v>223</v>
      </c>
      <c r="C9" s="103">
        <v>-9385.5270300000011</v>
      </c>
      <c r="D9" s="103"/>
      <c r="E9" s="103"/>
      <c r="F9" s="103"/>
      <c r="G9" s="103">
        <v>-11103.782780000001</v>
      </c>
      <c r="H9" s="103"/>
      <c r="I9" s="103"/>
      <c r="J9" s="103"/>
      <c r="K9" s="103">
        <v>-9033.8213599999999</v>
      </c>
      <c r="L9" s="103"/>
      <c r="M9" s="103"/>
      <c r="N9" s="103"/>
      <c r="O9" s="103">
        <v>-9474.9692299999988</v>
      </c>
      <c r="P9" s="103"/>
      <c r="Q9" s="103"/>
      <c r="R9" s="103"/>
      <c r="S9" s="103">
        <v>-3443.7668699999999</v>
      </c>
      <c r="T9" s="103"/>
      <c r="U9" s="103"/>
      <c r="V9" s="103"/>
      <c r="W9" s="103">
        <v>-955.12636999999995</v>
      </c>
      <c r="X9" s="103"/>
      <c r="Y9" s="103"/>
      <c r="Z9" s="103"/>
      <c r="AA9" s="103">
        <v>-120.24700000000001</v>
      </c>
      <c r="AB9" s="103"/>
      <c r="AC9" s="103"/>
      <c r="AD9" s="103"/>
      <c r="AE9" s="103">
        <v>-3319.9987900000001</v>
      </c>
      <c r="AF9" s="103"/>
      <c r="AG9" s="103"/>
      <c r="AH9" s="103"/>
      <c r="AI9" s="103">
        <v>-2090.32485</v>
      </c>
      <c r="AJ9" s="103"/>
      <c r="AK9" s="103"/>
      <c r="AL9" s="103"/>
      <c r="AM9" s="103">
        <v>-2861.1046000000001</v>
      </c>
      <c r="AN9" s="103"/>
      <c r="AO9" s="103"/>
      <c r="AP9" s="103"/>
      <c r="AQ9" s="103">
        <v>-2274.7877100000001</v>
      </c>
      <c r="AR9" s="103"/>
      <c r="AS9" s="103"/>
      <c r="AT9" s="103"/>
      <c r="AU9" s="103">
        <v>-1815.0713000000001</v>
      </c>
      <c r="AV9" s="103"/>
      <c r="AW9" s="103"/>
      <c r="AX9" s="103"/>
      <c r="AY9" s="103">
        <v>-5392.2632899999999</v>
      </c>
      <c r="AZ9" s="103"/>
      <c r="BA9" s="103"/>
      <c r="BB9" s="103"/>
      <c r="BC9" s="259"/>
      <c r="BD9" s="259"/>
      <c r="BE9" s="259"/>
      <c r="BF9" s="261">
        <f t="shared" si="2"/>
        <v>-5057.1000000000004</v>
      </c>
      <c r="BG9" s="259"/>
      <c r="BH9" s="259"/>
      <c r="BI9" s="376">
        <f t="shared" si="0"/>
        <v>-5384.0858800000005</v>
      </c>
      <c r="BJ9" s="103"/>
      <c r="BK9" s="259"/>
      <c r="BL9" s="259"/>
      <c r="BN9" s="371">
        <v>2034.9</v>
      </c>
      <c r="BO9" s="371">
        <v>3022.2</v>
      </c>
      <c r="BQ9" s="371">
        <f t="shared" si="1"/>
        <v>2807.8530000000001</v>
      </c>
      <c r="BR9" s="371">
        <f>-2576232.88/(-1000)</f>
        <v>2576.23288</v>
      </c>
      <c r="BT9">
        <v>5830.0529999999999</v>
      </c>
    </row>
    <row r="10" spans="1:72">
      <c r="A10" s="610" t="s">
        <v>224</v>
      </c>
      <c r="B10" s="611"/>
      <c r="C10" s="104">
        <v>-102811.90623000002</v>
      </c>
      <c r="D10" s="104"/>
      <c r="E10" s="104"/>
      <c r="F10" s="104"/>
      <c r="G10" s="104">
        <v>-129869.70769000001</v>
      </c>
      <c r="H10" s="104"/>
      <c r="I10" s="104"/>
      <c r="J10" s="104"/>
      <c r="K10" s="104">
        <v>-98911.072289999996</v>
      </c>
      <c r="L10" s="104"/>
      <c r="M10" s="104"/>
      <c r="N10" s="104"/>
      <c r="O10" s="104">
        <v>-81605.194599999988</v>
      </c>
      <c r="P10" s="104"/>
      <c r="Q10" s="104"/>
      <c r="R10" s="104"/>
      <c r="S10" s="104">
        <v>-64780.667509999999</v>
      </c>
      <c r="T10" s="104"/>
      <c r="U10" s="104"/>
      <c r="V10" s="104"/>
      <c r="W10" s="104">
        <v>-73180.999550000008</v>
      </c>
      <c r="X10" s="104"/>
      <c r="Y10" s="104"/>
      <c r="Z10" s="104"/>
      <c r="AA10" s="104">
        <v>-51177.305900000007</v>
      </c>
      <c r="AB10" s="104"/>
      <c r="AC10" s="104"/>
      <c r="AD10" s="104"/>
      <c r="AE10" s="104">
        <v>-50614.926579999999</v>
      </c>
      <c r="AF10" s="104"/>
      <c r="AG10" s="104"/>
      <c r="AH10" s="104"/>
      <c r="AI10" s="104">
        <v>-51074.988419999994</v>
      </c>
      <c r="AJ10" s="104"/>
      <c r="AK10" s="104"/>
      <c r="AL10" s="104"/>
      <c r="AM10" s="104">
        <v>-52532.205959999999</v>
      </c>
      <c r="AN10" s="104"/>
      <c r="AO10" s="104"/>
      <c r="AP10" s="104"/>
      <c r="AQ10" s="104">
        <v>-51568.035250000001</v>
      </c>
      <c r="AR10" s="104"/>
      <c r="AS10" s="104"/>
      <c r="AT10" s="104"/>
      <c r="AU10" s="104">
        <f>SUM(AU2:AU9)</f>
        <v>-49210.465279999997</v>
      </c>
      <c r="AV10" s="104"/>
      <c r="AW10" s="104"/>
      <c r="AX10" s="104"/>
      <c r="AY10" s="104">
        <f>SUM(AY2:AY9)</f>
        <v>-56809.426419999996</v>
      </c>
      <c r="AZ10" s="104"/>
      <c r="BA10" s="104"/>
      <c r="BB10" s="104"/>
      <c r="BC10" s="259"/>
      <c r="BD10" s="259"/>
      <c r="BE10" s="259"/>
      <c r="BF10" s="261">
        <f t="shared" si="2"/>
        <v>0</v>
      </c>
      <c r="BG10" s="259"/>
      <c r="BH10" s="259"/>
      <c r="BI10" s="375">
        <f>SUM(BI2:BI9)</f>
        <v>-62028.15756</v>
      </c>
      <c r="BJ10" s="104"/>
      <c r="BK10" s="259"/>
      <c r="BL10" s="259"/>
      <c r="BN10" s="374"/>
      <c r="BO10" s="316"/>
      <c r="BQ10" s="374"/>
      <c r="BR10" s="316"/>
    </row>
    <row r="11" spans="1:72">
      <c r="A11" s="89"/>
      <c r="B11" s="8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BC11" s="259"/>
      <c r="BD11" s="259"/>
      <c r="BE11" s="259"/>
      <c r="BF11" s="261"/>
      <c r="BG11" s="259"/>
      <c r="BH11" s="259"/>
    </row>
    <row r="12" spans="1:72">
      <c r="A12" s="94"/>
      <c r="B12" s="94" t="s">
        <v>224</v>
      </c>
      <c r="C12" s="99">
        <f>SUM(C2:C6,C8:C9)</f>
        <v>-89976.346449999997</v>
      </c>
      <c r="D12" s="99"/>
      <c r="E12" s="99"/>
      <c r="F12" s="99"/>
      <c r="G12" s="99">
        <f t="shared" ref="G12:AM12" si="3">SUM(G2:G6,G8:G9)</f>
        <v>-116999.60178</v>
      </c>
      <c r="H12" s="99"/>
      <c r="I12" s="99"/>
      <c r="J12" s="99"/>
      <c r="K12" s="99">
        <f t="shared" si="3"/>
        <v>-78495.812180000008</v>
      </c>
      <c r="L12" s="99"/>
      <c r="M12" s="99"/>
      <c r="N12" s="99"/>
      <c r="O12" s="99">
        <f t="shared" si="3"/>
        <v>-52584.332150000002</v>
      </c>
      <c r="P12" s="99"/>
      <c r="Q12" s="99"/>
      <c r="R12" s="99"/>
      <c r="S12" s="99">
        <f t="shared" si="3"/>
        <v>-44702.566449999998</v>
      </c>
      <c r="T12" s="99"/>
      <c r="U12" s="99"/>
      <c r="V12" s="99"/>
      <c r="W12" s="99">
        <f t="shared" si="3"/>
        <v>-53221.275400000006</v>
      </c>
      <c r="X12" s="99"/>
      <c r="Y12" s="99"/>
      <c r="Z12" s="99"/>
      <c r="AA12" s="99">
        <f t="shared" si="3"/>
        <v>-38614.606240000001</v>
      </c>
      <c r="AB12" s="99"/>
      <c r="AC12" s="99"/>
      <c r="AD12" s="99"/>
      <c r="AE12" s="99">
        <f t="shared" si="3"/>
        <v>-35989.841499999995</v>
      </c>
      <c r="AF12" s="99"/>
      <c r="AG12" s="99"/>
      <c r="AH12" s="99"/>
      <c r="AI12" s="99">
        <f t="shared" si="3"/>
        <v>-34713.490760000001</v>
      </c>
      <c r="AJ12" s="99"/>
      <c r="AK12" s="99"/>
      <c r="AL12" s="99"/>
      <c r="AM12" s="99">
        <f t="shared" si="3"/>
        <v>-36741.600599999998</v>
      </c>
      <c r="AQ12" s="99">
        <f t="shared" ref="AQ12" si="4">SUM(AQ2:AQ6,AQ8:AQ9)</f>
        <v>-47539.500119999997</v>
      </c>
      <c r="AU12" s="99">
        <f t="shared" ref="AU12" si="5">SUM(AU2:AU6,AU8:AU9)</f>
        <v>-44476.26023</v>
      </c>
      <c r="AY12" s="99">
        <f t="shared" ref="AY12" si="6">SUM(AY2:AY6,AY8:AY9)</f>
        <v>-56818.71142</v>
      </c>
      <c r="BC12" s="259"/>
      <c r="BD12" s="259"/>
      <c r="BE12" s="259"/>
      <c r="BF12" s="261">
        <f t="shared" ref="BF12" si="7">SUM(BF2:BF6,BF8:BF9)</f>
        <v>-57976.5</v>
      </c>
      <c r="BG12" s="259"/>
      <c r="BH12" s="259"/>
      <c r="BI12" s="373">
        <f>SUM(BI2:BI6,BI8:BI9)</f>
        <v>-62028.15756</v>
      </c>
    </row>
    <row r="13" spans="1:72">
      <c r="A13" s="102"/>
      <c r="B13" s="102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BC13" s="259"/>
      <c r="BD13" s="259"/>
      <c r="BE13" s="259"/>
      <c r="BF13" s="261"/>
      <c r="BG13" s="259"/>
      <c r="BH13" s="259"/>
    </row>
    <row r="14" spans="1:72">
      <c r="A14" s="90" t="s">
        <v>194</v>
      </c>
      <c r="B14" s="91" t="s">
        <v>225</v>
      </c>
      <c r="C14" s="92">
        <v>-178</v>
      </c>
      <c r="D14" s="92"/>
      <c r="E14" s="92"/>
      <c r="F14" s="92"/>
      <c r="G14" s="92">
        <v>-559</v>
      </c>
      <c r="H14" s="92"/>
      <c r="I14" s="92"/>
      <c r="J14" s="92"/>
      <c r="K14" s="92">
        <v>-410</v>
      </c>
      <c r="L14" s="92"/>
      <c r="M14" s="92"/>
      <c r="N14" s="92"/>
      <c r="O14" s="92">
        <v>-348</v>
      </c>
      <c r="P14" s="92"/>
      <c r="Q14" s="92"/>
      <c r="R14" s="92"/>
      <c r="S14" s="92">
        <v>-532</v>
      </c>
      <c r="T14" s="92"/>
      <c r="U14" s="92"/>
      <c r="V14" s="92"/>
      <c r="W14" s="92">
        <v>-917</v>
      </c>
      <c r="X14" s="92"/>
      <c r="Y14" s="92"/>
      <c r="Z14" s="92"/>
      <c r="AA14" s="92">
        <v>-319</v>
      </c>
      <c r="AB14" s="92"/>
      <c r="AC14" s="92"/>
      <c r="AD14" s="92"/>
      <c r="AE14" s="92">
        <v>-514</v>
      </c>
      <c r="AF14" s="92"/>
      <c r="AG14" s="92"/>
      <c r="AH14" s="92"/>
      <c r="AI14" s="92">
        <v>-3227</v>
      </c>
      <c r="AJ14" s="92"/>
      <c r="AK14" s="92"/>
      <c r="AL14" s="92"/>
      <c r="AM14" s="92">
        <v>-18815.041550000002</v>
      </c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259"/>
      <c r="BD14" s="259"/>
      <c r="BE14" s="259"/>
      <c r="BF14" s="261"/>
      <c r="BG14" s="259"/>
      <c r="BH14" s="259"/>
      <c r="BI14" s="92"/>
      <c r="BJ14" s="92"/>
      <c r="BK14" s="92"/>
      <c r="BL14" s="92"/>
    </row>
    <row r="15" spans="1:72">
      <c r="A15" s="89"/>
      <c r="B15" s="89" t="s">
        <v>226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97">
        <v>1860.386</v>
      </c>
      <c r="AJ15" s="97"/>
      <c r="AK15" s="97"/>
      <c r="AL15" s="97"/>
      <c r="AM15" s="97">
        <v>15075.306</v>
      </c>
      <c r="AQ15" s="97">
        <v>2.5093022199999999</v>
      </c>
      <c r="AU15" s="97">
        <v>1.4831547</v>
      </c>
      <c r="BC15" s="259"/>
      <c r="BD15" s="259"/>
      <c r="BE15" s="259"/>
      <c r="BF15" s="261"/>
      <c r="BG15" s="259"/>
      <c r="BH15" s="259"/>
    </row>
    <row r="16" spans="1:72">
      <c r="A16" s="89"/>
      <c r="B16" s="98" t="s">
        <v>225</v>
      </c>
      <c r="C16" s="99">
        <v>0</v>
      </c>
      <c r="D16" s="99"/>
      <c r="E16" s="99"/>
      <c r="F16" s="99"/>
      <c r="G16" s="99">
        <v>0</v>
      </c>
      <c r="H16" s="99"/>
      <c r="I16" s="99"/>
      <c r="J16" s="99"/>
      <c r="K16" s="99">
        <v>0</v>
      </c>
      <c r="L16" s="99"/>
      <c r="M16" s="99"/>
      <c r="N16" s="99"/>
      <c r="O16" s="99">
        <v>0</v>
      </c>
      <c r="P16" s="99"/>
      <c r="Q16" s="99"/>
      <c r="R16" s="99"/>
      <c r="S16" s="99">
        <v>0</v>
      </c>
      <c r="T16" s="99"/>
      <c r="U16" s="99"/>
      <c r="V16" s="99"/>
      <c r="W16" s="99">
        <v>0</v>
      </c>
      <c r="X16" s="99"/>
      <c r="Y16" s="99"/>
      <c r="Z16" s="99"/>
      <c r="AA16" s="99">
        <v>0</v>
      </c>
      <c r="AB16" s="99"/>
      <c r="AC16" s="99"/>
      <c r="AD16" s="99"/>
      <c r="AE16" s="99">
        <v>0</v>
      </c>
      <c r="AF16" s="99"/>
      <c r="AG16" s="99"/>
      <c r="AH16" s="99"/>
      <c r="AI16" s="99">
        <v>0</v>
      </c>
      <c r="AJ16" s="99"/>
      <c r="AK16" s="99"/>
      <c r="AL16" s="99"/>
      <c r="AM16" s="99">
        <v>0</v>
      </c>
      <c r="AQ16" s="99">
        <v>0</v>
      </c>
      <c r="AU16" s="99">
        <v>0</v>
      </c>
      <c r="AY16" s="99">
        <v>0</v>
      </c>
      <c r="BC16" s="259"/>
      <c r="BD16" s="259"/>
      <c r="BE16" s="259"/>
      <c r="BF16" s="261">
        <v>0</v>
      </c>
      <c r="BG16" s="259"/>
      <c r="BH16" s="259"/>
    </row>
    <row r="17" spans="1:72">
      <c r="A17" s="89"/>
      <c r="B17" s="9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96"/>
      <c r="AJ17" s="96"/>
      <c r="AK17" s="96"/>
      <c r="AL17" s="96"/>
      <c r="AM17" s="89"/>
      <c r="BC17" s="259"/>
      <c r="BD17" s="259"/>
      <c r="BE17" s="259"/>
      <c r="BF17" s="261"/>
      <c r="BG17" s="259"/>
      <c r="BH17" s="259"/>
    </row>
    <row r="18" spans="1:7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BC18" s="259"/>
      <c r="BD18" s="259"/>
      <c r="BE18" s="259"/>
      <c r="BF18" s="261"/>
      <c r="BG18" s="259"/>
      <c r="BH18" s="259"/>
    </row>
    <row r="19" spans="1:72">
      <c r="A19" s="97"/>
      <c r="B19" s="95" t="s">
        <v>227</v>
      </c>
      <c r="C19" s="99">
        <f>C12</f>
        <v>-89976.346449999997</v>
      </c>
      <c r="D19" s="99"/>
      <c r="E19" s="99"/>
      <c r="F19" s="99"/>
      <c r="G19" s="99">
        <f t="shared" ref="G19:AM19" si="8">G12</f>
        <v>-116999.60178</v>
      </c>
      <c r="H19" s="99"/>
      <c r="I19" s="99"/>
      <c r="J19" s="99"/>
      <c r="K19" s="99">
        <f t="shared" si="8"/>
        <v>-78495.812180000008</v>
      </c>
      <c r="L19" s="99"/>
      <c r="M19" s="99"/>
      <c r="N19" s="99"/>
      <c r="O19" s="99">
        <f t="shared" si="8"/>
        <v>-52584.332150000002</v>
      </c>
      <c r="P19" s="99"/>
      <c r="Q19" s="99"/>
      <c r="R19" s="99"/>
      <c r="S19" s="99">
        <f t="shared" si="8"/>
        <v>-44702.566449999998</v>
      </c>
      <c r="T19" s="99"/>
      <c r="U19" s="99"/>
      <c r="V19" s="99"/>
      <c r="W19" s="99">
        <f t="shared" si="8"/>
        <v>-53221.275400000006</v>
      </c>
      <c r="X19" s="99"/>
      <c r="Y19" s="99"/>
      <c r="Z19" s="99"/>
      <c r="AA19" s="99">
        <f t="shared" si="8"/>
        <v>-38614.606240000001</v>
      </c>
      <c r="AB19" s="99"/>
      <c r="AC19" s="99"/>
      <c r="AD19" s="99"/>
      <c r="AE19" s="99">
        <f t="shared" si="8"/>
        <v>-35989.841499999995</v>
      </c>
      <c r="AF19" s="99"/>
      <c r="AG19" s="99"/>
      <c r="AH19" s="99"/>
      <c r="AI19" s="99">
        <f t="shared" si="8"/>
        <v>-34713.490760000001</v>
      </c>
      <c r="AJ19" s="99"/>
      <c r="AK19" s="99"/>
      <c r="AL19" s="99"/>
      <c r="AM19" s="99">
        <f t="shared" si="8"/>
        <v>-36741.600599999998</v>
      </c>
      <c r="AQ19" s="99">
        <f t="shared" ref="AQ19" si="9">AQ12</f>
        <v>-47539.500119999997</v>
      </c>
      <c r="AU19" s="99">
        <f t="shared" ref="AU19" si="10">AU12</f>
        <v>-44476.26023</v>
      </c>
      <c r="AY19" s="99">
        <f t="shared" ref="AY19" si="11">AY12</f>
        <v>-56818.71142</v>
      </c>
      <c r="BC19" s="259"/>
      <c r="BD19" s="259"/>
      <c r="BE19" s="259"/>
      <c r="BF19" s="261">
        <f t="shared" ref="BF19" si="12">BF12</f>
        <v>-57976.5</v>
      </c>
      <c r="BG19" s="259"/>
      <c r="BH19" s="259"/>
      <c r="BI19" s="373">
        <f>BI12</f>
        <v>-62028.15756</v>
      </c>
    </row>
    <row r="20" spans="1:7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BC20" s="259"/>
      <c r="BD20" s="259"/>
      <c r="BE20" s="259"/>
      <c r="BF20" s="261"/>
      <c r="BG20" s="259"/>
      <c r="BH20" s="259"/>
    </row>
    <row r="21" spans="1:72">
      <c r="A21" s="97"/>
      <c r="B21" s="95" t="s">
        <v>228</v>
      </c>
      <c r="C21" s="84">
        <v>5476.3345699999991</v>
      </c>
      <c r="D21" s="84"/>
      <c r="E21" s="84"/>
      <c r="F21" s="84"/>
      <c r="G21" s="84">
        <v>5185.6777900000006</v>
      </c>
      <c r="H21" s="84"/>
      <c r="I21" s="84"/>
      <c r="J21" s="84"/>
      <c r="K21" s="84">
        <v>5481.0301400000008</v>
      </c>
      <c r="L21" s="84"/>
      <c r="M21" s="84"/>
      <c r="N21" s="84"/>
      <c r="O21" s="84">
        <v>4152.5972099999999</v>
      </c>
      <c r="P21" s="84"/>
      <c r="Q21" s="84"/>
      <c r="R21" s="84"/>
      <c r="S21" s="84">
        <v>4420.4101600000004</v>
      </c>
      <c r="T21" s="84"/>
      <c r="U21" s="84"/>
      <c r="V21" s="84"/>
      <c r="W21" s="84">
        <v>5044.0842300000004</v>
      </c>
      <c r="X21" s="84"/>
      <c r="Y21" s="84"/>
      <c r="Z21" s="84"/>
      <c r="AA21" s="84">
        <v>3348.1144899999999</v>
      </c>
      <c r="AB21" s="84"/>
      <c r="AC21" s="84"/>
      <c r="AD21" s="84"/>
      <c r="AE21" s="84">
        <v>3811.8438900000001</v>
      </c>
      <c r="AF21" s="84"/>
      <c r="AG21" s="84"/>
      <c r="AH21" s="84"/>
      <c r="AI21" s="84">
        <v>7352.7156500000001</v>
      </c>
      <c r="AJ21" s="84"/>
      <c r="AK21" s="84"/>
      <c r="AL21" s="84"/>
      <c r="AM21" s="84">
        <v>7675.0457600000009</v>
      </c>
      <c r="AN21" s="84"/>
      <c r="AO21" s="84"/>
      <c r="AP21" s="84"/>
      <c r="AQ21" s="84">
        <v>8875.1934799999999</v>
      </c>
      <c r="AR21" s="84"/>
      <c r="AS21" s="84"/>
      <c r="AT21" s="84"/>
      <c r="AU21" s="84">
        <v>9356.1392500000002</v>
      </c>
      <c r="AV21" s="84"/>
      <c r="AW21" s="84"/>
      <c r="AX21" s="84"/>
      <c r="AY21" s="84">
        <v>11497.723180000001</v>
      </c>
      <c r="AZ21" s="84"/>
      <c r="BA21" s="84"/>
      <c r="BB21" s="84"/>
      <c r="BC21" s="259"/>
      <c r="BD21" s="259"/>
      <c r="BE21" s="259"/>
      <c r="BF21" s="261">
        <v>11176</v>
      </c>
      <c r="BG21" s="259"/>
      <c r="BH21" s="259"/>
      <c r="BI21" s="372">
        <f>SUM(BQ21:BR21)</f>
        <v>16694.268179999999</v>
      </c>
      <c r="BM21" s="316" t="s">
        <v>270</v>
      </c>
      <c r="BN21" s="371">
        <v>4395.2</v>
      </c>
      <c r="BO21" s="371">
        <v>6780.5</v>
      </c>
      <c r="BQ21" s="371">
        <f>BT21-BO21</f>
        <v>6012.4699999999993</v>
      </c>
      <c r="BR21" s="371">
        <v>10681.79818</v>
      </c>
      <c r="BT21">
        <v>12792.97</v>
      </c>
    </row>
    <row r="22" spans="1:7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BC22" s="259"/>
      <c r="BD22" s="259"/>
      <c r="BE22" s="259"/>
      <c r="BF22" s="261"/>
      <c r="BG22" s="259"/>
      <c r="BH22" s="259"/>
    </row>
    <row r="23" spans="1:72">
      <c r="A23" s="97"/>
      <c r="B23" s="95" t="s">
        <v>229</v>
      </c>
      <c r="C23" s="57">
        <v>7524.7151611352874</v>
      </c>
      <c r="D23" s="57"/>
      <c r="E23" s="57"/>
      <c r="F23" s="57"/>
      <c r="G23" s="57">
        <v>12255.623514724273</v>
      </c>
      <c r="H23" s="57"/>
      <c r="I23" s="57"/>
      <c r="J23" s="57"/>
      <c r="K23" s="57">
        <v>7342.6797187578732</v>
      </c>
      <c r="L23" s="57"/>
      <c r="M23" s="57"/>
      <c r="N23" s="57"/>
      <c r="O23" s="57">
        <v>4991.5006832148301</v>
      </c>
      <c r="P23" s="57"/>
      <c r="Q23" s="57"/>
      <c r="R23" s="57"/>
      <c r="S23" s="57">
        <v>4035.1657708502871</v>
      </c>
      <c r="T23" s="57"/>
      <c r="U23" s="57"/>
      <c r="V23" s="57"/>
      <c r="W23" s="57">
        <v>3775.6687324010745</v>
      </c>
      <c r="X23" s="57"/>
      <c r="Y23" s="57"/>
      <c r="Z23" s="57"/>
      <c r="AA23" s="57">
        <v>3270.8920165625814</v>
      </c>
      <c r="AB23" s="57"/>
      <c r="AC23" s="57"/>
      <c r="AD23" s="57"/>
      <c r="AE23" s="57">
        <v>6873.2447408344988</v>
      </c>
      <c r="AF23" s="57"/>
      <c r="AG23" s="57"/>
      <c r="AH23" s="57"/>
      <c r="AI23" s="57">
        <v>5016.0658246901448</v>
      </c>
      <c r="AJ23" s="57"/>
      <c r="AK23" s="57"/>
      <c r="AL23" s="57"/>
      <c r="AM23" s="57">
        <v>5728.2224723799382</v>
      </c>
      <c r="AQ23" s="57">
        <v>8148.5241108587097</v>
      </c>
      <c r="AU23" s="57">
        <v>7314.9171006615297</v>
      </c>
      <c r="AY23" s="57">
        <v>7800.5469767013601</v>
      </c>
      <c r="BC23" s="259"/>
      <c r="BD23" s="259"/>
      <c r="BE23" s="259"/>
      <c r="BF23" s="261">
        <v>8820</v>
      </c>
      <c r="BG23" s="259"/>
      <c r="BH23" s="259"/>
      <c r="BI23" s="370">
        <f>9549554.1668665/1000</f>
        <v>9549.5541668664991</v>
      </c>
      <c r="BN23" s="316" t="s">
        <v>271</v>
      </c>
    </row>
    <row r="24" spans="1:72">
      <c r="A24" s="97"/>
      <c r="B24" s="95" t="s">
        <v>230</v>
      </c>
      <c r="C24" s="57">
        <v>3676.9998477250438</v>
      </c>
      <c r="D24" s="57"/>
      <c r="E24" s="57"/>
      <c r="F24" s="57"/>
      <c r="G24" s="57">
        <v>4918.7607669502231</v>
      </c>
      <c r="H24" s="57"/>
      <c r="I24" s="57"/>
      <c r="J24" s="57"/>
      <c r="K24" s="57">
        <v>2601.0718175648931</v>
      </c>
      <c r="L24" s="57"/>
      <c r="M24" s="57"/>
      <c r="N24" s="57"/>
      <c r="O24" s="57">
        <v>1419.7980045359473</v>
      </c>
      <c r="P24" s="57"/>
      <c r="Q24" s="57"/>
      <c r="R24" s="57"/>
      <c r="S24" s="57">
        <v>1456.7471430116143</v>
      </c>
      <c r="T24" s="57"/>
      <c r="U24" s="57"/>
      <c r="V24" s="57"/>
      <c r="W24" s="57">
        <v>1837.1822066238597</v>
      </c>
      <c r="X24" s="57"/>
      <c r="Y24" s="57"/>
      <c r="Z24" s="57"/>
      <c r="AA24" s="57">
        <v>1094.573727381297</v>
      </c>
      <c r="AB24" s="57"/>
      <c r="AC24" s="57"/>
      <c r="AD24" s="57"/>
      <c r="AE24" s="57">
        <v>1091.2636843143262</v>
      </c>
      <c r="AF24" s="57"/>
      <c r="AG24" s="57"/>
      <c r="AH24" s="57"/>
      <c r="AI24" s="57">
        <v>1215.4414293444172</v>
      </c>
      <c r="AJ24" s="57"/>
      <c r="AK24" s="57"/>
      <c r="AL24" s="57"/>
      <c r="AM24" s="57">
        <v>597.93197038846279</v>
      </c>
      <c r="AQ24" s="57">
        <v>589.70904265955801</v>
      </c>
      <c r="AR24" s="57"/>
      <c r="AS24" s="57"/>
      <c r="AT24" s="57"/>
      <c r="AU24" s="57">
        <v>646.95798671289299</v>
      </c>
      <c r="AY24" s="57">
        <v>865.72564108429697</v>
      </c>
      <c r="BC24" s="259"/>
      <c r="BD24" s="259"/>
      <c r="BE24" s="259"/>
      <c r="BF24" s="261">
        <v>759</v>
      </c>
      <c r="BG24" s="259"/>
      <c r="BH24" s="259"/>
      <c r="BI24" s="370">
        <f>617516.373222967/1000</f>
        <v>617.51637322296699</v>
      </c>
    </row>
    <row r="25" spans="1:72">
      <c r="A25" s="97"/>
      <c r="B25" s="95" t="s">
        <v>231</v>
      </c>
      <c r="C25" s="105">
        <f>SUM(C23:C24)</f>
        <v>11201.71500886033</v>
      </c>
      <c r="D25" s="105"/>
      <c r="E25" s="105"/>
      <c r="F25" s="105"/>
      <c r="G25" s="105">
        <f>SUM(G23:G24)</f>
        <v>17174.384281674495</v>
      </c>
      <c r="H25" s="105"/>
      <c r="I25" s="105"/>
      <c r="J25" s="105"/>
      <c r="K25" s="105">
        <f>SUM(K23:K24)</f>
        <v>9943.7515363227667</v>
      </c>
      <c r="L25" s="105"/>
      <c r="M25" s="105"/>
      <c r="N25" s="105"/>
      <c r="O25" s="105">
        <f>SUM(O23:O24)</f>
        <v>6411.2986877507774</v>
      </c>
      <c r="P25" s="105"/>
      <c r="Q25" s="105"/>
      <c r="R25" s="105"/>
      <c r="S25" s="105">
        <f>SUM(S23:S24)</f>
        <v>5491.912913861901</v>
      </c>
      <c r="T25" s="105"/>
      <c r="U25" s="105"/>
      <c r="V25" s="105"/>
      <c r="W25" s="105">
        <f>SUM(W23:W24)</f>
        <v>5612.8509390249346</v>
      </c>
      <c r="X25" s="105"/>
      <c r="Y25" s="105"/>
      <c r="Z25" s="105"/>
      <c r="AA25" s="105">
        <f>SUM(AA23:AA24)</f>
        <v>4365.4657439438779</v>
      </c>
      <c r="AB25" s="105"/>
      <c r="AC25" s="105"/>
      <c r="AD25" s="105"/>
      <c r="AE25" s="105">
        <f>SUM(AE23:AE24)</f>
        <v>7964.5084251488252</v>
      </c>
      <c r="AF25" s="105"/>
      <c r="AG25" s="105"/>
      <c r="AH25" s="105"/>
      <c r="AI25" s="105">
        <f>SUM(AI23:AI24)</f>
        <v>6231.5072540345618</v>
      </c>
      <c r="AJ25" s="105"/>
      <c r="AK25" s="105"/>
      <c r="AL25" s="105"/>
      <c r="AM25" s="105">
        <f>SUM(AM23:AM24)</f>
        <v>6326.1544427684012</v>
      </c>
      <c r="AN25" s="105"/>
      <c r="AO25" s="105"/>
      <c r="AP25" s="105"/>
      <c r="AQ25" s="105">
        <f>SUM(AQ23:AQ24)</f>
        <v>8738.2331535182675</v>
      </c>
      <c r="AR25" s="105"/>
      <c r="AS25" s="105"/>
      <c r="AT25" s="105"/>
      <c r="AU25" s="105">
        <f>SUM(AU23:AU24)</f>
        <v>7961.8750873744229</v>
      </c>
      <c r="AV25" s="105"/>
      <c r="AW25" s="105"/>
      <c r="AX25" s="105"/>
      <c r="AY25" s="105">
        <f>SUM(AY23:AY24)</f>
        <v>8666.2726177856566</v>
      </c>
      <c r="AZ25" s="105"/>
      <c r="BA25" s="105"/>
      <c r="BB25" s="105"/>
      <c r="BC25" s="259"/>
      <c r="BD25" s="259"/>
      <c r="BE25" s="259"/>
      <c r="BF25" s="261">
        <f>SUM(BF23:BF24)</f>
        <v>9579</v>
      </c>
      <c r="BG25" s="259"/>
      <c r="BH25" s="259"/>
      <c r="BI25" s="105">
        <f>SUM(BI23:BI24)</f>
        <v>10167.070540089466</v>
      </c>
      <c r="BJ25" s="105"/>
    </row>
    <row r="26" spans="1:72">
      <c r="A26" s="97"/>
      <c r="B26" s="97"/>
      <c r="C26" s="99"/>
      <c r="D26" s="99"/>
      <c r="E26" s="99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BC26" s="259"/>
      <c r="BD26" s="259"/>
      <c r="BE26" s="259"/>
      <c r="BF26" s="261"/>
      <c r="BG26" s="259"/>
      <c r="BH26" s="259"/>
    </row>
    <row r="27" spans="1:72">
      <c r="A27" s="97"/>
      <c r="B27" s="95" t="s">
        <v>232</v>
      </c>
      <c r="C27" s="101">
        <f>SUM(C19,C21,C25)</f>
        <v>-73298.296871139668</v>
      </c>
      <c r="D27" s="101"/>
      <c r="E27" s="101"/>
      <c r="F27" s="101"/>
      <c r="G27" s="101">
        <f t="shared" ref="G27:AM27" si="13">SUM(G19,G21,G25)</f>
        <v>-94639.539708325494</v>
      </c>
      <c r="H27" s="101"/>
      <c r="I27" s="101"/>
      <c r="J27" s="101"/>
      <c r="K27" s="101">
        <f t="shared" si="13"/>
        <v>-63071.030503677241</v>
      </c>
      <c r="L27" s="101"/>
      <c r="M27" s="101"/>
      <c r="N27" s="101"/>
      <c r="O27" s="101">
        <f t="shared" si="13"/>
        <v>-42020.436252249223</v>
      </c>
      <c r="P27" s="101"/>
      <c r="Q27" s="101"/>
      <c r="R27" s="101"/>
      <c r="S27" s="101">
        <f t="shared" si="13"/>
        <v>-34790.243376138096</v>
      </c>
      <c r="T27" s="101"/>
      <c r="U27" s="101"/>
      <c r="V27" s="101"/>
      <c r="W27" s="101">
        <f t="shared" si="13"/>
        <v>-42564.340230975067</v>
      </c>
      <c r="X27" s="101"/>
      <c r="Y27" s="101"/>
      <c r="Z27" s="101"/>
      <c r="AA27" s="101">
        <f>SUM(AA19,AA21,AA25)</f>
        <v>-30901.026006056123</v>
      </c>
      <c r="AB27" s="101"/>
      <c r="AC27" s="101"/>
      <c r="AD27" s="101"/>
      <c r="AE27" s="101">
        <f t="shared" si="13"/>
        <v>-24213.489184851169</v>
      </c>
      <c r="AF27" s="101"/>
      <c r="AG27" s="101"/>
      <c r="AH27" s="101"/>
      <c r="AI27" s="101">
        <f t="shared" si="13"/>
        <v>-21129.267855965441</v>
      </c>
      <c r="AJ27" s="101"/>
      <c r="AK27" s="101"/>
      <c r="AL27" s="101"/>
      <c r="AM27" s="101">
        <f t="shared" si="13"/>
        <v>-22740.400397231595</v>
      </c>
      <c r="AN27" s="101"/>
      <c r="AO27" s="101"/>
      <c r="AP27" s="101"/>
      <c r="AQ27" s="101">
        <f t="shared" ref="AQ27" si="14">SUM(AQ19,AQ21,AQ25)</f>
        <v>-29926.073486481728</v>
      </c>
      <c r="AR27" s="101"/>
      <c r="AS27" s="101"/>
      <c r="AT27" s="101"/>
      <c r="AU27" s="101">
        <f t="shared" ref="AU27" si="15">SUM(AU19,AU21,AU25)</f>
        <v>-27158.245892625579</v>
      </c>
      <c r="AV27" s="101"/>
      <c r="AW27" s="101"/>
      <c r="AX27" s="101"/>
      <c r="AY27" s="101">
        <f t="shared" ref="AY27" si="16">SUM(AY19,AY21,AY25)</f>
        <v>-36654.715622214339</v>
      </c>
      <c r="AZ27" s="101"/>
      <c r="BA27" s="101"/>
      <c r="BB27" s="101"/>
      <c r="BC27" s="259"/>
      <c r="BD27" s="259"/>
      <c r="BE27" s="259"/>
      <c r="BF27" s="261">
        <f t="shared" ref="BF27" si="17">SUM(BF19,BF21,BF25)</f>
        <v>-37221.5</v>
      </c>
      <c r="BG27" s="259"/>
      <c r="BH27" s="259"/>
      <c r="BI27" s="101">
        <f>SUM(BI19,BI21,BI25)</f>
        <v>-35166.818839910535</v>
      </c>
      <c r="BJ27" s="101"/>
    </row>
    <row r="28" spans="1:72">
      <c r="BC28" s="259"/>
      <c r="BD28" s="259"/>
      <c r="BE28" s="259"/>
      <c r="BF28" s="259"/>
      <c r="BG28" s="259"/>
      <c r="BH28" s="259"/>
      <c r="BI28" s="259"/>
      <c r="BJ28" s="259"/>
    </row>
    <row r="29" spans="1:72">
      <c r="BC29" s="259"/>
      <c r="BD29" s="259"/>
      <c r="BE29" s="259"/>
      <c r="BF29" s="259"/>
      <c r="BG29" s="259"/>
      <c r="BH29" s="259"/>
      <c r="BI29" s="259"/>
      <c r="BJ29" s="259"/>
    </row>
    <row r="30" spans="1:72" s="70" customFormat="1">
      <c r="A30" s="86" t="s">
        <v>233</v>
      </c>
      <c r="BC30" s="259"/>
      <c r="BD30" s="259"/>
      <c r="BE30" s="259"/>
      <c r="BF30" s="259"/>
      <c r="BG30" s="259"/>
      <c r="BH30" s="259"/>
      <c r="BI30" s="259"/>
      <c r="BJ30" s="259"/>
    </row>
    <row r="31" spans="1:72">
      <c r="BC31" s="259"/>
      <c r="BD31" s="259"/>
      <c r="BE31" s="259"/>
      <c r="BF31" s="259"/>
      <c r="BG31" s="259"/>
      <c r="BH31" s="259"/>
      <c r="BI31" s="259"/>
      <c r="BJ31" s="259"/>
    </row>
    <row r="32" spans="1:72">
      <c r="C32" s="88" t="s">
        <v>122</v>
      </c>
      <c r="D32" s="127" t="s">
        <v>228</v>
      </c>
      <c r="E32" s="127" t="s">
        <v>234</v>
      </c>
      <c r="F32" s="128" t="s">
        <v>122</v>
      </c>
      <c r="G32" s="88" t="s">
        <v>123</v>
      </c>
      <c r="H32" s="127" t="s">
        <v>228</v>
      </c>
      <c r="I32" s="127" t="s">
        <v>234</v>
      </c>
      <c r="J32" s="129" t="s">
        <v>123</v>
      </c>
      <c r="K32" s="127" t="s">
        <v>124</v>
      </c>
      <c r="L32" s="127" t="s">
        <v>228</v>
      </c>
      <c r="M32" s="127" t="s">
        <v>234</v>
      </c>
      <c r="N32" s="130" t="s">
        <v>124</v>
      </c>
      <c r="O32" s="79" t="s">
        <v>125</v>
      </c>
      <c r="P32" s="127" t="s">
        <v>228</v>
      </c>
      <c r="Q32" s="127" t="s">
        <v>234</v>
      </c>
      <c r="R32" s="129" t="s">
        <v>125</v>
      </c>
      <c r="S32" s="79" t="s">
        <v>126</v>
      </c>
      <c r="T32" s="127" t="s">
        <v>228</v>
      </c>
      <c r="U32" s="127" t="s">
        <v>234</v>
      </c>
      <c r="V32" s="129" t="s">
        <v>126</v>
      </c>
      <c r="W32" s="79" t="s">
        <v>127</v>
      </c>
      <c r="X32" s="127" t="s">
        <v>228</v>
      </c>
      <c r="Y32" s="127" t="s">
        <v>234</v>
      </c>
      <c r="Z32" s="129" t="s">
        <v>127</v>
      </c>
      <c r="AA32" s="79" t="s">
        <v>128</v>
      </c>
      <c r="AB32" s="127" t="s">
        <v>228</v>
      </c>
      <c r="AC32" s="127" t="s">
        <v>234</v>
      </c>
      <c r="AD32" s="129" t="s">
        <v>128</v>
      </c>
      <c r="AE32" s="79" t="s">
        <v>129</v>
      </c>
      <c r="AF32" s="127" t="s">
        <v>228</v>
      </c>
      <c r="AG32" s="127" t="s">
        <v>234</v>
      </c>
      <c r="AH32" s="129" t="s">
        <v>129</v>
      </c>
      <c r="AI32" s="79" t="s">
        <v>130</v>
      </c>
      <c r="AJ32" s="127" t="s">
        <v>228</v>
      </c>
      <c r="AK32" s="127" t="s">
        <v>234</v>
      </c>
      <c r="AL32" s="129" t="s">
        <v>130</v>
      </c>
      <c r="AM32" s="79" t="s">
        <v>131</v>
      </c>
      <c r="AN32" s="127" t="s">
        <v>228</v>
      </c>
      <c r="AO32" s="127" t="s">
        <v>234</v>
      </c>
      <c r="AP32" s="129" t="s">
        <v>131</v>
      </c>
      <c r="AQ32" s="88" t="s">
        <v>132</v>
      </c>
      <c r="AR32" s="59" t="s">
        <v>228</v>
      </c>
      <c r="AS32" s="59" t="s">
        <v>234</v>
      </c>
      <c r="AT32" s="129" t="s">
        <v>132</v>
      </c>
      <c r="AU32" s="88" t="s">
        <v>133</v>
      </c>
      <c r="AV32" s="59" t="s">
        <v>228</v>
      </c>
      <c r="AW32" s="59" t="s">
        <v>234</v>
      </c>
      <c r="AX32" s="129" t="s">
        <v>133</v>
      </c>
      <c r="AY32" s="88" t="s">
        <v>134</v>
      </c>
      <c r="AZ32" s="59" t="s">
        <v>228</v>
      </c>
      <c r="BA32" s="59" t="s">
        <v>234</v>
      </c>
      <c r="BB32" s="129" t="s">
        <v>134</v>
      </c>
      <c r="BC32" s="259"/>
      <c r="BD32" s="260" t="s">
        <v>234</v>
      </c>
      <c r="BE32" s="260" t="s">
        <v>134</v>
      </c>
      <c r="BF32" s="315" t="s">
        <v>135</v>
      </c>
      <c r="BG32" s="315" t="s">
        <v>228</v>
      </c>
      <c r="BH32" s="315" t="s">
        <v>234</v>
      </c>
      <c r="BI32" s="315" t="s">
        <v>135</v>
      </c>
      <c r="BJ32" s="379" t="s">
        <v>180</v>
      </c>
      <c r="BK32" s="315" t="s">
        <v>228</v>
      </c>
      <c r="BL32" s="315" t="s">
        <v>234</v>
      </c>
      <c r="BM32" s="380" t="s">
        <v>180</v>
      </c>
    </row>
    <row r="33" spans="2:65">
      <c r="B33" s="59" t="s">
        <v>66</v>
      </c>
      <c r="F33" s="56"/>
      <c r="J33" s="56"/>
      <c r="N33" s="56"/>
      <c r="R33" s="56"/>
      <c r="V33" s="56"/>
      <c r="Z33" s="56"/>
      <c r="AD33" s="56"/>
      <c r="AH33" s="56"/>
      <c r="AL33" s="56"/>
      <c r="AP33" s="56"/>
      <c r="AT33" s="56"/>
      <c r="AX33" s="56"/>
      <c r="BB33" s="56"/>
      <c r="BC33" s="259"/>
      <c r="BD33" s="259"/>
      <c r="BE33" s="259"/>
      <c r="BF33" s="316"/>
      <c r="BG33" s="316"/>
      <c r="BH33" s="316"/>
      <c r="BI33" s="316"/>
      <c r="BM33" s="56"/>
    </row>
    <row r="34" spans="2:65">
      <c r="B34" t="s">
        <v>136</v>
      </c>
      <c r="C34" s="71">
        <f>SUM(C2,C6,C8)</f>
        <v>-3293.8840300000002</v>
      </c>
      <c r="E34" s="71">
        <f>$C$25*(C34/SUM($C$34:$C$36,$C$37))</f>
        <v>410.07611035640531</v>
      </c>
      <c r="F34" s="131">
        <f t="shared" ref="F34:F37" si="18">SUM(C34:E34)</f>
        <v>-2883.8079196435947</v>
      </c>
      <c r="G34" s="71">
        <f>SUM(G2,G6,G8)</f>
        <v>-3121.4632800000009</v>
      </c>
      <c r="I34" s="71">
        <f>$G$25*(G34/SUM($G$34:$G$36,$G$37))</f>
        <v>458.19993466866759</v>
      </c>
      <c r="J34" s="131">
        <f>SUM(G34:I34)</f>
        <v>-2663.2633453313333</v>
      </c>
      <c r="K34" s="71">
        <f>SUM(K2,K6,K8)</f>
        <v>-2637.3701199999996</v>
      </c>
      <c r="L34" s="71"/>
      <c r="M34" s="71">
        <f>$K$25*(K34/SUM($K$34:$K$36,$K$37))</f>
        <v>334.09875577137774</v>
      </c>
      <c r="N34" s="131">
        <f>SUM(K34:M34)</f>
        <v>-2303.2713642286217</v>
      </c>
      <c r="O34" s="71">
        <f t="shared" ref="O34:AI34" si="19">SUM(O2,O6,O8)</f>
        <v>-2137.1550000000002</v>
      </c>
      <c r="P34" s="71"/>
      <c r="Q34" s="71">
        <f>$O$25*(O34/SUM($O$34:$O$36,$O$37))</f>
        <v>260.57075343154304</v>
      </c>
      <c r="R34" s="131">
        <f>SUM(O34:Q34)</f>
        <v>-1876.5842465684573</v>
      </c>
      <c r="S34" s="71">
        <f t="shared" si="19"/>
        <v>-1751.3940100000002</v>
      </c>
      <c r="T34" s="71"/>
      <c r="U34" s="71">
        <f>$S$25*(S34/SUM($S$34:$S$36,$S$37))</f>
        <v>215.16669275661644</v>
      </c>
      <c r="V34" s="131">
        <f>SUM(S34:U34)</f>
        <v>-1536.2273172433838</v>
      </c>
      <c r="W34" s="71">
        <f t="shared" si="19"/>
        <v>-2211.1063300000001</v>
      </c>
      <c r="X34" s="71"/>
      <c r="Y34" s="71">
        <f>$W$25*(W34/SUM($W$34:$W$36,$W$37))</f>
        <v>233.18889198631413</v>
      </c>
      <c r="Z34" s="131">
        <f>SUM(W34:Y34)</f>
        <v>-1977.917438013686</v>
      </c>
      <c r="AA34" s="71">
        <f t="shared" si="19"/>
        <v>-2467.1562399999998</v>
      </c>
      <c r="AB34" s="71"/>
      <c r="AC34" s="71">
        <f>$AA$25*(AA34/SUM($AA$34:$AA$36,$AA$37))</f>
        <v>278.91741233193471</v>
      </c>
      <c r="AD34" s="131">
        <f>SUM(AA34:AC34)</f>
        <v>-2188.2388276680649</v>
      </c>
      <c r="AE34" s="71">
        <f t="shared" si="19"/>
        <v>-7098.3255100000006</v>
      </c>
      <c r="AF34" s="71"/>
      <c r="AG34" s="71">
        <f>$AE$25*(AE34/SUM($AE$34:$AE$36,$AE$37))</f>
        <v>1570.8508560351354</v>
      </c>
      <c r="AH34" s="131">
        <f>SUM(AE34:AG34)</f>
        <v>-5527.474653964865</v>
      </c>
      <c r="AI34" s="71">
        <f t="shared" si="19"/>
        <v>-5804.1661899999999</v>
      </c>
      <c r="AJ34" s="71"/>
      <c r="AK34" s="71">
        <f>$AI$25*(AI34/SUM($AI$34:$AI$36,$AI$37))</f>
        <v>1041.9206747793849</v>
      </c>
      <c r="AL34" s="131">
        <f>SUM(AI34:AK34)</f>
        <v>-4762.2455152206148</v>
      </c>
      <c r="AM34" s="71">
        <f>SUM(AM2,AM6,AM8)</f>
        <v>-3908.2141000000001</v>
      </c>
      <c r="AO34" s="57">
        <f>$AM$25*(AM34/SUM($AM$34:$AM$36,$AM$37))</f>
        <v>672.91477747992042</v>
      </c>
      <c r="AP34" s="131">
        <f>SUM(AM34:AO34)</f>
        <v>-3235.2993225200798</v>
      </c>
      <c r="AQ34" s="71">
        <f>SUM(AQ2,AQ6,AQ8,AQ7)</f>
        <v>-7464.7318500000001</v>
      </c>
      <c r="AS34" s="57">
        <f>$AQ$25*(AQ34/SUM($AQ$34:$AQ$37))</f>
        <v>1264.9030938946573</v>
      </c>
      <c r="AT34" s="131">
        <f>SUM(AQ34:AS34)</f>
        <v>-6199.828756105343</v>
      </c>
      <c r="AU34" s="71">
        <f>SUM(AU2,AU6,AU8,AU7)</f>
        <v>-8048.4788099999987</v>
      </c>
      <c r="AW34" s="57">
        <f>$AU$25*(AU34/SUM($AU$34:$AU$37))</f>
        <v>1302.182016853305</v>
      </c>
      <c r="AX34" s="131">
        <f>SUM(AU34:AW34)</f>
        <v>-6746.2967931466937</v>
      </c>
      <c r="AY34" s="71">
        <f>SUM(AY2,AY6,AY8,AY7)</f>
        <v>-6150.7415399999991</v>
      </c>
      <c r="BA34" s="57">
        <f>$AY$25*(AY34/SUM($AY$34:$AY$37))</f>
        <v>938.29503915591158</v>
      </c>
      <c r="BB34" s="131">
        <f>SUM(AY34:BA34)</f>
        <v>-5212.4465008440875</v>
      </c>
      <c r="BC34" s="259"/>
      <c r="BD34" s="261">
        <f>$AU$25*(BB34/SUM($AU$34:$AU$37))</f>
        <v>843.33378486078266</v>
      </c>
      <c r="BE34" s="261">
        <f>SUM(BB34:BD34)</f>
        <v>-4369.112715983305</v>
      </c>
      <c r="BF34" s="312">
        <f>SUM(BF2,BF6,BF8,BF7)</f>
        <v>-5592.2999999999993</v>
      </c>
      <c r="BG34" s="312"/>
      <c r="BH34" s="312">
        <f>$BF$25*(BF34/SUM($BF$34:$BF$37))</f>
        <v>923.97163850870606</v>
      </c>
      <c r="BI34" s="312">
        <f>SUM(BF34:BH34)</f>
        <v>-4668.3283614912934</v>
      </c>
      <c r="BJ34" s="381">
        <v>-5756.7725</v>
      </c>
      <c r="BL34" s="382">
        <v>943.59585054789716</v>
      </c>
      <c r="BM34" s="131">
        <v>-4813.1766494521025</v>
      </c>
    </row>
    <row r="35" spans="2:65">
      <c r="B35" t="s">
        <v>137</v>
      </c>
      <c r="C35" s="71">
        <f>C3</f>
        <v>-31856.072210000002</v>
      </c>
      <c r="E35" s="71">
        <f t="shared" ref="E35:E37" si="20">$C$25*(C35/SUM($C$34:$C$36,$C$37))</f>
        <v>3965.9605693857948</v>
      </c>
      <c r="F35" s="131">
        <f t="shared" si="18"/>
        <v>-27890.111640614206</v>
      </c>
      <c r="G35" s="71">
        <f>G3</f>
        <v>-28529.475409999999</v>
      </c>
      <c r="I35" s="71">
        <f t="shared" ref="I35:I37" si="21">$G$25*(G35/SUM($G$34:$G$36,$G$37))</f>
        <v>4187.8448011066639</v>
      </c>
      <c r="J35" s="131">
        <f>SUM(G35:I35)</f>
        <v>-24341.630608893334</v>
      </c>
      <c r="K35" s="71">
        <f>K3</f>
        <v>-22817.386019999998</v>
      </c>
      <c r="L35" s="71"/>
      <c r="M35" s="71">
        <f>$K$25*(K35/SUM($K$34:$K$36,$K$37))</f>
        <v>2890.4779884429831</v>
      </c>
      <c r="N35" s="131">
        <f>SUM(K35:M35)</f>
        <v>-19926.908031557014</v>
      </c>
      <c r="O35" s="71">
        <f t="shared" ref="O35:AM36" si="22">O3</f>
        <v>-14858.180969999999</v>
      </c>
      <c r="P35" s="71"/>
      <c r="Q35" s="71">
        <f>$O$25*(O35/SUM($O$34:$O$36,$O$37))</f>
        <v>1811.5707143258746</v>
      </c>
      <c r="R35" s="131">
        <f>SUM(O35:Q35)</f>
        <v>-13046.610255674124</v>
      </c>
      <c r="S35" s="71">
        <f t="shared" si="22"/>
        <v>-10861.95637</v>
      </c>
      <c r="T35" s="71"/>
      <c r="U35" s="71">
        <f>$S$25*(S35/SUM($S$34:$S$36,$S$37))</f>
        <v>1334.4405745681195</v>
      </c>
      <c r="V35" s="131">
        <f>SUM(S35:U35)</f>
        <v>-9527.5157954318802</v>
      </c>
      <c r="W35" s="71">
        <f t="shared" si="22"/>
        <v>-14235.11283</v>
      </c>
      <c r="X35" s="71"/>
      <c r="Y35" s="71">
        <f>$W$25*(W35/SUM($W$34:$W$36,$W$37))</f>
        <v>1501.271170494937</v>
      </c>
      <c r="Z35" s="131">
        <f>SUM(W35:Y35)</f>
        <v>-12733.841659505062</v>
      </c>
      <c r="AA35" s="71">
        <f t="shared" si="22"/>
        <v>-12286.533449999999</v>
      </c>
      <c r="AB35" s="71"/>
      <c r="AC35" s="71">
        <f>$AA$25*(AA35/SUM($AA$34:$AA$36,$AA$37))</f>
        <v>1389.0194957429037</v>
      </c>
      <c r="AD35" s="131">
        <f>SUM(AA35:AC35)</f>
        <v>-10897.513954257096</v>
      </c>
      <c r="AE35" s="71">
        <f t="shared" si="22"/>
        <v>-8695.2565099999993</v>
      </c>
      <c r="AF35" s="71"/>
      <c r="AG35" s="71">
        <f>$AE$25*(AE35/SUM($AE$34:$AE$36,$AE$37))</f>
        <v>1924.2497562187143</v>
      </c>
      <c r="AH35" s="131">
        <f>SUM(AE35:AG35)</f>
        <v>-6771.0067537812847</v>
      </c>
      <c r="AI35" s="71">
        <f t="shared" si="22"/>
        <v>-7639.0505200000007</v>
      </c>
      <c r="AJ35" s="71"/>
      <c r="AK35" s="71">
        <f>$AI$25*(AI35/SUM($AI$34:$AI$36,$AI$37))</f>
        <v>1371.3054402517396</v>
      </c>
      <c r="AL35" s="131">
        <f>SUM(AI35:AK35)</f>
        <v>-6267.7450797482616</v>
      </c>
      <c r="AM35" s="71">
        <f t="shared" si="22"/>
        <v>-7095.2807200000007</v>
      </c>
      <c r="AO35" s="57">
        <f>$AM$25*(AM35/SUM($AM$34:$AM$36,$AM$37))</f>
        <v>1221.6626634800714</v>
      </c>
      <c r="AP35" s="131">
        <f>SUM(AM35:AO35)</f>
        <v>-5873.6180565199293</v>
      </c>
      <c r="AQ35" s="71">
        <f t="shared" ref="AQ35:AQ36" si="23">AQ3</f>
        <v>-7109.3062200000004</v>
      </c>
      <c r="AS35" s="57">
        <f>$AQ$25*(AQ35/SUM($AQ$34:$AQ$37))</f>
        <v>1204.6760170122564</v>
      </c>
      <c r="AT35" s="131">
        <f>SUM(AQ35:AS35)</f>
        <v>-5904.6302029877443</v>
      </c>
      <c r="AU35" s="71">
        <f t="shared" ref="AU35:AU36" si="24">AU3</f>
        <v>-5258.0578699999996</v>
      </c>
      <c r="AW35" s="57">
        <f>$AU$25*(AU35/SUM($AU$34:$AU$37))</f>
        <v>850.71335385524787</v>
      </c>
      <c r="AX35" s="131">
        <f>SUM(AU35:AW35)</f>
        <v>-4407.3445161447517</v>
      </c>
      <c r="AY35" s="71">
        <f t="shared" ref="AY35:AY36" si="25">AY3</f>
        <v>-8274.1344200000003</v>
      </c>
      <c r="BA35" s="57">
        <f>$AY$25*(AY35/SUM($AY$34:$AY$37))</f>
        <v>1262.218421812466</v>
      </c>
      <c r="BB35" s="131">
        <f>SUM(AY35:BA35)</f>
        <v>-7011.9159981875346</v>
      </c>
      <c r="BC35" s="259"/>
      <c r="BD35" s="261">
        <f>$AU$25*(BB35/SUM($AU$34:$AU$37))</f>
        <v>1134.4741201506376</v>
      </c>
      <c r="BE35" s="261">
        <f>SUM(BB35:BD35)</f>
        <v>-5877.4418780368969</v>
      </c>
      <c r="BF35" s="312">
        <f t="shared" ref="BF35:BF36" si="26">BF3</f>
        <v>-8751.7999999999993</v>
      </c>
      <c r="BG35" s="312"/>
      <c r="BH35" s="312">
        <f>$BF$25*(BF35/SUM($BF$34:$BF$37))</f>
        <v>1445.9909135598043</v>
      </c>
      <c r="BI35" s="312">
        <f>SUM(BF35:BH35)</f>
        <v>-7305.8090864401947</v>
      </c>
      <c r="BJ35" s="381">
        <v>-8704.3087000000014</v>
      </c>
      <c r="BL35" s="382">
        <v>1426.7281834062337</v>
      </c>
      <c r="BM35" s="131">
        <v>-7277.5805165937672</v>
      </c>
    </row>
    <row r="36" spans="2:65">
      <c r="B36" t="s">
        <v>138</v>
      </c>
      <c r="C36" s="71">
        <f>C4</f>
        <v>-40596.494030000002</v>
      </c>
      <c r="E36" s="71">
        <f t="shared" si="20"/>
        <v>5054.1100458626133</v>
      </c>
      <c r="F36" s="131">
        <f t="shared" si="18"/>
        <v>-35542.383984137385</v>
      </c>
      <c r="G36" s="71">
        <f>G4</f>
        <v>-72821.374779999998</v>
      </c>
      <c r="I36" s="71">
        <f t="shared" si="21"/>
        <v>10689.457531173826</v>
      </c>
      <c r="J36" s="131">
        <f>SUM(G36:I36)</f>
        <v>-62131.917248826168</v>
      </c>
      <c r="K36" s="71">
        <f>K4</f>
        <v>-43759.435079999996</v>
      </c>
      <c r="L36" s="71"/>
      <c r="M36" s="71">
        <f>$K$25*(K36/SUM($K$34:$K$36,$K$37))</f>
        <v>5543.3906309238</v>
      </c>
      <c r="N36" s="131">
        <f>SUM(K36:M36)</f>
        <v>-38216.044449076195</v>
      </c>
      <c r="O36" s="71">
        <f t="shared" si="22"/>
        <v>-25765.974450000002</v>
      </c>
      <c r="P36" s="71"/>
      <c r="Q36" s="71">
        <f>$O$25*(O36/SUM($O$34:$O$36,$O$37))</f>
        <v>3141.493890398398</v>
      </c>
      <c r="R36" s="131">
        <f>SUM(O36:Q36)</f>
        <v>-22624.480559601605</v>
      </c>
      <c r="S36" s="71">
        <f t="shared" si="22"/>
        <v>-25912.482539999997</v>
      </c>
      <c r="T36" s="71"/>
      <c r="U36" s="71">
        <f>$S$25*(S36/SUM($S$34:$S$36,$S$37))</f>
        <v>3183.4659347986276</v>
      </c>
      <c r="V36" s="131">
        <f>SUM(S36:U36)</f>
        <v>-22729.01660520137</v>
      </c>
      <c r="W36" s="71">
        <f t="shared" si="22"/>
        <v>-29074.82589</v>
      </c>
      <c r="X36" s="71"/>
      <c r="Y36" s="71">
        <f>$W$25*(W36/SUM($W$34:$W$36,$W$37))</f>
        <v>3066.3050175357689</v>
      </c>
      <c r="Z36" s="131">
        <f>SUM(W36:Y36)</f>
        <v>-26008.520872464233</v>
      </c>
      <c r="AA36" s="71">
        <f t="shared" si="22"/>
        <v>-14820.084000000003</v>
      </c>
      <c r="AB36" s="71"/>
      <c r="AC36" s="71">
        <f>$AA$25*(AA36/SUM($AA$34:$AA$36,$AA$37))</f>
        <v>1675.4429301250532</v>
      </c>
      <c r="AD36" s="131">
        <f>SUM(AA36:AC36)</f>
        <v>-13144.64106987495</v>
      </c>
      <c r="AE36" s="71">
        <f t="shared" si="22"/>
        <v>-11740.49453</v>
      </c>
      <c r="AF36" s="71"/>
      <c r="AG36" s="71">
        <f>$AE$25*(AE36/SUM($AE$34:$AE$36,$AE$37))</f>
        <v>2598.1572494449219</v>
      </c>
      <c r="AH36" s="131">
        <f>SUM(AE36:AG36)</f>
        <v>-9142.3372805550789</v>
      </c>
      <c r="AI36" s="71">
        <f t="shared" si="22"/>
        <v>-12123.485100000002</v>
      </c>
      <c r="AJ36" s="71"/>
      <c r="AK36" s="71">
        <f>$AI$25*(AI36/SUM($AI$34:$AI$36,$AI$37))</f>
        <v>2176.3177280886616</v>
      </c>
      <c r="AL36" s="131">
        <f>SUM(AI36:AK36)</f>
        <v>-9947.1673719113405</v>
      </c>
      <c r="AM36" s="71">
        <f t="shared" si="22"/>
        <v>-14771.517889999999</v>
      </c>
      <c r="AO36" s="57">
        <f>$AM$25*(AM36/SUM($AM$34:$AM$36,$AM$37))</f>
        <v>2543.3541816427132</v>
      </c>
      <c r="AP36" s="131">
        <f>SUM(AM36:AO36)</f>
        <v>-12228.163708357286</v>
      </c>
      <c r="AQ36" s="71">
        <f t="shared" si="23"/>
        <v>-27235.669870000002</v>
      </c>
      <c r="AS36" s="57">
        <f t="shared" ref="AS36:AS37" si="27">$AQ$25*(AQ36/SUM($AQ$34:$AQ$37))</f>
        <v>4615.0998823697191</v>
      </c>
      <c r="AT36" s="131">
        <f>SUM(AQ36:AS36)</f>
        <v>-22620.569987630282</v>
      </c>
      <c r="AU36" s="71">
        <f t="shared" si="24"/>
        <v>-26155.160299999996</v>
      </c>
      <c r="AW36" s="57">
        <f>$AU$25*(AU36/SUM($AU$34:$AU$37))</f>
        <v>4231.7039274873232</v>
      </c>
      <c r="AX36" s="131">
        <f>SUM(AU36:AW36)</f>
        <v>-21923.456372512672</v>
      </c>
      <c r="AY36" s="71">
        <f t="shared" si="25"/>
        <v>-28232.232550000001</v>
      </c>
      <c r="BA36" s="57">
        <f>$AY$25*(AY36/SUM($AY$34:$AY$37))</f>
        <v>4306.8244005520437</v>
      </c>
      <c r="BB36" s="131">
        <f>SUM(AY36:BA36)</f>
        <v>-23925.408149447958</v>
      </c>
      <c r="BC36" s="259"/>
      <c r="BD36" s="261">
        <f>$AU$25*(BB36/SUM($AU$34:$AU$37))</f>
        <v>3870.9471657398385</v>
      </c>
      <c r="BE36" s="261">
        <f>SUM(BB36:BD36)</f>
        <v>-20054.460983708119</v>
      </c>
      <c r="BF36" s="312">
        <f t="shared" si="26"/>
        <v>-30789.8</v>
      </c>
      <c r="BG36" s="312"/>
      <c r="BH36" s="312">
        <f>$BF$25*(BF36/SUM($BF$34:$BF$37))</f>
        <v>5087.1559028226957</v>
      </c>
      <c r="BI36" s="312">
        <f>SUM(BF36:BH36)</f>
        <v>-25702.644097177305</v>
      </c>
      <c r="BJ36" s="381">
        <v>-33538.106140000004</v>
      </c>
      <c r="BL36" s="382">
        <v>5497.2500283690133</v>
      </c>
      <c r="BM36" s="131">
        <v>-28040.85611163099</v>
      </c>
    </row>
    <row r="37" spans="2:65">
      <c r="B37" t="s">
        <v>139</v>
      </c>
      <c r="C37" s="71">
        <f>SUM(C5,C9)</f>
        <v>-14229.896180000002</v>
      </c>
      <c r="D37" s="71">
        <f>C21</f>
        <v>5476.3345699999991</v>
      </c>
      <c r="E37" s="71">
        <f t="shared" si="20"/>
        <v>1771.5682832555187</v>
      </c>
      <c r="F37" s="131">
        <f t="shared" si="18"/>
        <v>-6981.993326744484</v>
      </c>
      <c r="G37" s="71">
        <f>SUM(G5,G9)</f>
        <v>-12527.288310000002</v>
      </c>
      <c r="H37" s="71">
        <f>G21</f>
        <v>5185.6777900000006</v>
      </c>
      <c r="I37" s="71">
        <f t="shared" si="21"/>
        <v>1838.8820147253382</v>
      </c>
      <c r="J37" s="131">
        <f>SUM(G37:I37)</f>
        <v>-5502.7285052746629</v>
      </c>
      <c r="K37" s="71">
        <f>SUM(K5,K9)</f>
        <v>-9281.6209600000002</v>
      </c>
      <c r="L37" s="71">
        <f>K21</f>
        <v>5481.0301400000008</v>
      </c>
      <c r="M37" s="71">
        <f>$K$25*(K37/SUM($K$34:$K$36,$K$37))</f>
        <v>1175.784161184605</v>
      </c>
      <c r="N37" s="131">
        <f>SUM(K37:M37)</f>
        <v>-2624.8066588153943</v>
      </c>
      <c r="O37" s="71">
        <f>SUM(O5,O9)</f>
        <v>-9823.0217299999986</v>
      </c>
      <c r="P37" s="71">
        <f>O21</f>
        <v>4152.5972099999999</v>
      </c>
      <c r="Q37" s="71">
        <f>$O$25*(O37/SUM($O$34:$O$36,$O$37))</f>
        <v>1197.6633295949612</v>
      </c>
      <c r="R37" s="131">
        <f>SUM(O37:Q37)</f>
        <v>-4472.7611904050373</v>
      </c>
      <c r="S37" s="71">
        <f>SUM(S5,S9)</f>
        <v>-6176.7335299999995</v>
      </c>
      <c r="T37" s="71">
        <f>S21</f>
        <v>4420.4101600000004</v>
      </c>
      <c r="U37" s="71">
        <f>$S$25*(S37/SUM($S$34:$S$36,$S$37))</f>
        <v>758.83971173853718</v>
      </c>
      <c r="V37" s="131">
        <f>SUM(S37:U37)</f>
        <v>-997.48365826146198</v>
      </c>
      <c r="W37" s="71">
        <f>SUM(W5,W9)</f>
        <v>-7700.2303499999998</v>
      </c>
      <c r="X37" s="71">
        <f>W21</f>
        <v>5044.0842300000004</v>
      </c>
      <c r="Y37" s="71">
        <f>$W$25*(W37/SUM($W$34:$W$36,$W$37))</f>
        <v>812.08585900791468</v>
      </c>
      <c r="Z37" s="131">
        <f>SUM(W37:Y37)</f>
        <v>-1844.0602609920847</v>
      </c>
      <c r="AA37" s="71">
        <f>SUM(AA5,AA9)</f>
        <v>-9040.8325499999992</v>
      </c>
      <c r="AB37" s="71">
        <f>AA21</f>
        <v>3348.1144899999999</v>
      </c>
      <c r="AC37" s="71">
        <f>$AA$25*(AA37/SUM($AA$34:$AA$36,$AA$37))</f>
        <v>1022.085905743986</v>
      </c>
      <c r="AD37" s="131">
        <f>SUM(AA37:AC37)</f>
        <v>-4670.6321542560136</v>
      </c>
      <c r="AE37" s="71">
        <f>SUM(AE5,AE9)</f>
        <v>-8455.7649499999989</v>
      </c>
      <c r="AF37" s="71">
        <f>AE21</f>
        <v>3811.8438900000001</v>
      </c>
      <c r="AG37" s="71">
        <f>$AE$25*(AE37/SUM($AE$34:$AE$36,$AE$37))</f>
        <v>1871.250563450054</v>
      </c>
      <c r="AH37" s="131">
        <f>SUM(AE37:AG37)</f>
        <v>-2772.6704965499448</v>
      </c>
      <c r="AI37" s="71">
        <f>SUM(AI5,AI9)</f>
        <v>-9146.7889499999983</v>
      </c>
      <c r="AJ37" s="71">
        <f>AI21</f>
        <v>7352.7156500000001</v>
      </c>
      <c r="AK37" s="71">
        <f>$AI$25*(AI37/SUM($AI$34:$AI$36,$AI$37))</f>
        <v>1641.9634109147762</v>
      </c>
      <c r="AL37" s="131">
        <f>SUM(AI37:AK37)</f>
        <v>-152.10988908522199</v>
      </c>
      <c r="AM37" s="71">
        <f>SUM(AM5,AM9)</f>
        <v>-10966.587890000001</v>
      </c>
      <c r="AN37" s="71">
        <f>AM21</f>
        <v>7675.0457600000009</v>
      </c>
      <c r="AO37" s="57">
        <f>$AM$25*(AM37/SUM($AM$34:$AM$36,$AM$37))</f>
        <v>1888.2228201656967</v>
      </c>
      <c r="AP37" s="131">
        <f>SUM(AM37:AO37)</f>
        <v>-1403.3193098343031</v>
      </c>
      <c r="AQ37" s="71">
        <f>SUM(AQ5,AQ9)</f>
        <v>-9758.3273100000006</v>
      </c>
      <c r="AR37" s="57">
        <v>8875.1934799999999</v>
      </c>
      <c r="AS37" s="57">
        <f t="shared" si="27"/>
        <v>1653.554160241634</v>
      </c>
      <c r="AT37" s="131">
        <f>SUM(AQ37:AS37)</f>
        <v>770.42033024163334</v>
      </c>
      <c r="AU37" s="71">
        <f>SUM(AU5,AU9)</f>
        <v>-9748.7682999999997</v>
      </c>
      <c r="AV37" s="57">
        <f>AU21</f>
        <v>9356.1392500000002</v>
      </c>
      <c r="AW37" s="57">
        <f>$AU$25*(AU37/SUM($AU$34:$AU$37))</f>
        <v>1577.2757891785475</v>
      </c>
      <c r="AX37" s="131">
        <f>SUM(AU37:AW37)</f>
        <v>1184.6467391785479</v>
      </c>
      <c r="AY37" s="71">
        <f>SUM(AY5,AY9)</f>
        <v>-14152.317909999998</v>
      </c>
      <c r="AZ37" s="57">
        <f>AY21</f>
        <v>11497.723180000001</v>
      </c>
      <c r="BA37" s="57">
        <f>$AY$25*(AY37/SUM($AY$34:$AY$37))</f>
        <v>2158.9347562652356</v>
      </c>
      <c r="BB37" s="131">
        <f>SUM(AY37:BA37)</f>
        <v>-495.65997373476148</v>
      </c>
      <c r="BC37" s="259"/>
      <c r="BD37" s="261">
        <f>$AU$25*(BB37/SUM($AU$34:$AU$37))</f>
        <v>80.193974477443902</v>
      </c>
      <c r="BE37" s="261">
        <f>SUM(BB37:BD37)</f>
        <v>-415.46599925731755</v>
      </c>
      <c r="BF37" s="312">
        <f>SUM(BF5,BF9)</f>
        <v>-12842.6</v>
      </c>
      <c r="BG37" s="312">
        <f>BF21</f>
        <v>11176</v>
      </c>
      <c r="BH37" s="312">
        <f>$BF$25*(BF37/SUM($BF$34:$BF$37))</f>
        <v>2121.8815451087944</v>
      </c>
      <c r="BI37" s="312">
        <f>SUM(BF37:BH37)</f>
        <v>455.28154510879403</v>
      </c>
      <c r="BJ37" s="381">
        <v>-14028.970220000001</v>
      </c>
      <c r="BK37" s="311">
        <v>16694.268179999999</v>
      </c>
      <c r="BL37" s="382">
        <v>2299.4964777663217</v>
      </c>
      <c r="BM37" s="131">
        <v>4964.7944377663198</v>
      </c>
    </row>
    <row r="38" spans="2:65">
      <c r="F38" s="131"/>
      <c r="J38" s="56"/>
      <c r="N38" s="56"/>
      <c r="R38" s="56"/>
      <c r="V38" s="56"/>
      <c r="Z38" s="56"/>
      <c r="AD38" s="56"/>
      <c r="AH38" s="56"/>
      <c r="AL38" s="56"/>
      <c r="AP38" s="56"/>
      <c r="AT38" s="56"/>
      <c r="AX38" s="56"/>
      <c r="BB38" s="56"/>
      <c r="BC38" s="259"/>
      <c r="BD38" s="259"/>
      <c r="BE38" s="259"/>
      <c r="BF38" s="259"/>
      <c r="BG38" s="259"/>
      <c r="BH38" s="259"/>
      <c r="BI38" s="259"/>
      <c r="BM38" s="56"/>
    </row>
    <row r="39" spans="2:65">
      <c r="B39" s="62" t="s">
        <v>162</v>
      </c>
      <c r="C39" s="106">
        <f>SUM(C34:C37)</f>
        <v>-89976.346449999997</v>
      </c>
      <c r="D39" s="106">
        <f t="shared" ref="D39:E39" si="28">SUM(D34:D37)</f>
        <v>5476.3345699999991</v>
      </c>
      <c r="E39" s="106">
        <f t="shared" si="28"/>
        <v>11201.715008860332</v>
      </c>
      <c r="F39" s="106">
        <f>SUM(F34:F37)</f>
        <v>-73298.296871139668</v>
      </c>
      <c r="G39" s="106">
        <f>SUM(G34:G37)</f>
        <v>-116999.60178</v>
      </c>
      <c r="H39" s="106">
        <f t="shared" ref="H39:J39" si="29">SUM(H34:H37)</f>
        <v>5185.6777900000006</v>
      </c>
      <c r="I39" s="106">
        <f t="shared" si="29"/>
        <v>17174.384281674498</v>
      </c>
      <c r="J39" s="106">
        <f t="shared" si="29"/>
        <v>-94639.539708325494</v>
      </c>
      <c r="K39" s="106">
        <f>SUM(K34:K37)</f>
        <v>-78495.812179999994</v>
      </c>
      <c r="L39" s="106">
        <f t="shared" ref="L39:AT39" si="30">SUM(L34:L37)</f>
        <v>5481.0301400000008</v>
      </c>
      <c r="M39" s="106">
        <f t="shared" si="30"/>
        <v>9943.7515363227667</v>
      </c>
      <c r="N39" s="106">
        <f t="shared" si="30"/>
        <v>-63071.030503677226</v>
      </c>
      <c r="O39" s="106">
        <f t="shared" si="30"/>
        <v>-52584.332150000002</v>
      </c>
      <c r="P39" s="106">
        <f t="shared" si="30"/>
        <v>4152.5972099999999</v>
      </c>
      <c r="Q39" s="106">
        <f t="shared" si="30"/>
        <v>6411.2986877507774</v>
      </c>
      <c r="R39" s="106">
        <f t="shared" si="30"/>
        <v>-42020.436252249223</v>
      </c>
      <c r="S39" s="106">
        <f t="shared" si="30"/>
        <v>-44702.566449999998</v>
      </c>
      <c r="T39" s="106">
        <f t="shared" si="30"/>
        <v>4420.4101600000004</v>
      </c>
      <c r="U39" s="106">
        <f t="shared" si="30"/>
        <v>5491.912913861901</v>
      </c>
      <c r="V39" s="106">
        <f t="shared" si="30"/>
        <v>-34790.243376138089</v>
      </c>
      <c r="W39" s="106">
        <f t="shared" si="30"/>
        <v>-53221.275399999999</v>
      </c>
      <c r="X39" s="106">
        <f t="shared" si="30"/>
        <v>5044.0842300000004</v>
      </c>
      <c r="Y39" s="106">
        <f t="shared" si="30"/>
        <v>5612.8509390249346</v>
      </c>
      <c r="Z39" s="106">
        <f t="shared" si="30"/>
        <v>-42564.34023097506</v>
      </c>
      <c r="AA39" s="106">
        <f t="shared" si="30"/>
        <v>-38614.606240000001</v>
      </c>
      <c r="AB39" s="106">
        <f t="shared" si="30"/>
        <v>3348.1144899999999</v>
      </c>
      <c r="AC39" s="106">
        <f t="shared" si="30"/>
        <v>4365.465743943877</v>
      </c>
      <c r="AD39" s="106">
        <f t="shared" si="30"/>
        <v>-30901.026006056123</v>
      </c>
      <c r="AE39" s="106">
        <f t="shared" si="30"/>
        <v>-35989.841499999995</v>
      </c>
      <c r="AF39" s="106">
        <f t="shared" si="30"/>
        <v>3811.8438900000001</v>
      </c>
      <c r="AG39" s="106">
        <f t="shared" si="30"/>
        <v>7964.5084251488261</v>
      </c>
      <c r="AH39" s="106">
        <f t="shared" si="30"/>
        <v>-24213.489184851172</v>
      </c>
      <c r="AI39" s="106">
        <f t="shared" si="30"/>
        <v>-34713.490760000001</v>
      </c>
      <c r="AJ39" s="106">
        <f t="shared" si="30"/>
        <v>7352.7156500000001</v>
      </c>
      <c r="AK39" s="106">
        <f>SUM(AK34:AK37)</f>
        <v>6231.5072540345618</v>
      </c>
      <c r="AL39" s="106">
        <f t="shared" si="30"/>
        <v>-21129.267855965438</v>
      </c>
      <c r="AM39" s="106">
        <f t="shared" si="30"/>
        <v>-36741.600599999998</v>
      </c>
      <c r="AN39" s="106">
        <f t="shared" si="30"/>
        <v>7675.0457600000009</v>
      </c>
      <c r="AO39" s="106">
        <f t="shared" si="30"/>
        <v>6326.1544427684021</v>
      </c>
      <c r="AP39" s="106">
        <f t="shared" si="30"/>
        <v>-22740.400397231599</v>
      </c>
      <c r="AQ39" s="106">
        <f t="shared" si="30"/>
        <v>-51568.035250000001</v>
      </c>
      <c r="AR39" s="106">
        <f t="shared" si="30"/>
        <v>8875.1934799999999</v>
      </c>
      <c r="AS39" s="106">
        <f t="shared" si="30"/>
        <v>8738.2331535182675</v>
      </c>
      <c r="AT39" s="106">
        <f t="shared" si="30"/>
        <v>-33954.608616481732</v>
      </c>
      <c r="AU39" s="106">
        <f t="shared" ref="AU39:BB39" si="31">SUM(AU34:AU37)</f>
        <v>-49210.465279999989</v>
      </c>
      <c r="AV39" s="106">
        <f t="shared" si="31"/>
        <v>9356.1392500000002</v>
      </c>
      <c r="AW39" s="106">
        <f t="shared" si="31"/>
        <v>7961.8750873744239</v>
      </c>
      <c r="AX39" s="106">
        <f t="shared" si="31"/>
        <v>-31892.450942625568</v>
      </c>
      <c r="AY39" s="106">
        <f t="shared" si="31"/>
        <v>-56809.426419999996</v>
      </c>
      <c r="AZ39" s="106">
        <f t="shared" si="31"/>
        <v>11497.723180000001</v>
      </c>
      <c r="BA39" s="106">
        <f t="shared" si="31"/>
        <v>8666.2726177856566</v>
      </c>
      <c r="BB39" s="106">
        <f t="shared" si="31"/>
        <v>-36645.430622214342</v>
      </c>
      <c r="BC39" s="259"/>
      <c r="BD39" s="262">
        <f t="shared" ref="BD39:BI39" si="32">SUM(BD34:BD37)</f>
        <v>5928.9490452287018</v>
      </c>
      <c r="BE39" s="262">
        <f t="shared" si="32"/>
        <v>-30716.48157698564</v>
      </c>
      <c r="BF39" s="262">
        <f t="shared" si="32"/>
        <v>-57976.499999999993</v>
      </c>
      <c r="BG39" s="262">
        <f t="shared" si="32"/>
        <v>11176</v>
      </c>
      <c r="BH39" s="262">
        <f t="shared" si="32"/>
        <v>9579</v>
      </c>
      <c r="BI39" s="262">
        <f t="shared" si="32"/>
        <v>-37221.5</v>
      </c>
      <c r="BJ39" s="106">
        <v>-62028.157560000007</v>
      </c>
      <c r="BK39" s="106">
        <v>16694.268179999999</v>
      </c>
      <c r="BL39" s="106">
        <v>10167.070540089466</v>
      </c>
      <c r="BM39" s="106">
        <v>-35166.818839910542</v>
      </c>
    </row>
    <row r="40" spans="2:65">
      <c r="BC40" s="259"/>
      <c r="BD40" s="259"/>
      <c r="BE40" s="259"/>
      <c r="BF40" s="259"/>
      <c r="BG40" s="259"/>
      <c r="BH40" s="259"/>
      <c r="BI40" s="259"/>
    </row>
    <row r="41" spans="2:65">
      <c r="BC41" s="259"/>
      <c r="BD41" s="259"/>
      <c r="BE41" s="259"/>
      <c r="BF41" s="259"/>
      <c r="BG41" s="259"/>
      <c r="BH41" s="259"/>
      <c r="BI41" s="259"/>
    </row>
    <row r="42" spans="2:65">
      <c r="BC42" s="259"/>
      <c r="BD42" s="259"/>
      <c r="BE42" s="259"/>
      <c r="BF42" s="259"/>
      <c r="BG42" s="259"/>
      <c r="BH42" s="259"/>
      <c r="BI42" s="259"/>
    </row>
    <row r="43" spans="2:65">
      <c r="B43" s="59" t="s">
        <v>146</v>
      </c>
      <c r="BC43" s="259"/>
      <c r="BD43" s="259"/>
      <c r="BE43" s="259"/>
      <c r="BF43" s="259"/>
      <c r="BG43" s="259"/>
      <c r="BH43" s="259"/>
      <c r="BI43" s="259"/>
    </row>
    <row r="44" spans="2:65">
      <c r="B44" t="s">
        <v>188</v>
      </c>
      <c r="F44" s="81">
        <v>-6478.2048500000001</v>
      </c>
      <c r="J44" s="81">
        <v>-8586.4714999999997</v>
      </c>
      <c r="N44" s="81">
        <v>-16598.4031</v>
      </c>
      <c r="R44" s="81">
        <v>-24782.460919999998</v>
      </c>
      <c r="V44" s="81">
        <v>-14967.949919999999</v>
      </c>
      <c r="Z44" s="81">
        <v>-13224.780899999998</v>
      </c>
      <c r="AD44" s="81">
        <v>-7979.6970300000012</v>
      </c>
      <c r="AH44" s="81">
        <v>-11763.94203</v>
      </c>
      <c r="AL44" s="81">
        <v>-13090.585279999999</v>
      </c>
      <c r="AP44" s="81">
        <v>-11331.249449999999</v>
      </c>
      <c r="AT44" s="81">
        <v>-7464.78377</v>
      </c>
      <c r="AX44" s="81">
        <f>'SAP IM, Historical'!AM15</f>
        <v>-8048.4788100000005</v>
      </c>
      <c r="BB44" s="81">
        <f>'SAP IM, Historical'!AP15</f>
        <v>-6150.74154</v>
      </c>
      <c r="BC44" s="259"/>
      <c r="BD44" s="259"/>
      <c r="BE44" s="259">
        <f>'SAP IM, Historical'!AT15</f>
        <v>-2720.8999999999996</v>
      </c>
      <c r="BF44" s="259"/>
      <c r="BG44" s="259"/>
      <c r="BH44" s="259"/>
      <c r="BI44" s="311">
        <v>-5591.4000000000005</v>
      </c>
      <c r="BM44" s="311">
        <v>-5757.5734999999995</v>
      </c>
    </row>
    <row r="45" spans="2:65">
      <c r="B45" t="s">
        <v>37</v>
      </c>
      <c r="F45" s="81">
        <v>-28473.912489999999</v>
      </c>
      <c r="J45" s="81">
        <v>-26621.955959999999</v>
      </c>
      <c r="N45" s="81">
        <v>-22817.386019999998</v>
      </c>
      <c r="R45" s="81">
        <v>-14848.769470000001</v>
      </c>
      <c r="V45" s="81">
        <v>-10861.95637</v>
      </c>
      <c r="Z45" s="81">
        <v>-15486.857829999999</v>
      </c>
      <c r="AD45" s="81">
        <v>-12362.633450000001</v>
      </c>
      <c r="AH45" s="81">
        <v>-11059.671469999999</v>
      </c>
      <c r="AL45" s="81">
        <v>-7975.0505199999998</v>
      </c>
      <c r="AP45" s="81">
        <v>-6759.2807200000007</v>
      </c>
      <c r="AT45" s="81">
        <v>-7109.3247499999998</v>
      </c>
      <c r="AX45" s="81">
        <f>'SAP IM, Historical'!AM16</f>
        <v>-5258.0578699999996</v>
      </c>
      <c r="BB45" s="81">
        <f>'SAP IM, Historical'!AP16</f>
        <v>-8274.1344200000003</v>
      </c>
      <c r="BC45" s="259"/>
      <c r="BD45" s="259"/>
      <c r="BE45" s="259">
        <f>'SAP IM, Historical'!AT16</f>
        <v>-4004.6000000000004</v>
      </c>
      <c r="BF45" s="259"/>
      <c r="BG45" s="259"/>
      <c r="BH45" s="259"/>
      <c r="BI45" s="311">
        <v>-8751.7999999999993</v>
      </c>
      <c r="BM45" s="311">
        <v>-8704.2237000000005</v>
      </c>
    </row>
    <row r="46" spans="2:65">
      <c r="B46" t="s">
        <v>38</v>
      </c>
      <c r="F46" s="81">
        <v>-39228.420530000003</v>
      </c>
      <c r="J46" s="81">
        <v>-62676.26797999999</v>
      </c>
      <c r="N46" s="81">
        <v>-43759.435079999996</v>
      </c>
      <c r="R46" s="81">
        <v>-25765.974450000002</v>
      </c>
      <c r="V46" s="81">
        <v>-25912.482539999997</v>
      </c>
      <c r="Z46" s="81">
        <v>-29074.82589</v>
      </c>
      <c r="AD46" s="81">
        <v>-14820.084000000003</v>
      </c>
      <c r="AH46" s="81">
        <v>-11405.275459999999</v>
      </c>
      <c r="AL46" s="81">
        <v>-12721.485100000002</v>
      </c>
      <c r="AP46" s="81">
        <v>-15150.017889999999</v>
      </c>
      <c r="AT46" s="81">
        <v>-27235.630599999997</v>
      </c>
      <c r="AX46" s="81">
        <f>'SAP IM, Historical'!AM17</f>
        <v>-26155.1603</v>
      </c>
      <c r="BB46" s="81">
        <f>'SAP IM, Historical'!AP17</f>
        <v>-28232.232550000001</v>
      </c>
      <c r="BC46" s="259"/>
      <c r="BD46" s="259"/>
      <c r="BE46" s="259">
        <f>'SAP IM, Historical'!AT17</f>
        <v>-15451.400000000001</v>
      </c>
      <c r="BF46" s="259"/>
      <c r="BG46" s="259"/>
      <c r="BH46" s="259"/>
      <c r="BI46" s="311">
        <v>-30789.7</v>
      </c>
      <c r="BM46" s="311">
        <v>-33538.100140000002</v>
      </c>
    </row>
    <row r="47" spans="2:65">
      <c r="B47" t="s">
        <v>160</v>
      </c>
      <c r="F47" s="81">
        <v>-13272.541430000001</v>
      </c>
      <c r="J47" s="81">
        <v>-11458.67252</v>
      </c>
      <c r="N47" s="81">
        <v>-9332.6729599999999</v>
      </c>
      <c r="R47" s="81">
        <v>-9823.0217300000004</v>
      </c>
      <c r="V47" s="81">
        <v>-6176.7335299999995</v>
      </c>
      <c r="Z47" s="81">
        <v>-7700.2303499999998</v>
      </c>
      <c r="AD47" s="81">
        <v>-9040.832550000001</v>
      </c>
      <c r="AH47" s="81">
        <v>-9096.7163833333288</v>
      </c>
      <c r="AL47" s="81">
        <v>-9146.7889500000001</v>
      </c>
      <c r="AP47" s="81">
        <v>-10966.587890000001</v>
      </c>
      <c r="AT47" s="81">
        <v>-9758.3276000000005</v>
      </c>
      <c r="AX47" s="81">
        <f>'SAP IM, Historical'!AM18</f>
        <v>-9748.7682999999997</v>
      </c>
      <c r="BB47" s="81">
        <f>'SAP IM, Historical'!AP18</f>
        <v>-14152.317909999998</v>
      </c>
      <c r="BC47" s="259"/>
      <c r="BD47" s="259"/>
      <c r="BE47" s="259">
        <f>'SAP IM, Historical'!AT18</f>
        <v>-6301.7000000000007</v>
      </c>
      <c r="BF47" s="259"/>
      <c r="BG47" s="259"/>
      <c r="BH47" s="259"/>
      <c r="BI47" s="311">
        <v>-12842.8</v>
      </c>
      <c r="BM47" s="311">
        <v>-14028.798220000001</v>
      </c>
    </row>
    <row r="48" spans="2:65">
      <c r="F48" s="81"/>
      <c r="J48" s="81"/>
      <c r="N48" s="81"/>
      <c r="R48" s="81">
        <v>-75220.226569999999</v>
      </c>
      <c r="V48" s="81">
        <v>-57919.122359999994</v>
      </c>
      <c r="Z48" s="81">
        <v>-65486.694969999997</v>
      </c>
      <c r="AD48" s="81">
        <v>-44203.247030000006</v>
      </c>
      <c r="AH48" s="81">
        <v>-43325.605343333329</v>
      </c>
      <c r="AL48" s="81">
        <v>-42933.909850000004</v>
      </c>
      <c r="AP48" s="81">
        <v>-44207.135950000004</v>
      </c>
      <c r="AT48" s="81">
        <v>-51568.066720000003</v>
      </c>
      <c r="AX48" s="81">
        <f>'SAP IM, Historical'!AM19</f>
        <v>-49210.465280000004</v>
      </c>
      <c r="BB48" s="81">
        <f>'SAP IM, Historical'!AP19</f>
        <v>-56809.426420000003</v>
      </c>
      <c r="BC48" s="259"/>
      <c r="BD48" s="259"/>
      <c r="BE48" s="259">
        <f>'SAP IM, Historical'!AT19</f>
        <v>-28478.600000000002</v>
      </c>
      <c r="BF48" s="259"/>
      <c r="BG48" s="259"/>
      <c r="BH48" s="259"/>
      <c r="BI48" s="311">
        <v>-57975.7</v>
      </c>
      <c r="BM48" s="311">
        <v>-62028.695560000007</v>
      </c>
    </row>
    <row r="49" spans="2:65">
      <c r="B49" s="62" t="s">
        <v>162</v>
      </c>
      <c r="C49" s="62"/>
      <c r="D49" s="62"/>
      <c r="E49" s="62"/>
      <c r="F49" s="106">
        <f>SUM(F44:F47)</f>
        <v>-87453.079299999998</v>
      </c>
      <c r="G49" s="62"/>
      <c r="H49" s="62"/>
      <c r="I49" s="62"/>
      <c r="J49" s="106">
        <f>SUM(J44:J47)</f>
        <v>-109343.36795999997</v>
      </c>
      <c r="K49" s="106"/>
      <c r="L49" s="106"/>
      <c r="M49" s="106"/>
      <c r="N49" s="106">
        <f>SUM(N44:N47)</f>
        <v>-92507.897159999993</v>
      </c>
      <c r="O49" s="106"/>
      <c r="P49" s="106"/>
      <c r="Q49" s="106"/>
      <c r="R49" s="106">
        <f>SUM(R44:R47)</f>
        <v>-75220.226569999999</v>
      </c>
      <c r="S49" s="106"/>
      <c r="T49" s="106"/>
      <c r="U49" s="106"/>
      <c r="V49" s="106">
        <f>SUM(V44:V47)</f>
        <v>-57919.122359999994</v>
      </c>
      <c r="W49" s="106"/>
      <c r="X49" s="106"/>
      <c r="Y49" s="106"/>
      <c r="Z49" s="106">
        <f>SUM(Z44:Z47)</f>
        <v>-65486.694969999997</v>
      </c>
      <c r="AA49" s="106"/>
      <c r="AB49" s="106"/>
      <c r="AC49" s="106"/>
      <c r="AD49" s="106">
        <f>SUM(AD44:AD47)</f>
        <v>-44203.247030000006</v>
      </c>
      <c r="AE49" s="106"/>
      <c r="AF49" s="106"/>
      <c r="AG49" s="106"/>
      <c r="AH49" s="106">
        <f>SUM(AH44:AH47)</f>
        <v>-43325.605343333329</v>
      </c>
      <c r="AI49" s="106"/>
      <c r="AJ49" s="106"/>
      <c r="AK49" s="106"/>
      <c r="AL49" s="106">
        <f>SUM(AL44:AL47)</f>
        <v>-42933.909850000004</v>
      </c>
      <c r="AM49" s="106"/>
      <c r="AN49" s="106"/>
      <c r="AO49" s="106"/>
      <c r="AP49" s="106">
        <f>SUM(AP44:AP47)</f>
        <v>-44207.135950000004</v>
      </c>
      <c r="AQ49" s="106"/>
      <c r="AR49" s="106"/>
      <c r="AS49" s="106"/>
      <c r="AT49" s="106">
        <f>SUM(AT44:AT47)</f>
        <v>-51568.066720000003</v>
      </c>
      <c r="AU49" s="106"/>
      <c r="AV49" s="106"/>
      <c r="AW49" s="106"/>
      <c r="AX49" s="106">
        <f>SUM(AX44:AX47)</f>
        <v>-49210.465280000004</v>
      </c>
      <c r="AY49" s="106"/>
      <c r="AZ49" s="106"/>
      <c r="BA49" s="106"/>
      <c r="BB49" s="106">
        <f>SUM(BB44:BB47)</f>
        <v>-56809.426420000003</v>
      </c>
      <c r="BC49" s="259"/>
      <c r="BD49" s="260"/>
      <c r="BE49" s="260">
        <f>SUM(BE44:BE47)</f>
        <v>-28478.600000000002</v>
      </c>
      <c r="BF49" s="260"/>
      <c r="BG49" s="260"/>
      <c r="BH49" s="260"/>
      <c r="BI49" s="262">
        <f>SUM(BI44:BI47)</f>
        <v>-57975.7</v>
      </c>
      <c r="BJ49" s="106"/>
      <c r="BK49" s="106"/>
      <c r="BL49" s="106"/>
      <c r="BM49" s="383">
        <v>-62028.695560000007</v>
      </c>
    </row>
  </sheetData>
  <mergeCells count="2">
    <mergeCell ref="A1:B1"/>
    <mergeCell ref="A10:B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1AAC-DECE-45BE-8316-774584916764}">
  <sheetPr>
    <tabColor theme="6" tint="0.79998168889431442"/>
  </sheetPr>
  <dimension ref="A1:K368"/>
  <sheetViews>
    <sheetView showGridLines="0" tabSelected="1" workbookViewId="0">
      <selection activeCell="N30" sqref="N30"/>
    </sheetView>
  </sheetViews>
  <sheetFormatPr defaultRowHeight="15"/>
  <cols>
    <col min="3" max="3" width="33.85546875" bestFit="1" customWidth="1"/>
    <col min="5" max="5" width="14.28515625" bestFit="1" customWidth="1"/>
    <col min="6" max="6" width="14.85546875" bestFit="1" customWidth="1"/>
    <col min="7" max="7" width="11.5703125" bestFit="1" customWidth="1"/>
    <col min="8" max="8" width="14.7109375" bestFit="1" customWidth="1"/>
    <col min="9" max="9" width="26.42578125" bestFit="1" customWidth="1"/>
    <col min="10" max="10" width="10" bestFit="1" customWidth="1"/>
  </cols>
  <sheetData>
    <row r="1" spans="3:10">
      <c r="E1" s="57">
        <v>1000</v>
      </c>
    </row>
    <row r="2" spans="3:10" s="56" customFormat="1">
      <c r="C2" s="60" t="s">
        <v>44</v>
      </c>
      <c r="E2" s="81"/>
    </row>
    <row r="3" spans="3:10">
      <c r="E3" s="57"/>
      <c r="H3" s="72">
        <v>-5401.3303909998212</v>
      </c>
      <c r="J3" s="76"/>
    </row>
    <row r="4" spans="3:10">
      <c r="E4" s="57"/>
    </row>
    <row r="5" spans="3:10">
      <c r="E5" s="79" t="s">
        <v>235</v>
      </c>
    </row>
    <row r="6" spans="3:10">
      <c r="E6" s="79" t="s">
        <v>44</v>
      </c>
      <c r="F6" s="79" t="s">
        <v>236</v>
      </c>
      <c r="G6" s="79" t="s">
        <v>237</v>
      </c>
      <c r="H6" s="79" t="s">
        <v>238</v>
      </c>
      <c r="I6" s="79" t="s">
        <v>224</v>
      </c>
    </row>
    <row r="7" spans="3:10">
      <c r="C7" t="s">
        <v>239</v>
      </c>
      <c r="E7" s="57">
        <v>1514.8673600000002</v>
      </c>
      <c r="F7" s="57">
        <v>126.27403424276406</v>
      </c>
      <c r="G7" s="72"/>
      <c r="H7" s="57">
        <f>(E7/($E$15-$E$12))*$H$3</f>
        <v>-96.719812755444295</v>
      </c>
      <c r="I7" s="75">
        <f>SUM(E7:H7)</f>
        <v>1544.4215814873201</v>
      </c>
    </row>
    <row r="8" spans="3:10">
      <c r="C8" t="s">
        <v>240</v>
      </c>
      <c r="E8" s="57">
        <v>30513.042949999999</v>
      </c>
      <c r="F8" s="57">
        <v>4541.9275697481571</v>
      </c>
      <c r="G8" s="72"/>
      <c r="H8" s="57">
        <f t="shared" ref="H8:H11" si="0">(E8/($E$15-$E$12))*$H$3</f>
        <v>-1948.1677925404829</v>
      </c>
      <c r="I8" s="72">
        <f t="shared" ref="I8:I9" si="1">SUM(E8:H8)</f>
        <v>33106.802727207672</v>
      </c>
    </row>
    <row r="9" spans="3:10">
      <c r="C9" t="s">
        <v>241</v>
      </c>
      <c r="E9" s="57">
        <v>35442.906840000032</v>
      </c>
      <c r="F9" s="57">
        <v>5240.034885395009</v>
      </c>
      <c r="G9" s="72"/>
      <c r="H9" s="57">
        <f t="shared" si="0"/>
        <v>-2262.9250610254476</v>
      </c>
      <c r="I9" s="72">
        <f t="shared" si="1"/>
        <v>38420.016664369592</v>
      </c>
    </row>
    <row r="10" spans="3:10">
      <c r="C10" t="s">
        <v>242</v>
      </c>
      <c r="E10" s="57">
        <v>5928.5635300000004</v>
      </c>
      <c r="F10" s="57">
        <v>863.69154208995326</v>
      </c>
      <c r="G10" s="72"/>
      <c r="H10" s="57">
        <f t="shared" si="0"/>
        <v>-378.52129478210935</v>
      </c>
      <c r="I10" s="78">
        <f>SUM(E10:H10)</f>
        <v>6413.7337773078443</v>
      </c>
    </row>
    <row r="11" spans="3:10">
      <c r="C11" t="s">
        <v>243</v>
      </c>
      <c r="E11" s="57">
        <v>5693.4342100000076</v>
      </c>
      <c r="F11" s="57">
        <v>813.77488427263575</v>
      </c>
      <c r="G11" s="72"/>
      <c r="H11" s="57">
        <f t="shared" si="0"/>
        <v>-363.50898122634413</v>
      </c>
      <c r="I11" s="75">
        <f t="shared" ref="I11:I14" si="2">SUM(E11:H11)</f>
        <v>6143.7001130462995</v>
      </c>
    </row>
    <row r="12" spans="3:10">
      <c r="C12" t="s">
        <v>244</v>
      </c>
      <c r="E12" s="57">
        <v>6328.2857699999986</v>
      </c>
      <c r="F12" s="57">
        <v>820.90056334402664</v>
      </c>
      <c r="G12" s="72">
        <f>-SUM(E12:F12)</f>
        <v>-7149.1863333440251</v>
      </c>
      <c r="H12" s="57"/>
      <c r="I12" s="72">
        <f t="shared" si="2"/>
        <v>0</v>
      </c>
    </row>
    <row r="13" spans="3:10">
      <c r="C13" t="s">
        <v>245</v>
      </c>
      <c r="E13" s="57">
        <v>4418.8912700000001</v>
      </c>
      <c r="F13" s="57">
        <v>568.90207591576734</v>
      </c>
      <c r="G13" s="72"/>
      <c r="H13" s="57">
        <f t="shared" ref="H13:H14" si="3">(E13/($E$15-$E$12))*$H$3</f>
        <v>-282.13317383844577</v>
      </c>
      <c r="I13" s="75">
        <f t="shared" si="2"/>
        <v>4705.6601720773215</v>
      </c>
    </row>
    <row r="14" spans="3:10">
      <c r="C14" t="s">
        <v>246</v>
      </c>
      <c r="E14" s="57">
        <v>1086.2565199999999</v>
      </c>
      <c r="F14" s="57">
        <v>142.43333211227227</v>
      </c>
      <c r="G14" s="72"/>
      <c r="H14" s="57">
        <f t="shared" si="3"/>
        <v>-69.354274831547301</v>
      </c>
      <c r="I14" s="78">
        <f t="shared" si="2"/>
        <v>1159.3355772807247</v>
      </c>
    </row>
    <row r="15" spans="3:10">
      <c r="C15" s="59" t="s">
        <v>224</v>
      </c>
      <c r="E15" s="73">
        <f>SUM(E7:E14)</f>
        <v>90926.248450000043</v>
      </c>
      <c r="F15" s="73">
        <f>SUM(F7:F14)</f>
        <v>13117.938887120585</v>
      </c>
      <c r="G15" s="73">
        <f>SUM(G7:G14)</f>
        <v>-7149.1863333440251</v>
      </c>
      <c r="H15" s="73">
        <f>SUM(H7:H14)</f>
        <v>-5401.3303909998222</v>
      </c>
      <c r="I15" s="73">
        <f>SUM(I7:I14)</f>
        <v>91493.670612776783</v>
      </c>
    </row>
    <row r="16" spans="3:10">
      <c r="E16" s="72"/>
      <c r="F16" s="72"/>
      <c r="G16" s="72"/>
      <c r="H16" s="72"/>
      <c r="I16" s="72"/>
    </row>
    <row r="17" spans="3:10">
      <c r="E17" s="73"/>
      <c r="F17" s="72"/>
      <c r="G17" s="72"/>
      <c r="H17" s="72"/>
      <c r="I17" s="72"/>
    </row>
    <row r="18" spans="3:10">
      <c r="C18" t="s">
        <v>188</v>
      </c>
      <c r="E18" s="72">
        <f>SUM(I7,I11,I13)</f>
        <v>12393.781866610942</v>
      </c>
      <c r="F18" s="72"/>
      <c r="G18" s="72"/>
      <c r="H18" s="72"/>
      <c r="I18" s="72"/>
    </row>
    <row r="19" spans="3:10">
      <c r="C19" t="s">
        <v>37</v>
      </c>
      <c r="E19" s="76">
        <f>I8</f>
        <v>33106.802727207672</v>
      </c>
    </row>
    <row r="20" spans="3:10">
      <c r="C20" t="s">
        <v>38</v>
      </c>
      <c r="E20" s="76">
        <f>I9</f>
        <v>38420.016664369592</v>
      </c>
    </row>
    <row r="21" spans="3:10">
      <c r="C21" t="s">
        <v>1</v>
      </c>
      <c r="E21" s="76">
        <f>SUM(I10,I14)</f>
        <v>7573.0693545885688</v>
      </c>
    </row>
    <row r="22" spans="3:10">
      <c r="C22" s="59" t="s">
        <v>224</v>
      </c>
      <c r="E22" s="77">
        <f>SUM(E18:E21)</f>
        <v>91493.670612776768</v>
      </c>
    </row>
    <row r="23" spans="3:10">
      <c r="E23" s="57"/>
    </row>
    <row r="24" spans="3:10">
      <c r="E24" s="57"/>
    </row>
    <row r="25" spans="3:10" s="56" customFormat="1">
      <c r="C25" s="60" t="s">
        <v>45</v>
      </c>
      <c r="E25" s="81"/>
    </row>
    <row r="26" spans="3:10">
      <c r="E26" s="57"/>
      <c r="H26" s="76">
        <v>-7599.6781272238004</v>
      </c>
      <c r="J26" s="76"/>
    </row>
    <row r="27" spans="3:10">
      <c r="E27" s="57"/>
    </row>
    <row r="28" spans="3:10">
      <c r="E28" s="79" t="s">
        <v>235</v>
      </c>
    </row>
    <row r="29" spans="3:10">
      <c r="E29" s="79" t="s">
        <v>45</v>
      </c>
      <c r="F29" s="79" t="s">
        <v>236</v>
      </c>
      <c r="G29" s="79" t="s">
        <v>237</v>
      </c>
      <c r="H29" s="79" t="s">
        <v>238</v>
      </c>
      <c r="I29" s="79" t="s">
        <v>224</v>
      </c>
    </row>
    <row r="30" spans="3:10">
      <c r="C30" t="s">
        <v>239</v>
      </c>
      <c r="E30" s="57">
        <v>3647.9744100000003</v>
      </c>
      <c r="F30" s="57">
        <v>407.60561563002352</v>
      </c>
      <c r="G30" s="72"/>
      <c r="H30" s="57">
        <f>(E30/($E$38-$E$35))*$H$26</f>
        <v>-287.46765369599103</v>
      </c>
      <c r="I30" s="75">
        <f>SUM(E30:H30)</f>
        <v>3768.1123719340326</v>
      </c>
    </row>
    <row r="31" spans="3:10">
      <c r="C31" t="s">
        <v>240</v>
      </c>
      <c r="E31" s="57">
        <v>30241.584289999999</v>
      </c>
      <c r="F31" s="57">
        <v>3649.3856817113883</v>
      </c>
      <c r="G31" s="72"/>
      <c r="H31" s="57">
        <f>(E31/($E$38-$E$35))*$H$26</f>
        <v>-2383.0971116641799</v>
      </c>
      <c r="I31" s="72">
        <f t="shared" ref="I31:I32" si="4">SUM(E31:H31)</f>
        <v>31507.872860047202</v>
      </c>
    </row>
    <row r="32" spans="3:10">
      <c r="C32" t="s">
        <v>241</v>
      </c>
      <c r="E32" s="57">
        <v>48875.027589999976</v>
      </c>
      <c r="F32" s="57">
        <v>6378.7557133658865</v>
      </c>
      <c r="G32" s="72"/>
      <c r="H32" s="57">
        <f>(E32/($E$38-$E$35))*$H$26</f>
        <v>-3851.4495790073588</v>
      </c>
      <c r="I32" s="72">
        <f t="shared" si="4"/>
        <v>51402.333724358505</v>
      </c>
    </row>
    <row r="33" spans="3:9">
      <c r="C33" t="s">
        <v>242</v>
      </c>
      <c r="E33" s="57">
        <v>3812.6522400000003</v>
      </c>
      <c r="F33" s="57">
        <v>454.54988814146157</v>
      </c>
      <c r="G33" s="72"/>
      <c r="H33" s="57">
        <f>(E33/($E$38-$E$35))*$H$26</f>
        <v>-300.4445948927488</v>
      </c>
      <c r="I33" s="78">
        <f>SUM(E33:H33)</f>
        <v>3966.7575332487131</v>
      </c>
    </row>
    <row r="34" spans="3:9">
      <c r="C34" t="s">
        <v>243</v>
      </c>
      <c r="E34" s="57">
        <v>6354.4496799999943</v>
      </c>
      <c r="F34" s="57">
        <v>838.73143536540204</v>
      </c>
      <c r="G34" s="72"/>
      <c r="H34" s="57">
        <f>(E34/($E$38-$E$35))*$H$26</f>
        <v>-500.7432988102675</v>
      </c>
      <c r="I34" s="75">
        <f t="shared" ref="I34:I37" si="5">SUM(E34:H34)</f>
        <v>6692.4378165551288</v>
      </c>
    </row>
    <row r="35" spans="3:9">
      <c r="C35" t="s">
        <v>244</v>
      </c>
      <c r="E35" s="57">
        <v>6508.4127099999905</v>
      </c>
      <c r="F35" s="57">
        <v>859.57386291579053</v>
      </c>
      <c r="G35" s="72">
        <f>-SUM(E35:F35)</f>
        <v>-7367.9865729157809</v>
      </c>
      <c r="H35" s="57"/>
      <c r="I35" s="72">
        <f t="shared" si="5"/>
        <v>0</v>
      </c>
    </row>
    <row r="36" spans="3:9">
      <c r="C36" t="s">
        <v>245</v>
      </c>
      <c r="E36" s="57">
        <v>2863.2767599999993</v>
      </c>
      <c r="F36" s="57">
        <v>391.39543803635462</v>
      </c>
      <c r="G36" s="72"/>
      <c r="H36" s="57">
        <f>(E36/($E$38-$E$35))*$H$26</f>
        <v>-225.63191502197486</v>
      </c>
      <c r="I36" s="75">
        <f t="shared" si="5"/>
        <v>3029.0402830143794</v>
      </c>
    </row>
    <row r="37" spans="3:9">
      <c r="C37" t="s">
        <v>246</v>
      </c>
      <c r="E37" s="57">
        <v>645.21177999999998</v>
      </c>
      <c r="F37" s="57">
        <v>82.142401854828748</v>
      </c>
      <c r="G37" s="72"/>
      <c r="H37" s="57">
        <f>(E37/($E$38-$E$35))*$H$26</f>
        <v>-50.843974131280682</v>
      </c>
      <c r="I37" s="78">
        <f t="shared" si="5"/>
        <v>676.51020772354809</v>
      </c>
    </row>
    <row r="38" spans="3:9">
      <c r="C38" s="59" t="s">
        <v>224</v>
      </c>
      <c r="E38" s="73">
        <f>SUM(E30:E37)</f>
        <v>102948.58945999994</v>
      </c>
      <c r="F38" s="73">
        <f>SUM(F30:F37)</f>
        <v>13062.140037021138</v>
      </c>
      <c r="G38" s="73">
        <f>SUM(G30:G37)</f>
        <v>-7367.9865729157809</v>
      </c>
      <c r="H38" s="73">
        <f>SUM(H30:H37)</f>
        <v>-7599.6781272238013</v>
      </c>
      <c r="I38" s="73">
        <f>SUM(I30:I37)</f>
        <v>101043.0647968815</v>
      </c>
    </row>
    <row r="39" spans="3:9">
      <c r="E39" s="72"/>
      <c r="F39" s="72"/>
      <c r="G39" s="72"/>
      <c r="H39" s="72"/>
      <c r="I39" s="72"/>
    </row>
    <row r="40" spans="3:9">
      <c r="E40" s="73"/>
      <c r="F40" s="72"/>
      <c r="G40" s="72"/>
      <c r="H40" s="72"/>
      <c r="I40" s="72"/>
    </row>
    <row r="41" spans="3:9">
      <c r="C41" t="s">
        <v>188</v>
      </c>
      <c r="E41" s="72">
        <f>SUM(I30,I34,I36)</f>
        <v>13489.590471503541</v>
      </c>
      <c r="F41" s="72"/>
      <c r="G41" s="72"/>
      <c r="H41" s="72"/>
      <c r="I41" s="72"/>
    </row>
    <row r="42" spans="3:9">
      <c r="C42" t="s">
        <v>37</v>
      </c>
      <c r="E42" s="76">
        <f>I31</f>
        <v>31507.872860047202</v>
      </c>
    </row>
    <row r="43" spans="3:9">
      <c r="C43" t="s">
        <v>38</v>
      </c>
      <c r="E43" s="76">
        <f>I32</f>
        <v>51402.333724358505</v>
      </c>
    </row>
    <row r="44" spans="3:9">
      <c r="C44" t="s">
        <v>1</v>
      </c>
      <c r="E44" s="76">
        <f>SUM(I33,I37)</f>
        <v>4643.267740972261</v>
      </c>
    </row>
    <row r="45" spans="3:9">
      <c r="C45" s="59" t="s">
        <v>224</v>
      </c>
      <c r="E45" s="77">
        <f>SUM(E41:E44)</f>
        <v>101043.06479688152</v>
      </c>
    </row>
    <row r="46" spans="3:9">
      <c r="E46" s="57"/>
    </row>
    <row r="47" spans="3:9">
      <c r="E47" s="57"/>
    </row>
    <row r="48" spans="3:9" s="56" customFormat="1">
      <c r="C48" s="60" t="s">
        <v>46</v>
      </c>
      <c r="E48" s="81"/>
    </row>
    <row r="49" spans="3:9">
      <c r="H49" s="72">
        <v>-5653.4880235380988</v>
      </c>
    </row>
    <row r="50" spans="3:9">
      <c r="E50" s="79" t="s">
        <v>235</v>
      </c>
    </row>
    <row r="51" spans="3:9">
      <c r="E51" s="79" t="s">
        <v>46</v>
      </c>
      <c r="F51" s="79" t="s">
        <v>236</v>
      </c>
      <c r="G51" s="79" t="s">
        <v>237</v>
      </c>
      <c r="H51" s="79" t="s">
        <v>238</v>
      </c>
      <c r="I51" s="79" t="s">
        <v>224</v>
      </c>
    </row>
    <row r="52" spans="3:9">
      <c r="C52" t="s">
        <v>239</v>
      </c>
      <c r="E52" s="72">
        <v>3782.1994199999999</v>
      </c>
      <c r="F52" s="72">
        <v>350.85147618155469</v>
      </c>
      <c r="G52" s="72"/>
      <c r="H52" s="57">
        <f>(E52/($E$60-$E$57))*$H$49</f>
        <v>-291.98353723664792</v>
      </c>
      <c r="I52" s="75">
        <f>SUM(E52:H52)</f>
        <v>3841.067358944907</v>
      </c>
    </row>
    <row r="53" spans="3:9">
      <c r="C53" t="s">
        <v>240</v>
      </c>
      <c r="E53" s="72">
        <v>25030.92541</v>
      </c>
      <c r="F53" s="72">
        <v>2133.5782090262705</v>
      </c>
      <c r="G53" s="72"/>
      <c r="H53" s="57">
        <f t="shared" ref="H53:H56" si="6">(E53/($E$60-$E$57))*$H$49</f>
        <v>-1932.3724980949025</v>
      </c>
      <c r="I53" s="72">
        <f t="shared" ref="I53:I59" si="7">SUM(E53:H53)</f>
        <v>25232.131120931368</v>
      </c>
    </row>
    <row r="54" spans="3:9">
      <c r="C54" t="s">
        <v>241</v>
      </c>
      <c r="E54" s="72">
        <v>32361.901920000022</v>
      </c>
      <c r="F54" s="72">
        <v>3303.9479209053511</v>
      </c>
      <c r="G54" s="72"/>
      <c r="H54" s="57">
        <f t="shared" si="6"/>
        <v>-2498.3195080462137</v>
      </c>
      <c r="I54" s="72">
        <f t="shared" si="7"/>
        <v>33167.530332859154</v>
      </c>
    </row>
    <row r="55" spans="3:9">
      <c r="C55" t="s">
        <v>242</v>
      </c>
      <c r="E55" s="72">
        <v>4396.0589500000006</v>
      </c>
      <c r="F55" s="72">
        <v>389.0868295325925</v>
      </c>
      <c r="G55" s="72"/>
      <c r="H55" s="57">
        <f t="shared" si="6"/>
        <v>-339.37312647618791</v>
      </c>
      <c r="I55" s="78">
        <f>SUM(E55:H55)</f>
        <v>4445.772653056405</v>
      </c>
    </row>
    <row r="56" spans="3:9">
      <c r="C56" t="s">
        <v>243</v>
      </c>
      <c r="E56" s="72">
        <v>5925.234399999993</v>
      </c>
      <c r="F56" s="72">
        <v>587.22766496455142</v>
      </c>
      <c r="G56" s="72"/>
      <c r="H56" s="57">
        <f t="shared" si="6"/>
        <v>-457.42455829266277</v>
      </c>
      <c r="I56" s="75">
        <f t="shared" si="7"/>
        <v>6055.0375066718816</v>
      </c>
    </row>
    <row r="57" spans="3:9">
      <c r="C57" t="s">
        <v>244</v>
      </c>
      <c r="E57" s="72">
        <v>11439.203320000101</v>
      </c>
      <c r="F57" s="72">
        <v>1097.5669614243536</v>
      </c>
      <c r="G57" s="72">
        <f>-SUM(E57:F57)</f>
        <v>-12536.770281424455</v>
      </c>
      <c r="H57" s="74">
        <v>0</v>
      </c>
      <c r="I57" s="72">
        <f t="shared" si="7"/>
        <v>0</v>
      </c>
    </row>
    <row r="58" spans="3:9">
      <c r="C58" t="s">
        <v>245</v>
      </c>
      <c r="E58" s="72">
        <v>1454.2816800000026</v>
      </c>
      <c r="F58" s="72">
        <v>155.45056418432696</v>
      </c>
      <c r="G58" s="72"/>
      <c r="H58" s="57">
        <f t="shared" ref="H58:H59" si="8">(E58/($E$60-$E$57))*$H$49</f>
        <v>-112.26967748433943</v>
      </c>
      <c r="I58" s="75">
        <f t="shared" si="7"/>
        <v>1497.4625666999902</v>
      </c>
    </row>
    <row r="59" spans="3:9">
      <c r="C59" t="s">
        <v>246</v>
      </c>
      <c r="E59" s="72">
        <v>281.67469</v>
      </c>
      <c r="F59" s="72">
        <v>25.063106746175201</v>
      </c>
      <c r="G59" s="72"/>
      <c r="H59" s="57">
        <f t="shared" si="8"/>
        <v>-21.745117907145218</v>
      </c>
      <c r="I59" s="78">
        <f t="shared" si="7"/>
        <v>284.99267883902996</v>
      </c>
    </row>
    <row r="60" spans="3:9">
      <c r="C60" s="59" t="s">
        <v>224</v>
      </c>
      <c r="E60" s="73">
        <f>SUM(E52:E59)</f>
        <v>84671.479790000114</v>
      </c>
      <c r="F60" s="73">
        <f>SUM(F52:F59)</f>
        <v>8042.7727329651761</v>
      </c>
      <c r="G60" s="73">
        <f>SUM(G52:G59)</f>
        <v>-12536.770281424455</v>
      </c>
      <c r="H60" s="73">
        <f>SUM(H52:H59)</f>
        <v>-5653.4880235380997</v>
      </c>
      <c r="I60" s="73">
        <f>SUM(I52:I59)</f>
        <v>74523.994218002743</v>
      </c>
    </row>
    <row r="61" spans="3:9">
      <c r="E61" s="72"/>
      <c r="F61" s="72"/>
      <c r="G61" s="72"/>
      <c r="H61" s="72"/>
      <c r="I61" s="72"/>
    </row>
    <row r="62" spans="3:9">
      <c r="E62" s="73"/>
      <c r="F62" s="72"/>
      <c r="G62" s="72"/>
      <c r="H62" s="72"/>
      <c r="I62" s="72"/>
    </row>
    <row r="63" spans="3:9">
      <c r="C63" t="s">
        <v>188</v>
      </c>
      <c r="E63" s="72">
        <f>SUM(I52,I56,I58)</f>
        <v>11393.567432316779</v>
      </c>
      <c r="F63" s="72"/>
      <c r="G63" s="72"/>
      <c r="H63" s="72"/>
      <c r="I63" s="72"/>
    </row>
    <row r="64" spans="3:9">
      <c r="C64" t="s">
        <v>37</v>
      </c>
      <c r="E64" s="76">
        <f>I53</f>
        <v>25232.131120931368</v>
      </c>
    </row>
    <row r="65" spans="3:9">
      <c r="C65" t="s">
        <v>38</v>
      </c>
      <c r="E65" s="76">
        <f>I54</f>
        <v>33167.530332859154</v>
      </c>
    </row>
    <row r="66" spans="3:9">
      <c r="C66" t="s">
        <v>1</v>
      </c>
      <c r="E66" s="76">
        <f>SUM(I55,I59)</f>
        <v>4730.7653318954353</v>
      </c>
    </row>
    <row r="67" spans="3:9">
      <c r="C67" s="59" t="s">
        <v>224</v>
      </c>
      <c r="E67" s="77">
        <f>SUM(E63:E66)</f>
        <v>74523.994218002743</v>
      </c>
    </row>
    <row r="69" spans="3:9" s="56" customFormat="1">
      <c r="C69" s="60" t="s">
        <v>47</v>
      </c>
    </row>
    <row r="70" spans="3:9">
      <c r="H70" s="71">
        <v>-4872.5617039983772</v>
      </c>
    </row>
    <row r="72" spans="3:9">
      <c r="E72" s="79" t="s">
        <v>47</v>
      </c>
      <c r="F72" s="79" t="s">
        <v>236</v>
      </c>
      <c r="G72" s="79" t="s">
        <v>237</v>
      </c>
      <c r="H72" s="79" t="s">
        <v>238</v>
      </c>
      <c r="I72" s="79" t="s">
        <v>224</v>
      </c>
    </row>
    <row r="73" spans="3:9">
      <c r="C73" t="s">
        <v>239</v>
      </c>
      <c r="E73" s="57">
        <v>3406.7855600000003</v>
      </c>
      <c r="F73" s="57">
        <v>298.87752761634778</v>
      </c>
      <c r="H73" s="57">
        <f>(E73/($E$81-$E$78))*$H$70</f>
        <v>-244.26046983373621</v>
      </c>
      <c r="I73" s="57">
        <f>SUM(E73:H73)</f>
        <v>3461.4026177826117</v>
      </c>
    </row>
    <row r="74" spans="3:9">
      <c r="C74" t="s">
        <v>240</v>
      </c>
      <c r="E74" s="57">
        <v>22575.163980000001</v>
      </c>
      <c r="F74" s="57">
        <v>1842.8533969662228</v>
      </c>
      <c r="H74" s="57">
        <f t="shared" ref="H74:H77" si="9">(E74/($E$81-$E$78))*$H$70</f>
        <v>-1618.5991349359945</v>
      </c>
      <c r="I74" s="57">
        <f t="shared" ref="I74:I80" si="10">SUM(E74:H74)</f>
        <v>22799.418242030231</v>
      </c>
    </row>
    <row r="75" spans="3:9">
      <c r="C75" t="s">
        <v>241</v>
      </c>
      <c r="E75" s="57">
        <v>30766.632360000025</v>
      </c>
      <c r="F75" s="57">
        <v>2822.2725569010618</v>
      </c>
      <c r="H75" s="57">
        <f t="shared" si="9"/>
        <v>-2205.9128592336283</v>
      </c>
      <c r="I75" s="57">
        <f t="shared" si="10"/>
        <v>31382.992057667456</v>
      </c>
    </row>
    <row r="76" spans="3:9">
      <c r="C76" t="s">
        <v>242</v>
      </c>
      <c r="E76" s="57">
        <v>3411.7650600000002</v>
      </c>
      <c r="F76" s="57">
        <v>291.23601127984915</v>
      </c>
      <c r="H76" s="57">
        <f>(E76/($E$81-$E$78))*$H$70</f>
        <v>-244.61749113376106</v>
      </c>
      <c r="I76" s="57">
        <f t="shared" si="10"/>
        <v>3458.3835801460882</v>
      </c>
    </row>
    <row r="77" spans="3:9">
      <c r="C77" t="s">
        <v>243</v>
      </c>
      <c r="E77" s="57">
        <v>5834.2237599999999</v>
      </c>
      <c r="F77" s="57">
        <v>548.05960061592305</v>
      </c>
      <c r="H77" s="57">
        <f t="shared" si="9"/>
        <v>-418.30347453179496</v>
      </c>
      <c r="I77" s="57">
        <f t="shared" si="10"/>
        <v>5963.9798860841283</v>
      </c>
    </row>
    <row r="78" spans="3:9">
      <c r="C78" t="s">
        <v>244</v>
      </c>
      <c r="E78" s="57">
        <v>17004.414610000054</v>
      </c>
      <c r="F78" s="57">
        <v>1608.4139792740282</v>
      </c>
      <c r="G78" s="83">
        <f>-SUM(E78:F78)</f>
        <v>-18612.828589274082</v>
      </c>
      <c r="H78" s="57">
        <v>0</v>
      </c>
      <c r="I78" s="57">
        <f t="shared" si="10"/>
        <v>0</v>
      </c>
    </row>
    <row r="79" spans="3:9">
      <c r="C79" t="s">
        <v>245</v>
      </c>
      <c r="E79" s="57">
        <v>1590.536880000001</v>
      </c>
      <c r="F79" s="57">
        <v>162.0888672013821</v>
      </c>
      <c r="H79" s="57">
        <f t="shared" ref="H79:H80" si="11">(E79/($E$81-$E$78))*$H$70</f>
        <v>-114.03866746361491</v>
      </c>
      <c r="I79" s="57">
        <f t="shared" si="10"/>
        <v>1638.5870797377681</v>
      </c>
    </row>
    <row r="80" spans="3:9">
      <c r="C80" t="s">
        <v>246</v>
      </c>
      <c r="E80" s="57">
        <v>374.20183999999995</v>
      </c>
      <c r="F80" s="57">
        <v>28.738390214802642</v>
      </c>
      <c r="H80" s="57">
        <f t="shared" si="11"/>
        <v>-26.829606865848216</v>
      </c>
      <c r="I80" s="57">
        <f t="shared" si="10"/>
        <v>376.11062334895433</v>
      </c>
    </row>
    <row r="81" spans="3:9" s="59" customFormat="1">
      <c r="C81" s="59" t="s">
        <v>224</v>
      </c>
      <c r="E81" s="80">
        <f>SUM(E73:E80)</f>
        <v>84963.724050000063</v>
      </c>
      <c r="F81" s="80">
        <f>SUM(F73:F80)</f>
        <v>7602.540330069618</v>
      </c>
      <c r="G81" s="80">
        <f>SUM(G73:G80)</f>
        <v>-18612.828589274082</v>
      </c>
      <c r="H81" s="80">
        <f>SUM(H73:H80)</f>
        <v>-4872.5617039983772</v>
      </c>
      <c r="I81" s="80">
        <f>SUM(I73:I80)</f>
        <v>69080.874086797252</v>
      </c>
    </row>
    <row r="82" spans="3:9">
      <c r="E82" s="57"/>
    </row>
    <row r="83" spans="3:9">
      <c r="E83" s="73"/>
    </row>
    <row r="84" spans="3:9">
      <c r="C84" t="s">
        <v>188</v>
      </c>
      <c r="E84" s="72">
        <f>SUM(I73,I77,I79)</f>
        <v>11063.969583604508</v>
      </c>
    </row>
    <row r="85" spans="3:9">
      <c r="C85" t="s">
        <v>37</v>
      </c>
      <c r="E85" s="76">
        <f>I74</f>
        <v>22799.418242030231</v>
      </c>
    </row>
    <row r="86" spans="3:9">
      <c r="C86" t="s">
        <v>38</v>
      </c>
      <c r="E86" s="76">
        <f>I75</f>
        <v>31382.992057667456</v>
      </c>
    </row>
    <row r="87" spans="3:9">
      <c r="C87" t="s">
        <v>1</v>
      </c>
      <c r="E87" s="76">
        <f>SUM(I76,I80)</f>
        <v>3834.4942034950427</v>
      </c>
    </row>
    <row r="88" spans="3:9" s="59" customFormat="1">
      <c r="C88" s="59" t="s">
        <v>224</v>
      </c>
      <c r="E88" s="77">
        <f>SUM(E84:E87)</f>
        <v>69080.874086797237</v>
      </c>
    </row>
    <row r="90" spans="3:9" s="56" customFormat="1">
      <c r="C90" s="60" t="s">
        <v>48</v>
      </c>
    </row>
    <row r="92" spans="3:9">
      <c r="H92" s="71">
        <v>3392.84216963479</v>
      </c>
    </row>
    <row r="94" spans="3:9">
      <c r="E94" s="79" t="s">
        <v>48</v>
      </c>
      <c r="F94" s="79" t="s">
        <v>236</v>
      </c>
      <c r="G94" s="79" t="s">
        <v>237</v>
      </c>
      <c r="H94" s="79" t="s">
        <v>238</v>
      </c>
      <c r="I94" s="79" t="s">
        <v>224</v>
      </c>
    </row>
    <row r="95" spans="3:9">
      <c r="C95" t="s">
        <v>239</v>
      </c>
      <c r="E95" s="57">
        <v>3793.8000899999997</v>
      </c>
      <c r="F95" s="57">
        <v>306.69126526308446</v>
      </c>
      <c r="H95" s="57">
        <f>(E95/($E$103-$E$100))*$H$92</f>
        <v>200.93355384849437</v>
      </c>
      <c r="I95" s="57">
        <f t="shared" ref="I95:I102" si="12">SUM(E95:H95)</f>
        <v>4301.4249091115789</v>
      </c>
    </row>
    <row r="96" spans="3:9">
      <c r="C96" t="s">
        <v>240</v>
      </c>
      <c r="E96" s="57">
        <v>20821.754140000001</v>
      </c>
      <c r="F96" s="57">
        <v>1674.2554638832673</v>
      </c>
      <c r="H96" s="57">
        <f t="shared" ref="H96:H99" si="13">(E96/($E$103-$E$100))*$H$92</f>
        <v>1102.7963934467091</v>
      </c>
      <c r="I96" s="57">
        <f t="shared" si="12"/>
        <v>23598.805997329975</v>
      </c>
    </row>
    <row r="97" spans="3:9">
      <c r="C97" t="s">
        <v>241</v>
      </c>
      <c r="E97" s="57">
        <v>28421.792299999994</v>
      </c>
      <c r="F97" s="57">
        <v>2641.4343416042157</v>
      </c>
      <c r="H97" s="57">
        <f t="shared" si="13"/>
        <v>1505.3222621392188</v>
      </c>
      <c r="I97" s="57">
        <f>SUM(E97:H97)</f>
        <v>32568.548903743431</v>
      </c>
    </row>
    <row r="98" spans="3:9">
      <c r="C98" t="s">
        <v>242</v>
      </c>
      <c r="E98" s="57">
        <v>3951.89102</v>
      </c>
      <c r="F98" s="57">
        <v>353.17392267552651</v>
      </c>
      <c r="H98" s="57">
        <f t="shared" si="13"/>
        <v>209.3066287714046</v>
      </c>
      <c r="I98" s="57">
        <f t="shared" si="12"/>
        <v>4514.3715714469308</v>
      </c>
    </row>
    <row r="99" spans="3:9">
      <c r="C99" t="s">
        <v>243</v>
      </c>
      <c r="E99" s="57">
        <v>5271.4660099999955</v>
      </c>
      <c r="F99" s="57">
        <v>474.63743069750603</v>
      </c>
      <c r="H99" s="57">
        <f t="shared" si="13"/>
        <v>279.19615537276292</v>
      </c>
      <c r="I99" s="57">
        <f t="shared" si="12"/>
        <v>6025.2995960702647</v>
      </c>
    </row>
    <row r="100" spans="3:9">
      <c r="C100" t="s">
        <v>244</v>
      </c>
      <c r="E100" s="57">
        <v>10906.321399999875</v>
      </c>
      <c r="F100" s="57">
        <v>1066.2335847993411</v>
      </c>
      <c r="G100" s="71">
        <f>-SUM(E100:F100)</f>
        <v>-11972.554984799217</v>
      </c>
      <c r="H100" s="57">
        <v>0</v>
      </c>
      <c r="I100" s="57">
        <f t="shared" si="12"/>
        <v>0</v>
      </c>
    </row>
    <row r="101" spans="3:9">
      <c r="C101" t="s">
        <v>245</v>
      </c>
      <c r="E101" s="57">
        <v>1617.9999000000039</v>
      </c>
      <c r="F101" s="57">
        <v>157.45495824374979</v>
      </c>
      <c r="H101" s="57">
        <f t="shared" ref="H101:H102" si="14">(E101/($E$103-$E$100))*$H$92</f>
        <v>85.695203310912802</v>
      </c>
      <c r="I101" s="57">
        <f t="shared" si="12"/>
        <v>1861.1500615546665</v>
      </c>
    </row>
    <row r="102" spans="3:9">
      <c r="C102" t="s">
        <v>246</v>
      </c>
      <c r="E102" s="57">
        <v>181.10478000000001</v>
      </c>
      <c r="F102" s="57">
        <v>17.377047762837996</v>
      </c>
      <c r="H102" s="57">
        <f t="shared" si="14"/>
        <v>9.591972745287622</v>
      </c>
      <c r="I102" s="57">
        <f t="shared" si="12"/>
        <v>208.07380050812563</v>
      </c>
    </row>
    <row r="103" spans="3:9">
      <c r="C103" s="59" t="s">
        <v>224</v>
      </c>
      <c r="E103" s="80">
        <f>SUM(E95:E102)</f>
        <v>74966.129639999868</v>
      </c>
      <c r="F103" s="80">
        <f>SUM(F95:F102)</f>
        <v>6691.2580149295272</v>
      </c>
      <c r="G103" s="80">
        <f>SUM(G95:G102)</f>
        <v>-11972.554984799217</v>
      </c>
      <c r="H103" s="80">
        <f>SUM(H95:H102)</f>
        <v>3392.84216963479</v>
      </c>
      <c r="I103" s="80">
        <f>SUM(I95:I102)</f>
        <v>73077.674839764964</v>
      </c>
    </row>
    <row r="105" spans="3:9">
      <c r="E105" s="73"/>
    </row>
    <row r="106" spans="3:9">
      <c r="C106" t="s">
        <v>188</v>
      </c>
      <c r="E106" s="72">
        <f>SUM(I95,I99,I101)</f>
        <v>12187.874566736509</v>
      </c>
    </row>
    <row r="107" spans="3:9">
      <c r="C107" t="s">
        <v>37</v>
      </c>
      <c r="E107" s="76">
        <f>I96</f>
        <v>23598.805997329975</v>
      </c>
    </row>
    <row r="108" spans="3:9">
      <c r="C108" t="s">
        <v>38</v>
      </c>
      <c r="E108" s="76">
        <f>I97</f>
        <v>32568.548903743431</v>
      </c>
    </row>
    <row r="109" spans="3:9">
      <c r="C109" t="s">
        <v>1</v>
      </c>
      <c r="E109" s="76">
        <f>SUM(I98,I102)</f>
        <v>4722.4453719550565</v>
      </c>
    </row>
    <row r="110" spans="3:9">
      <c r="C110" s="59" t="s">
        <v>224</v>
      </c>
      <c r="E110" s="77">
        <f>SUM(E106:E109)</f>
        <v>73077.674839764964</v>
      </c>
    </row>
    <row r="113" spans="3:9" s="56" customFormat="1">
      <c r="C113" s="60" t="s">
        <v>49</v>
      </c>
    </row>
    <row r="115" spans="3:9">
      <c r="H115" s="71">
        <v>4514.0959831159416</v>
      </c>
    </row>
    <row r="117" spans="3:9">
      <c r="E117" s="79" t="s">
        <v>49</v>
      </c>
      <c r="F117" s="79" t="s">
        <v>236</v>
      </c>
      <c r="G117" s="79" t="s">
        <v>237</v>
      </c>
      <c r="H117" s="79" t="s">
        <v>238</v>
      </c>
      <c r="I117" s="79" t="s">
        <v>224</v>
      </c>
    </row>
    <row r="118" spans="3:9">
      <c r="C118" t="s">
        <v>239</v>
      </c>
      <c r="E118" s="57">
        <v>6419.6455599999827</v>
      </c>
      <c r="F118" s="57">
        <v>1443.2618968840582</v>
      </c>
      <c r="H118" s="57">
        <f>(E118/($E$126-$E$123))*$H$115</f>
        <v>452.71394420276135</v>
      </c>
      <c r="I118" s="57">
        <f t="shared" ref="I118:I125" si="15">SUM(E118:H118)</f>
        <v>8315.6214010868025</v>
      </c>
    </row>
    <row r="119" spans="3:9">
      <c r="C119" t="s">
        <v>240</v>
      </c>
      <c r="E119" s="71">
        <f>26087.94969-E118</f>
        <v>19668.304130000019</v>
      </c>
      <c r="F119" s="57">
        <v>0</v>
      </c>
      <c r="H119" s="57">
        <f t="shared" ref="H119:H122" si="16">(E119/($E$126-$E$123))*$H$115</f>
        <v>1387.0104595730661</v>
      </c>
      <c r="I119" s="57">
        <f t="shared" si="15"/>
        <v>21055.314589573085</v>
      </c>
    </row>
    <row r="120" spans="3:9">
      <c r="C120" t="s">
        <v>241</v>
      </c>
      <c r="E120" s="57">
        <v>28643.62225</v>
      </c>
      <c r="F120" s="57">
        <v>2232.1069697101402</v>
      </c>
      <c r="H120" s="57">
        <f t="shared" si="16"/>
        <v>2019.9506474079401</v>
      </c>
      <c r="I120" s="57">
        <f t="shared" si="15"/>
        <v>32895.67986711808</v>
      </c>
    </row>
    <row r="121" spans="3:9">
      <c r="C121" t="s">
        <v>242</v>
      </c>
      <c r="E121" s="57">
        <v>3662.26746</v>
      </c>
      <c r="F121" s="57">
        <v>251.46002210144925</v>
      </c>
      <c r="H121" s="57">
        <f t="shared" si="16"/>
        <v>258.26340894465721</v>
      </c>
      <c r="I121" s="57">
        <f t="shared" si="15"/>
        <v>4171.9908910461063</v>
      </c>
    </row>
    <row r="122" spans="3:9">
      <c r="C122" t="s">
        <v>243</v>
      </c>
      <c r="E122" s="57">
        <v>3860.7785999999996</v>
      </c>
      <c r="F122" s="57">
        <v>280.38413797101447</v>
      </c>
      <c r="H122" s="57">
        <f t="shared" si="16"/>
        <v>272.26243121428962</v>
      </c>
      <c r="I122" s="57">
        <f t="shared" si="15"/>
        <v>4413.4251691853042</v>
      </c>
    </row>
    <row r="123" spans="3:9">
      <c r="C123" t="s">
        <v>244</v>
      </c>
      <c r="E123" s="57">
        <v>9479.6528800000979</v>
      </c>
      <c r="F123" s="57">
        <v>777.46655275362309</v>
      </c>
      <c r="G123" s="71">
        <f>-SUM(E123:F123)</f>
        <v>-10257.119432753721</v>
      </c>
      <c r="H123" s="57">
        <v>0</v>
      </c>
      <c r="I123" s="57">
        <f t="shared" si="15"/>
        <v>0</v>
      </c>
    </row>
    <row r="124" spans="3:9">
      <c r="C124" t="s">
        <v>245</v>
      </c>
      <c r="E124" s="57">
        <v>1671.0526899999943</v>
      </c>
      <c r="F124" s="57">
        <v>135.42118760869565</v>
      </c>
      <c r="H124" s="57">
        <f t="shared" ref="H124:H125" si="17">(E124/($E$126-$E$123))*$H$115</f>
        <v>117.84277608319138</v>
      </c>
      <c r="I124" s="57">
        <f t="shared" si="15"/>
        <v>1924.3166536918814</v>
      </c>
    </row>
    <row r="125" spans="3:9">
      <c r="C125" t="s">
        <v>246</v>
      </c>
      <c r="E125" s="57">
        <v>85.823999999999998</v>
      </c>
      <c r="F125" s="57">
        <v>0.77511260869565224</v>
      </c>
      <c r="H125" s="57">
        <f t="shared" si="17"/>
        <v>6.052315690035992</v>
      </c>
      <c r="I125" s="57">
        <f t="shared" si="15"/>
        <v>92.651428298731645</v>
      </c>
    </row>
    <row r="126" spans="3:9">
      <c r="C126" s="59" t="s">
        <v>224</v>
      </c>
      <c r="E126" s="80">
        <f>SUM(E118:E125)</f>
        <v>73491.147570000088</v>
      </c>
      <c r="F126" s="80">
        <f>SUM(F118:F125)</f>
        <v>5120.875879637676</v>
      </c>
      <c r="G126" s="80">
        <f>SUM(G118:G125)</f>
        <v>-10257.119432753721</v>
      </c>
      <c r="H126" s="80">
        <f>SUM(H118:H125)</f>
        <v>4514.0959831159416</v>
      </c>
      <c r="I126" s="80">
        <f>SUM(I118:I125)</f>
        <v>72869</v>
      </c>
    </row>
    <row r="128" spans="3:9">
      <c r="E128" s="73"/>
    </row>
    <row r="129" spans="3:9">
      <c r="C129" t="s">
        <v>188</v>
      </c>
      <c r="E129" s="72">
        <f>SUM(I118,I122,I124)</f>
        <v>14653.363223963988</v>
      </c>
    </row>
    <row r="130" spans="3:9">
      <c r="C130" t="s">
        <v>37</v>
      </c>
      <c r="E130" s="76">
        <f>I119</f>
        <v>21055.314589573085</v>
      </c>
    </row>
    <row r="131" spans="3:9">
      <c r="C131" t="s">
        <v>38</v>
      </c>
      <c r="E131" s="76">
        <f>I120</f>
        <v>32895.67986711808</v>
      </c>
    </row>
    <row r="132" spans="3:9">
      <c r="C132" t="s">
        <v>1</v>
      </c>
      <c r="E132" s="76">
        <f>SUM(I121,I125)</f>
        <v>4264.6423193448381</v>
      </c>
    </row>
    <row r="133" spans="3:9">
      <c r="C133" s="59" t="s">
        <v>224</v>
      </c>
      <c r="E133" s="77">
        <f>SUM(E129:E132)</f>
        <v>72868.999999999985</v>
      </c>
    </row>
    <row r="137" spans="3:9" s="56" customFormat="1">
      <c r="C137" s="60" t="s">
        <v>50</v>
      </c>
    </row>
    <row r="139" spans="3:9">
      <c r="H139" s="71">
        <v>-1006.1551299999992</v>
      </c>
    </row>
    <row r="141" spans="3:9">
      <c r="E141" s="79" t="s">
        <v>50</v>
      </c>
      <c r="F141" s="79" t="s">
        <v>236</v>
      </c>
      <c r="G141" s="79" t="s">
        <v>237</v>
      </c>
      <c r="H141" s="79" t="s">
        <v>238</v>
      </c>
      <c r="I141" s="79" t="s">
        <v>224</v>
      </c>
    </row>
    <row r="142" spans="3:9">
      <c r="C142" t="s">
        <v>239</v>
      </c>
      <c r="E142" s="57">
        <v>9714.6245999999992</v>
      </c>
      <c r="F142" s="57">
        <v>510.08699999999999</v>
      </c>
      <c r="G142" s="57"/>
      <c r="H142" s="57">
        <f>(E142/($E$150-$E$147))*$H$139</f>
        <v>-161.62730775633833</v>
      </c>
      <c r="I142" s="57">
        <f t="shared" ref="I142:I149" si="18">SUM(E142:H142)</f>
        <v>10063.08429224366</v>
      </c>
    </row>
    <row r="143" spans="3:9">
      <c r="C143" t="s">
        <v>240</v>
      </c>
      <c r="E143" s="57">
        <v>21167.89502</v>
      </c>
      <c r="F143" s="57">
        <v>1319.905</v>
      </c>
      <c r="G143" s="57"/>
      <c r="H143" s="57">
        <f>(E143/($E$150-$E$147))*$H$139</f>
        <v>-352.18137847049712</v>
      </c>
      <c r="I143" s="57">
        <f t="shared" si="18"/>
        <v>22135.618641529501</v>
      </c>
    </row>
    <row r="144" spans="3:9">
      <c r="C144" t="s">
        <v>241</v>
      </c>
      <c r="E144" s="57">
        <v>20773.35383</v>
      </c>
      <c r="F144" s="57">
        <v>2211.0540000000001</v>
      </c>
      <c r="G144" s="57"/>
      <c r="H144" s="57">
        <f>(E144/($E$150-$E$147))*$H$139</f>
        <v>-345.6171896351733</v>
      </c>
      <c r="I144" s="57">
        <f t="shared" si="18"/>
        <v>22638.790640364827</v>
      </c>
    </row>
    <row r="145" spans="3:9">
      <c r="C145" t="s">
        <v>242</v>
      </c>
      <c r="E145" s="57">
        <v>4713.7465000000002</v>
      </c>
      <c r="F145" s="57">
        <v>439.95600000000002</v>
      </c>
      <c r="G145" s="57"/>
      <c r="H145" s="57">
        <f>(E145/($E$150-$E$147))*$H$139</f>
        <v>-78.425074319481453</v>
      </c>
      <c r="I145" s="57">
        <f t="shared" si="18"/>
        <v>5075.2774256805187</v>
      </c>
    </row>
    <row r="146" spans="3:9">
      <c r="C146" t="s">
        <v>243</v>
      </c>
      <c r="E146" s="57">
        <v>2464.9540200000001</v>
      </c>
      <c r="F146" s="57">
        <v>227.726</v>
      </c>
      <c r="G146" s="57"/>
      <c r="H146" s="57">
        <f>(E146/($E$150-$E$147))*$H$139</f>
        <v>-41.01073365158787</v>
      </c>
      <c r="I146" s="57">
        <f t="shared" si="18"/>
        <v>2651.6692863484122</v>
      </c>
    </row>
    <row r="147" spans="3:9">
      <c r="C147" t="s">
        <v>244</v>
      </c>
      <c r="E147" s="57">
        <v>6147.5564599999998</v>
      </c>
      <c r="F147" s="57">
        <v>688.803</v>
      </c>
      <c r="G147" s="57">
        <f>-SUM(E147:F147)</f>
        <v>-6836.3594599999997</v>
      </c>
      <c r="H147" s="57">
        <v>0</v>
      </c>
      <c r="I147" s="57">
        <f t="shared" si="18"/>
        <v>0</v>
      </c>
    </row>
    <row r="148" spans="3:9">
      <c r="C148" t="s">
        <v>245</v>
      </c>
      <c r="E148" s="57">
        <v>1624.1407799999999</v>
      </c>
      <c r="F148" s="57">
        <v>178.92</v>
      </c>
      <c r="G148" s="57"/>
      <c r="H148" s="57">
        <f>(E148/($E$150-$E$147))*$H$139</f>
        <v>-27.021682514492571</v>
      </c>
      <c r="I148" s="57">
        <f t="shared" si="18"/>
        <v>1776.0390974855075</v>
      </c>
    </row>
    <row r="149" spans="3:9">
      <c r="C149" t="s">
        <v>246</v>
      </c>
      <c r="E149" s="57">
        <v>16.334379999999999</v>
      </c>
      <c r="F149" s="57">
        <v>0</v>
      </c>
      <c r="G149" s="57"/>
      <c r="H149" s="57">
        <f>(E149/($E$150-$E$147))*$H$139</f>
        <v>-0.27176365242862582</v>
      </c>
      <c r="I149" s="57">
        <f t="shared" si="18"/>
        <v>16.062616347571375</v>
      </c>
    </row>
    <row r="150" spans="3:9">
      <c r="C150" s="59" t="s">
        <v>224</v>
      </c>
      <c r="E150" s="80">
        <f>SUM(E142:E149)</f>
        <v>66622.605589999992</v>
      </c>
      <c r="F150" s="80">
        <f>SUM(F142:F149)</f>
        <v>5576.451</v>
      </c>
      <c r="G150" s="80">
        <f>SUM(G142:G149)</f>
        <v>-6836.3594599999997</v>
      </c>
      <c r="H150" s="80">
        <f>SUM(H142:H149)</f>
        <v>-1006.1551299999993</v>
      </c>
      <c r="I150" s="80">
        <f>SUM(I142:I149)</f>
        <v>64356.542000000001</v>
      </c>
    </row>
    <row r="152" spans="3:9">
      <c r="E152" s="73"/>
    </row>
    <row r="153" spans="3:9">
      <c r="C153" t="s">
        <v>188</v>
      </c>
      <c r="E153" s="72">
        <f>SUM(I142,I146,I148)</f>
        <v>14490.792676077581</v>
      </c>
    </row>
    <row r="154" spans="3:9">
      <c r="C154" t="s">
        <v>37</v>
      </c>
      <c r="E154" s="76">
        <f>I143</f>
        <v>22135.618641529501</v>
      </c>
    </row>
    <row r="155" spans="3:9">
      <c r="C155" t="s">
        <v>38</v>
      </c>
      <c r="E155" s="76">
        <f>I144</f>
        <v>22638.790640364827</v>
      </c>
    </row>
    <row r="156" spans="3:9">
      <c r="C156" t="s">
        <v>1</v>
      </c>
      <c r="E156" s="76">
        <f>SUM(I145,I149)</f>
        <v>5091.3400420280905</v>
      </c>
    </row>
    <row r="157" spans="3:9">
      <c r="C157" s="59" t="s">
        <v>224</v>
      </c>
      <c r="E157" s="77">
        <f>SUM(E153:E156)</f>
        <v>64356.541999999994</v>
      </c>
    </row>
    <row r="160" spans="3:9" s="56" customFormat="1">
      <c r="C160" s="60" t="s">
        <v>51</v>
      </c>
    </row>
    <row r="162" spans="3:9">
      <c r="E162" s="79" t="s">
        <v>247</v>
      </c>
    </row>
    <row r="163" spans="3:9">
      <c r="E163" s="79" t="s">
        <v>51</v>
      </c>
      <c r="F163" s="79" t="s">
        <v>236</v>
      </c>
      <c r="G163" s="79" t="s">
        <v>237</v>
      </c>
      <c r="H163" s="79" t="s">
        <v>238</v>
      </c>
      <c r="I163" s="79" t="s">
        <v>224</v>
      </c>
    </row>
    <row r="164" spans="3:9">
      <c r="C164" t="s">
        <v>239</v>
      </c>
      <c r="E164" s="57">
        <v>9372.0791499999996</v>
      </c>
      <c r="F164" s="57"/>
      <c r="G164" s="57"/>
      <c r="H164" s="57"/>
      <c r="I164" s="57">
        <f t="shared" ref="I164:I171" si="19">SUM(E164:H164)</f>
        <v>9372.0791499999996</v>
      </c>
    </row>
    <row r="165" spans="3:9">
      <c r="C165" t="s">
        <v>240</v>
      </c>
      <c r="E165" s="57">
        <v>17774.8164</v>
      </c>
      <c r="F165" s="57"/>
      <c r="G165" s="57"/>
      <c r="H165" s="57"/>
      <c r="I165" s="57">
        <f t="shared" si="19"/>
        <v>17774.8164</v>
      </c>
    </row>
    <row r="166" spans="3:9">
      <c r="C166" t="s">
        <v>241</v>
      </c>
      <c r="E166" s="57">
        <v>13241.320239999999</v>
      </c>
      <c r="F166" s="57"/>
      <c r="G166" s="57"/>
      <c r="H166" s="57"/>
      <c r="I166" s="57">
        <f t="shared" si="19"/>
        <v>13241.320239999999</v>
      </c>
    </row>
    <row r="167" spans="3:9">
      <c r="C167" t="s">
        <v>242</v>
      </c>
      <c r="E167" s="57">
        <v>3837.3573500000002</v>
      </c>
      <c r="F167" s="57"/>
      <c r="G167" s="57"/>
      <c r="H167" s="57"/>
      <c r="I167" s="57">
        <f t="shared" si="19"/>
        <v>3837.3573500000002</v>
      </c>
    </row>
    <row r="168" spans="3:9">
      <c r="C168" t="s">
        <v>243</v>
      </c>
      <c r="E168" s="57">
        <v>8219.5484500000002</v>
      </c>
      <c r="F168" s="57"/>
      <c r="G168" s="57"/>
      <c r="H168" s="57"/>
      <c r="I168" s="57">
        <f t="shared" si="19"/>
        <v>8219.5484500000002</v>
      </c>
    </row>
    <row r="169" spans="3:9">
      <c r="C169" t="s">
        <v>244</v>
      </c>
      <c r="E169" s="57">
        <v>0</v>
      </c>
      <c r="F169" s="57"/>
      <c r="G169" s="57">
        <f>-SUM(E169:F169)</f>
        <v>0</v>
      </c>
      <c r="H169" s="57"/>
      <c r="I169" s="57">
        <f t="shared" si="19"/>
        <v>0</v>
      </c>
    </row>
    <row r="170" spans="3:9">
      <c r="C170" t="s">
        <v>245</v>
      </c>
      <c r="E170" s="57">
        <v>1913.0155500000001</v>
      </c>
      <c r="F170" s="57"/>
      <c r="G170" s="57"/>
      <c r="H170" s="57"/>
      <c r="I170" s="57">
        <f t="shared" si="19"/>
        <v>1913.0155500000001</v>
      </c>
    </row>
    <row r="171" spans="3:9">
      <c r="C171" t="s">
        <v>246</v>
      </c>
      <c r="E171" s="57">
        <v>941.66547000000003</v>
      </c>
      <c r="F171" s="57"/>
      <c r="G171" s="57"/>
      <c r="H171" s="57"/>
      <c r="I171" s="57">
        <f t="shared" si="19"/>
        <v>941.66547000000003</v>
      </c>
    </row>
    <row r="172" spans="3:9">
      <c r="C172" s="59" t="s">
        <v>224</v>
      </c>
      <c r="E172" s="80">
        <f>SUM(E164:E171)</f>
        <v>55299.802610000006</v>
      </c>
      <c r="F172" s="80">
        <f>SUM(F164:F171)</f>
        <v>0</v>
      </c>
      <c r="G172" s="80">
        <f>SUM(G164:G171)</f>
        <v>0</v>
      </c>
      <c r="H172" s="80">
        <f>SUM(H164:H171)</f>
        <v>0</v>
      </c>
      <c r="I172" s="80">
        <f>SUM(I164:I171)</f>
        <v>55299.802610000006</v>
      </c>
    </row>
    <row r="174" spans="3:9">
      <c r="E174" s="73"/>
    </row>
    <row r="175" spans="3:9">
      <c r="C175" t="s">
        <v>188</v>
      </c>
      <c r="E175" s="72">
        <f>SUM(I164,I168,I170)</f>
        <v>19504.64315</v>
      </c>
    </row>
    <row r="176" spans="3:9">
      <c r="C176" t="s">
        <v>37</v>
      </c>
      <c r="E176" s="76">
        <f>I165</f>
        <v>17774.8164</v>
      </c>
    </row>
    <row r="177" spans="3:9">
      <c r="C177" t="s">
        <v>38</v>
      </c>
      <c r="E177" s="76">
        <f>I166</f>
        <v>13241.320239999999</v>
      </c>
    </row>
    <row r="178" spans="3:9">
      <c r="C178" t="s">
        <v>1</v>
      </c>
      <c r="E178" s="76">
        <f>SUM(I167,I171)</f>
        <v>4779.0228200000001</v>
      </c>
    </row>
    <row r="179" spans="3:9">
      <c r="C179" s="59" t="s">
        <v>224</v>
      </c>
      <c r="E179" s="77">
        <f>SUM(E175:E178)</f>
        <v>55299.802609999999</v>
      </c>
    </row>
    <row r="181" spans="3:9">
      <c r="C181" t="s">
        <v>248</v>
      </c>
      <c r="E181" s="57">
        <v>237.66535999999999</v>
      </c>
      <c r="F181" t="s">
        <v>249</v>
      </c>
    </row>
    <row r="183" spans="3:9">
      <c r="C183" s="59" t="s">
        <v>224</v>
      </c>
      <c r="E183" s="77">
        <f>SUM(E179:E181)</f>
        <v>55537.467969999998</v>
      </c>
    </row>
    <row r="186" spans="3:9" s="56" customFormat="1">
      <c r="C186" s="60" t="s">
        <v>52</v>
      </c>
    </row>
    <row r="188" spans="3:9">
      <c r="E188" s="79" t="s">
        <v>247</v>
      </c>
    </row>
    <row r="189" spans="3:9">
      <c r="E189" s="79" t="s">
        <v>52</v>
      </c>
      <c r="F189" s="79" t="s">
        <v>236</v>
      </c>
      <c r="G189" s="79" t="s">
        <v>237</v>
      </c>
      <c r="H189" s="79" t="s">
        <v>238</v>
      </c>
      <c r="I189" s="79" t="s">
        <v>224</v>
      </c>
    </row>
    <row r="190" spans="3:9">
      <c r="C190" t="s">
        <v>239</v>
      </c>
      <c r="E190" s="57">
        <v>9348.6454699999995</v>
      </c>
      <c r="F190" s="57"/>
      <c r="G190" s="57"/>
      <c r="H190" s="57"/>
      <c r="I190" s="57">
        <f t="shared" ref="I190:I197" si="20">SUM(E190:H190)</f>
        <v>9348.6454699999995</v>
      </c>
    </row>
    <row r="191" spans="3:9">
      <c r="C191" t="s">
        <v>240</v>
      </c>
      <c r="E191" s="57">
        <v>17203.64316</v>
      </c>
      <c r="F191" s="57"/>
      <c r="G191" s="57"/>
      <c r="H191" s="57"/>
      <c r="I191" s="57">
        <f t="shared" si="20"/>
        <v>17203.64316</v>
      </c>
    </row>
    <row r="192" spans="3:9">
      <c r="C192" t="s">
        <v>241</v>
      </c>
      <c r="E192" s="57">
        <v>14916.41901</v>
      </c>
      <c r="F192" s="57"/>
      <c r="G192" s="57"/>
      <c r="H192" s="57"/>
      <c r="I192" s="57">
        <f t="shared" si="20"/>
        <v>14916.41901</v>
      </c>
    </row>
    <row r="193" spans="3:9">
      <c r="C193" t="s">
        <v>242</v>
      </c>
      <c r="E193" s="57">
        <v>3071.8593600000004</v>
      </c>
      <c r="F193" s="57"/>
      <c r="G193" s="57"/>
      <c r="H193" s="57"/>
      <c r="I193" s="57">
        <f t="shared" si="20"/>
        <v>3071.8593600000004</v>
      </c>
    </row>
    <row r="194" spans="3:9">
      <c r="C194" t="s">
        <v>243</v>
      </c>
      <c r="E194" s="57">
        <v>7977.3074200000001</v>
      </c>
      <c r="F194" s="57"/>
      <c r="G194" s="57"/>
      <c r="H194" s="57"/>
      <c r="I194" s="57">
        <f t="shared" si="20"/>
        <v>7977.3074200000001</v>
      </c>
    </row>
    <row r="195" spans="3:9">
      <c r="C195" t="s">
        <v>244</v>
      </c>
      <c r="E195" s="57">
        <v>0</v>
      </c>
      <c r="F195" s="57"/>
      <c r="G195" s="57"/>
      <c r="H195" s="57"/>
      <c r="I195" s="57">
        <f t="shared" si="20"/>
        <v>0</v>
      </c>
    </row>
    <row r="196" spans="3:9">
      <c r="C196" t="s">
        <v>245</v>
      </c>
      <c r="E196" s="57">
        <v>1719.9969900000001</v>
      </c>
      <c r="F196" s="57"/>
      <c r="G196" s="57"/>
      <c r="H196" s="57"/>
      <c r="I196" s="57">
        <f t="shared" si="20"/>
        <v>1719.9969900000001</v>
      </c>
    </row>
    <row r="197" spans="3:9">
      <c r="C197" t="s">
        <v>246</v>
      </c>
      <c r="E197" s="57">
        <v>1722.73207</v>
      </c>
      <c r="F197" s="57"/>
      <c r="G197" s="57"/>
      <c r="H197" s="57"/>
      <c r="I197" s="57">
        <f t="shared" si="20"/>
        <v>1722.73207</v>
      </c>
    </row>
    <row r="198" spans="3:9">
      <c r="C198" s="59" t="s">
        <v>224</v>
      </c>
      <c r="E198" s="80">
        <f>SUM(E190:E197)</f>
        <v>55960.603479999998</v>
      </c>
      <c r="F198" s="80">
        <f>SUM(F190:F197)</f>
        <v>0</v>
      </c>
      <c r="G198" s="80">
        <f>SUM(G190:G197)</f>
        <v>0</v>
      </c>
      <c r="H198" s="80">
        <f>SUM(H190:H197)</f>
        <v>0</v>
      </c>
      <c r="I198" s="80">
        <f>SUM(I190:I197)</f>
        <v>55960.603479999998</v>
      </c>
    </row>
    <row r="200" spans="3:9">
      <c r="E200" s="73"/>
    </row>
    <row r="201" spans="3:9">
      <c r="C201" t="s">
        <v>188</v>
      </c>
      <c r="E201" s="72">
        <f>SUM(I190,I194,I196)</f>
        <v>19045.94988</v>
      </c>
    </row>
    <row r="202" spans="3:9">
      <c r="C202" t="s">
        <v>37</v>
      </c>
      <c r="E202" s="76">
        <f>I191</f>
        <v>17203.64316</v>
      </c>
    </row>
    <row r="203" spans="3:9">
      <c r="C203" t="s">
        <v>38</v>
      </c>
      <c r="E203" s="76">
        <f>I192</f>
        <v>14916.41901</v>
      </c>
    </row>
    <row r="204" spans="3:9">
      <c r="C204" t="s">
        <v>1</v>
      </c>
      <c r="E204" s="76">
        <f>SUM(I193,I197)</f>
        <v>4794.5914300000004</v>
      </c>
    </row>
    <row r="205" spans="3:9">
      <c r="C205" s="59" t="s">
        <v>224</v>
      </c>
      <c r="E205" s="77">
        <f>SUM(E201:E204)</f>
        <v>55960.603479999998</v>
      </c>
    </row>
    <row r="207" spans="3:9">
      <c r="C207" t="s">
        <v>248</v>
      </c>
      <c r="E207" s="57">
        <f>(2248990.42+7000)/1000</f>
        <v>2255.9904200000001</v>
      </c>
      <c r="F207" t="s">
        <v>249</v>
      </c>
    </row>
    <row r="209" spans="3:9">
      <c r="C209" s="59" t="s">
        <v>224</v>
      </c>
      <c r="E209" s="77">
        <f>SUM(E205:E207)</f>
        <v>58216.5939</v>
      </c>
    </row>
    <row r="212" spans="3:9" s="56" customFormat="1">
      <c r="C212" s="60" t="s">
        <v>53</v>
      </c>
    </row>
    <row r="214" spans="3:9">
      <c r="E214" s="79" t="s">
        <v>247</v>
      </c>
    </row>
    <row r="215" spans="3:9">
      <c r="E215" s="79" t="s">
        <v>53</v>
      </c>
      <c r="F215" s="79" t="s">
        <v>236</v>
      </c>
      <c r="G215" s="79" t="s">
        <v>237</v>
      </c>
      <c r="H215" s="79" t="s">
        <v>238</v>
      </c>
      <c r="I215" s="79" t="s">
        <v>224</v>
      </c>
    </row>
    <row r="216" spans="3:9">
      <c r="C216" t="s">
        <v>239</v>
      </c>
      <c r="E216" s="57">
        <v>9575.0811200000007</v>
      </c>
      <c r="F216" s="57"/>
      <c r="G216" s="57"/>
      <c r="H216" s="57"/>
      <c r="I216" s="57">
        <f t="shared" ref="I216:I223" si="21">SUM(E216:H216)</f>
        <v>9575.0811200000007</v>
      </c>
    </row>
    <row r="217" spans="3:9">
      <c r="C217" t="s">
        <v>240</v>
      </c>
      <c r="E217" s="57">
        <v>17785.242969999999</v>
      </c>
      <c r="F217" s="57"/>
      <c r="G217" s="57"/>
      <c r="H217" s="57"/>
      <c r="I217" s="57">
        <f t="shared" si="21"/>
        <v>17785.242969999999</v>
      </c>
    </row>
    <row r="218" spans="3:9">
      <c r="C218" t="s">
        <v>241</v>
      </c>
      <c r="E218" s="57">
        <v>17949.687670000003</v>
      </c>
      <c r="F218" s="57"/>
      <c r="G218" s="57"/>
      <c r="H218" s="57"/>
      <c r="I218" s="57">
        <f t="shared" si="21"/>
        <v>17949.687670000003</v>
      </c>
    </row>
    <row r="219" spans="3:9">
      <c r="C219" t="s">
        <v>242</v>
      </c>
      <c r="E219" s="57">
        <v>3707.5562500000001</v>
      </c>
      <c r="F219" s="57"/>
      <c r="G219" s="57"/>
      <c r="H219" s="57"/>
      <c r="I219" s="57">
        <f t="shared" si="21"/>
        <v>3707.5562500000001</v>
      </c>
    </row>
    <row r="220" spans="3:9">
      <c r="C220" t="s">
        <v>243</v>
      </c>
      <c r="E220" s="57">
        <v>7627.8362600000009</v>
      </c>
      <c r="F220" s="57"/>
      <c r="G220" s="57"/>
      <c r="H220" s="57"/>
      <c r="I220" s="57">
        <f t="shared" si="21"/>
        <v>7627.8362600000009</v>
      </c>
    </row>
    <row r="221" spans="3:9">
      <c r="C221" t="s">
        <v>244</v>
      </c>
      <c r="E221" s="57">
        <v>0</v>
      </c>
      <c r="F221" s="57"/>
      <c r="G221" s="57"/>
      <c r="H221" s="57"/>
      <c r="I221" s="57">
        <f t="shared" si="21"/>
        <v>0</v>
      </c>
    </row>
    <row r="222" spans="3:9">
      <c r="C222" t="s">
        <v>245</v>
      </c>
      <c r="E222" s="57">
        <v>1785.7370699999999</v>
      </c>
      <c r="F222" s="57"/>
      <c r="G222" s="57"/>
      <c r="H222" s="57"/>
      <c r="I222" s="57">
        <f t="shared" si="21"/>
        <v>1785.7370699999999</v>
      </c>
    </row>
    <row r="223" spans="3:9">
      <c r="C223" t="s">
        <v>246</v>
      </c>
      <c r="E223" s="57">
        <v>1563.6489899999999</v>
      </c>
      <c r="F223" s="57"/>
      <c r="G223" s="57"/>
      <c r="H223" s="57"/>
      <c r="I223" s="57">
        <f t="shared" si="21"/>
        <v>1563.6489899999999</v>
      </c>
    </row>
    <row r="224" spans="3:9">
      <c r="C224" s="59" t="s">
        <v>224</v>
      </c>
      <c r="E224" s="80">
        <f>SUM(E216:E223)</f>
        <v>59994.790330000018</v>
      </c>
      <c r="F224" s="80">
        <f>SUM(F216:F223)</f>
        <v>0</v>
      </c>
      <c r="G224" s="80">
        <f>SUM(G216:G223)</f>
        <v>0</v>
      </c>
      <c r="H224" s="80">
        <f>SUM(H216:H223)</f>
        <v>0</v>
      </c>
      <c r="I224" s="80">
        <f>SUM(I216:I223)</f>
        <v>59994.790330000018</v>
      </c>
    </row>
    <row r="226" spans="3:9">
      <c r="E226" s="73"/>
    </row>
    <row r="227" spans="3:9">
      <c r="C227" t="s">
        <v>188</v>
      </c>
      <c r="E227" s="72">
        <f>SUM(I216,I220,I222)</f>
        <v>18988.654450000002</v>
      </c>
    </row>
    <row r="228" spans="3:9">
      <c r="C228" t="s">
        <v>37</v>
      </c>
      <c r="E228" s="76">
        <f>I217</f>
        <v>17785.242969999999</v>
      </c>
    </row>
    <row r="229" spans="3:9">
      <c r="C229" t="s">
        <v>38</v>
      </c>
      <c r="E229" s="76">
        <f>I218</f>
        <v>17949.687670000003</v>
      </c>
    </row>
    <row r="230" spans="3:9">
      <c r="C230" t="s">
        <v>1</v>
      </c>
      <c r="E230" s="76">
        <f>SUM(I219,I223)</f>
        <v>5271.2052400000002</v>
      </c>
    </row>
    <row r="231" spans="3:9">
      <c r="C231" s="59" t="s">
        <v>224</v>
      </c>
      <c r="E231" s="77">
        <f>SUM(E227:E230)</f>
        <v>59994.790330000011</v>
      </c>
    </row>
    <row r="233" spans="3:9">
      <c r="C233" t="s">
        <v>248</v>
      </c>
      <c r="E233" s="57">
        <v>8978.3878099999893</v>
      </c>
      <c r="F233" t="s">
        <v>249</v>
      </c>
    </row>
    <row r="235" spans="3:9">
      <c r="C235" s="59" t="s">
        <v>224</v>
      </c>
      <c r="E235" s="77">
        <f>SUM(E231:E233)</f>
        <v>68973.178140000004</v>
      </c>
    </row>
    <row r="238" spans="3:9" s="56" customFormat="1">
      <c r="C238" s="60" t="s">
        <v>54</v>
      </c>
    </row>
    <row r="240" spans="3:9">
      <c r="H240" s="57">
        <v>-737.60366256058262</v>
      </c>
      <c r="I240" t="s">
        <v>250</v>
      </c>
    </row>
    <row r="241" spans="3:9">
      <c r="E241" s="79" t="s">
        <v>247</v>
      </c>
    </row>
    <row r="242" spans="3:9">
      <c r="E242" s="79" t="s">
        <v>54</v>
      </c>
      <c r="F242" s="79" t="s">
        <v>236</v>
      </c>
      <c r="G242" s="79" t="s">
        <v>237</v>
      </c>
      <c r="H242" s="79" t="s">
        <v>238</v>
      </c>
      <c r="I242" s="79" t="s">
        <v>224</v>
      </c>
    </row>
    <row r="243" spans="3:9">
      <c r="C243" t="s">
        <v>239</v>
      </c>
      <c r="E243" s="57">
        <v>10851.96351</v>
      </c>
      <c r="F243" s="57">
        <v>-300.71920999999998</v>
      </c>
      <c r="G243" s="57"/>
      <c r="H243" s="57">
        <f t="shared" ref="H243:H250" si="22">(((E243/$E$251)*$H$240)/1000)*1000</f>
        <v>-103.58245134427523</v>
      </c>
      <c r="I243" s="57">
        <f t="shared" ref="I243:I250" si="23">SUM(E243:H243)</f>
        <v>10447.661848655725</v>
      </c>
    </row>
    <row r="244" spans="3:9">
      <c r="C244" t="s">
        <v>240</v>
      </c>
      <c r="E244" s="57">
        <v>19566.490249999995</v>
      </c>
      <c r="F244" s="57">
        <v>-514.18578000000002</v>
      </c>
      <c r="G244" s="57"/>
      <c r="H244" s="57">
        <f t="shared" si="22"/>
        <v>-186.76297818650332</v>
      </c>
      <c r="I244" s="57">
        <f t="shared" si="23"/>
        <v>18865.541491813492</v>
      </c>
    </row>
    <row r="245" spans="3:9">
      <c r="C245" t="s">
        <v>241</v>
      </c>
      <c r="E245" s="57">
        <v>30138.872509999997</v>
      </c>
      <c r="F245" s="57">
        <v>-302.35285999999996</v>
      </c>
      <c r="G245" s="57"/>
      <c r="H245" s="57">
        <f t="shared" si="22"/>
        <v>-287.67681465769959</v>
      </c>
      <c r="I245" s="57">
        <f t="shared" si="23"/>
        <v>29548.842835342301</v>
      </c>
    </row>
    <row r="246" spans="3:9">
      <c r="C246" t="s">
        <v>242</v>
      </c>
      <c r="E246" s="57">
        <v>3658.12453</v>
      </c>
      <c r="F246" s="57">
        <v>-72.37442999999999</v>
      </c>
      <c r="G246" s="57"/>
      <c r="H246" s="57">
        <f t="shared" si="22"/>
        <v>-34.9169535808755</v>
      </c>
      <c r="I246" s="57">
        <f t="shared" si="23"/>
        <v>3550.8331464191247</v>
      </c>
    </row>
    <row r="247" spans="3:9">
      <c r="C247" t="s">
        <v>243</v>
      </c>
      <c r="E247" s="57">
        <v>7249.4435400000011</v>
      </c>
      <c r="F247" s="57">
        <v>-105.10184</v>
      </c>
      <c r="G247" s="57"/>
      <c r="H247" s="57">
        <f t="shared" si="22"/>
        <v>-69.196245643763731</v>
      </c>
      <c r="I247" s="57">
        <f t="shared" si="23"/>
        <v>7075.1454543562368</v>
      </c>
    </row>
    <row r="248" spans="3:9">
      <c r="C248" t="s">
        <v>244</v>
      </c>
      <c r="E248" s="57">
        <v>2076.7656400000005</v>
      </c>
      <c r="F248" s="57">
        <v>-18.016940000000002</v>
      </c>
      <c r="G248" s="57"/>
      <c r="H248" s="57">
        <f t="shared" si="22"/>
        <v>-19.82281599643553</v>
      </c>
      <c r="I248" s="57">
        <f t="shared" si="23"/>
        <v>2038.925884003565</v>
      </c>
    </row>
    <row r="249" spans="3:9">
      <c r="C249" t="s">
        <v>245</v>
      </c>
      <c r="E249" s="57">
        <v>2440.1693100000007</v>
      </c>
      <c r="F249" s="57">
        <v>-20.536770000000001</v>
      </c>
      <c r="G249" s="57"/>
      <c r="H249" s="57">
        <f t="shared" si="22"/>
        <v>-23.291519418762654</v>
      </c>
      <c r="I249" s="57">
        <f t="shared" si="23"/>
        <v>2396.3410205812379</v>
      </c>
    </row>
    <row r="250" spans="3:9">
      <c r="C250" t="s">
        <v>246</v>
      </c>
      <c r="E250" s="57">
        <v>1294.2722799999997</v>
      </c>
      <c r="F250" s="57">
        <v>-20.477049999999998</v>
      </c>
      <c r="G250" s="57"/>
      <c r="H250" s="57">
        <f t="shared" si="22"/>
        <v>-12.353883732267004</v>
      </c>
      <c r="I250" s="57">
        <f t="shared" si="23"/>
        <v>1261.4413462677328</v>
      </c>
    </row>
    <row r="251" spans="3:9">
      <c r="C251" s="59" t="s">
        <v>224</v>
      </c>
      <c r="E251" s="80">
        <f>SUM(E243:E250)</f>
        <v>77276.101569999999</v>
      </c>
      <c r="F251" s="80">
        <f>SUM(F243:F250)</f>
        <v>-1353.7648799999999</v>
      </c>
      <c r="G251" s="80">
        <f>SUM(G243:G250)</f>
        <v>0</v>
      </c>
      <c r="H251" s="80">
        <f>SUM(H243:H250)</f>
        <v>-737.60366256058273</v>
      </c>
      <c r="I251" s="80">
        <f>SUM(I243:I250)</f>
        <v>75184.733027439419</v>
      </c>
    </row>
    <row r="253" spans="3:9">
      <c r="E253" s="73"/>
    </row>
    <row r="254" spans="3:9">
      <c r="C254" t="s">
        <v>188</v>
      </c>
      <c r="E254" s="72">
        <f>SUM(I243,I247,I248,I249)</f>
        <v>21958.074207596765</v>
      </c>
    </row>
    <row r="255" spans="3:9">
      <c r="C255" t="s">
        <v>37</v>
      </c>
      <c r="E255" s="76">
        <f>I244</f>
        <v>18865.541491813492</v>
      </c>
    </row>
    <row r="256" spans="3:9">
      <c r="C256" t="s">
        <v>38</v>
      </c>
      <c r="E256" s="76">
        <f>I245</f>
        <v>29548.842835342301</v>
      </c>
    </row>
    <row r="257" spans="1:9">
      <c r="C257" t="s">
        <v>1</v>
      </c>
      <c r="E257" s="76">
        <f>SUM(I246,I250)</f>
        <v>4812.2744926868572</v>
      </c>
    </row>
    <row r="258" spans="1:9">
      <c r="C258" s="59" t="s">
        <v>224</v>
      </c>
      <c r="E258" s="77">
        <f>SUM(E254:E257)</f>
        <v>75184.733027439419</v>
      </c>
    </row>
    <row r="260" spans="1:9">
      <c r="C260" t="s">
        <v>248</v>
      </c>
      <c r="E260" s="57">
        <v>7078.2792800000007</v>
      </c>
      <c r="F260" t="s">
        <v>249</v>
      </c>
    </row>
    <row r="262" spans="1:9">
      <c r="C262" s="59" t="s">
        <v>224</v>
      </c>
      <c r="E262" s="77">
        <f>SUM(E258:E260)</f>
        <v>82263.012307439421</v>
      </c>
    </row>
    <row r="265" spans="1:9">
      <c r="A265" s="56"/>
      <c r="B265" s="56"/>
      <c r="C265" s="60" t="s">
        <v>55</v>
      </c>
      <c r="D265" s="56"/>
      <c r="E265" s="56"/>
      <c r="F265" s="56"/>
      <c r="G265" s="56"/>
      <c r="H265" s="56"/>
      <c r="I265" s="56"/>
    </row>
    <row r="267" spans="1:9">
      <c r="H267" s="57">
        <v>-265.45850999998999</v>
      </c>
      <c r="I267" t="s">
        <v>250</v>
      </c>
    </row>
    <row r="268" spans="1:9">
      <c r="E268" s="79" t="s">
        <v>247</v>
      </c>
    </row>
    <row r="269" spans="1:9">
      <c r="E269" s="79" t="s">
        <v>55</v>
      </c>
      <c r="F269" s="79" t="s">
        <v>236</v>
      </c>
      <c r="G269" s="79" t="s">
        <v>237</v>
      </c>
      <c r="H269" s="79" t="s">
        <v>238</v>
      </c>
      <c r="I269" s="79" t="s">
        <v>224</v>
      </c>
    </row>
    <row r="270" spans="1:9">
      <c r="C270" t="s">
        <v>239</v>
      </c>
      <c r="E270" s="57">
        <v>11026.371760000002</v>
      </c>
      <c r="F270" s="57"/>
      <c r="G270" s="57"/>
      <c r="H270" s="57">
        <f>(((E270/$E$278)*$H$267)/1000)*1000</f>
        <v>-43.513127100923562</v>
      </c>
      <c r="I270" s="57">
        <f t="shared" ref="I270:I277" si="24">SUM(E270:H270)</f>
        <v>10982.858632899079</v>
      </c>
    </row>
    <row r="271" spans="1:9">
      <c r="C271" t="s">
        <v>240</v>
      </c>
      <c r="E271" s="57">
        <v>14104.86024</v>
      </c>
      <c r="F271" s="57"/>
      <c r="G271" s="57"/>
      <c r="H271" s="57">
        <f t="shared" ref="H271:H277" si="25">(((E271/$E$278)*$H$267)/1000)*1000</f>
        <v>-55.661698129057378</v>
      </c>
      <c r="I271" s="57">
        <f t="shared" si="24"/>
        <v>14049.198541870943</v>
      </c>
    </row>
    <row r="272" spans="1:9">
      <c r="C272" t="s">
        <v>241</v>
      </c>
      <c r="E272" s="57">
        <v>27139.018519999994</v>
      </c>
      <c r="F272" s="57"/>
      <c r="G272" s="57"/>
      <c r="H272" s="57">
        <f t="shared" si="25"/>
        <v>-107.09810878488628</v>
      </c>
      <c r="I272" s="57">
        <f t="shared" si="24"/>
        <v>27031.920411215109</v>
      </c>
    </row>
    <row r="273" spans="3:9">
      <c r="C273" t="s">
        <v>242</v>
      </c>
      <c r="E273" s="57">
        <v>3014.7455599999998</v>
      </c>
      <c r="F273" s="57"/>
      <c r="G273" s="57"/>
      <c r="H273" s="57">
        <f t="shared" si="25"/>
        <v>-11.897023752192529</v>
      </c>
      <c r="I273" s="57">
        <f t="shared" si="24"/>
        <v>3002.8485362478073</v>
      </c>
    </row>
    <row r="274" spans="3:9">
      <c r="C274" t="s">
        <v>243</v>
      </c>
      <c r="E274" s="57">
        <v>5986.3845699999993</v>
      </c>
      <c r="F274" s="57"/>
      <c r="G274" s="57"/>
      <c r="H274" s="57">
        <f t="shared" si="25"/>
        <v>-23.623937079137406</v>
      </c>
      <c r="I274" s="57">
        <f t="shared" si="24"/>
        <v>5962.760632920862</v>
      </c>
    </row>
    <row r="275" spans="3:9">
      <c r="C275" t="s">
        <v>244</v>
      </c>
      <c r="E275" s="57">
        <v>1813.37682</v>
      </c>
      <c r="F275" s="57"/>
      <c r="G275" s="57"/>
      <c r="H275" s="57">
        <f t="shared" si="25"/>
        <v>-7.1560888538850218</v>
      </c>
      <c r="I275" s="57">
        <f t="shared" si="24"/>
        <v>1806.220731146115</v>
      </c>
    </row>
    <row r="276" spans="3:9">
      <c r="C276" t="s">
        <v>245</v>
      </c>
      <c r="E276" s="57">
        <v>2637.05573</v>
      </c>
      <c r="F276" s="57"/>
      <c r="G276" s="57"/>
      <c r="H276" s="57">
        <f t="shared" si="25"/>
        <v>-10.406554726185719</v>
      </c>
      <c r="I276" s="57">
        <f t="shared" si="24"/>
        <v>2626.6491752738143</v>
      </c>
    </row>
    <row r="277" spans="3:9">
      <c r="C277" t="s">
        <v>246</v>
      </c>
      <c r="E277" s="57">
        <v>1546.25998</v>
      </c>
      <c r="F277" s="57"/>
      <c r="G277" s="57"/>
      <c r="H277" s="57">
        <f t="shared" si="25"/>
        <v>-6.1019715737220448</v>
      </c>
      <c r="I277" s="57">
        <f t="shared" si="24"/>
        <v>1540.158008426278</v>
      </c>
    </row>
    <row r="278" spans="3:9">
      <c r="C278" s="59" t="s">
        <v>224</v>
      </c>
      <c r="E278" s="80">
        <f>SUM(E270:E277)</f>
        <v>67268.073180000007</v>
      </c>
      <c r="F278" s="80">
        <f>SUM(F270:F277)</f>
        <v>0</v>
      </c>
      <c r="G278" s="80">
        <f>SUM(G270:G277)</f>
        <v>0</v>
      </c>
      <c r="H278" s="80">
        <f>SUM(H270:H277)</f>
        <v>-265.45850999998993</v>
      </c>
      <c r="I278" s="80">
        <f>SUM(I270:I277)</f>
        <v>67002.614670000024</v>
      </c>
    </row>
    <row r="280" spans="3:9">
      <c r="E280" s="73"/>
    </row>
    <row r="281" spans="3:9">
      <c r="C281" t="s">
        <v>188</v>
      </c>
      <c r="E281" s="72">
        <f>SUM(I270,I274,I275,I276)</f>
        <v>21378.489172239868</v>
      </c>
    </row>
    <row r="282" spans="3:9">
      <c r="C282" t="s">
        <v>37</v>
      </c>
      <c r="E282" s="76">
        <f>I271</f>
        <v>14049.198541870943</v>
      </c>
    </row>
    <row r="283" spans="3:9">
      <c r="C283" t="s">
        <v>38</v>
      </c>
      <c r="E283" s="76">
        <f>I272</f>
        <v>27031.920411215109</v>
      </c>
    </row>
    <row r="284" spans="3:9">
      <c r="C284" t="s">
        <v>1</v>
      </c>
      <c r="E284" s="76">
        <f>SUM(I273,I277)</f>
        <v>4543.0065446740855</v>
      </c>
    </row>
    <row r="285" spans="3:9">
      <c r="C285" s="59" t="s">
        <v>224</v>
      </c>
      <c r="E285" s="77">
        <f>SUM(E281:E284)</f>
        <v>67002.61467000001</v>
      </c>
    </row>
    <row r="287" spans="3:9">
      <c r="C287" t="s">
        <v>248</v>
      </c>
      <c r="E287" s="57">
        <v>6888.7057100000002</v>
      </c>
      <c r="F287" t="s">
        <v>249</v>
      </c>
    </row>
    <row r="289" spans="1:9">
      <c r="C289" s="59" t="s">
        <v>224</v>
      </c>
      <c r="E289" s="77">
        <f>SUM(E285:E287)</f>
        <v>73891.320380000005</v>
      </c>
    </row>
    <row r="292" spans="1:9">
      <c r="A292" s="56"/>
      <c r="B292" s="56"/>
      <c r="C292" s="59" t="s">
        <v>251</v>
      </c>
      <c r="D292" s="56"/>
      <c r="E292" s="56"/>
      <c r="F292" s="56"/>
      <c r="G292" s="56"/>
      <c r="H292" s="56"/>
      <c r="I292" s="56"/>
    </row>
    <row r="294" spans="1:9">
      <c r="H294" s="57">
        <v>-3191.87835830312</v>
      </c>
      <c r="I294" t="s">
        <v>250</v>
      </c>
    </row>
    <row r="295" spans="1:9">
      <c r="E295" s="79" t="s">
        <v>252</v>
      </c>
    </row>
    <row r="296" spans="1:9">
      <c r="E296" s="79" t="s">
        <v>56</v>
      </c>
      <c r="F296" s="79" t="s">
        <v>236</v>
      </c>
      <c r="G296" s="79" t="s">
        <v>237</v>
      </c>
      <c r="H296" s="79" t="s">
        <v>238</v>
      </c>
      <c r="I296" s="79" t="s">
        <v>224</v>
      </c>
    </row>
    <row r="297" spans="1:9">
      <c r="C297" t="s">
        <v>239</v>
      </c>
      <c r="E297" s="57">
        <v>12259.050160000001</v>
      </c>
      <c r="F297" s="57"/>
      <c r="G297" s="57"/>
      <c r="H297" s="57">
        <f>(((E297/$E$305)*$H$294)/1000)*1000</f>
        <v>-543.05829426071034</v>
      </c>
      <c r="I297" s="57">
        <f t="shared" ref="I297:I304" si="26">SUM(E297:H297)</f>
        <v>11715.99186573929</v>
      </c>
    </row>
    <row r="298" spans="1:9">
      <c r="C298" t="s">
        <v>240</v>
      </c>
      <c r="E298" s="57">
        <v>15926.670969999999</v>
      </c>
      <c r="F298" s="57"/>
      <c r="G298" s="57"/>
      <c r="H298" s="57">
        <f t="shared" ref="H298:H305" si="27">(((E298/$E$305)*$H$294)/1000)*1000</f>
        <v>-705.52862231047209</v>
      </c>
      <c r="I298" s="57">
        <f t="shared" si="26"/>
        <v>15221.142347689527</v>
      </c>
    </row>
    <row r="299" spans="1:9">
      <c r="C299" t="s">
        <v>241</v>
      </c>
      <c r="E299" s="57">
        <v>29925.351689999996</v>
      </c>
      <c r="F299" s="57"/>
      <c r="G299" s="57"/>
      <c r="H299" s="57">
        <f t="shared" si="27"/>
        <v>-1325.6500488879035</v>
      </c>
      <c r="I299" s="57">
        <f t="shared" si="26"/>
        <v>28599.701641112093</v>
      </c>
    </row>
    <row r="300" spans="1:9">
      <c r="C300" t="s">
        <v>242</v>
      </c>
      <c r="E300" s="57">
        <v>3216.7425099999996</v>
      </c>
      <c r="F300" s="57"/>
      <c r="G300" s="57"/>
      <c r="H300" s="57">
        <f t="shared" si="27"/>
        <v>-142.49706769749571</v>
      </c>
      <c r="I300" s="57">
        <f t="shared" si="26"/>
        <v>3074.2454423025038</v>
      </c>
    </row>
    <row r="301" spans="1:9">
      <c r="C301" t="s">
        <v>243</v>
      </c>
      <c r="E301" s="57">
        <v>5684.1376000000009</v>
      </c>
      <c r="F301" s="57"/>
      <c r="G301" s="57"/>
      <c r="H301" s="57">
        <f t="shared" si="27"/>
        <v>-251.79912220859757</v>
      </c>
      <c r="I301" s="57">
        <f t="shared" si="26"/>
        <v>5432.3384777914034</v>
      </c>
    </row>
    <row r="302" spans="1:9">
      <c r="C302" t="s">
        <v>244</v>
      </c>
      <c r="E302" s="57">
        <v>968.14434000000006</v>
      </c>
      <c r="F302" s="57"/>
      <c r="G302" s="57"/>
      <c r="H302" s="57">
        <f t="shared" si="27"/>
        <v>-42.887402124681508</v>
      </c>
      <c r="I302" s="57">
        <f t="shared" si="26"/>
        <v>925.2569378753185</v>
      </c>
    </row>
    <row r="303" spans="1:9">
      <c r="C303" t="s">
        <v>245</v>
      </c>
      <c r="E303" s="57">
        <v>1248.5628000000002</v>
      </c>
      <c r="F303" s="57"/>
      <c r="G303" s="57"/>
      <c r="H303" s="57">
        <f t="shared" si="27"/>
        <v>-55.309536676647099</v>
      </c>
      <c r="I303" s="57">
        <f t="shared" si="26"/>
        <v>1193.2532633233532</v>
      </c>
    </row>
    <row r="304" spans="1:9">
      <c r="C304" t="s">
        <v>246</v>
      </c>
      <c r="E304" s="57">
        <v>2825.1089499999998</v>
      </c>
      <c r="F304" s="57"/>
      <c r="G304" s="57"/>
      <c r="H304" s="57">
        <f t="shared" si="27"/>
        <v>-125.14826413661287</v>
      </c>
      <c r="I304" s="57">
        <f t="shared" si="26"/>
        <v>2699.960685863387</v>
      </c>
    </row>
    <row r="305" spans="3:9">
      <c r="C305" s="59" t="s">
        <v>224</v>
      </c>
      <c r="E305" s="80">
        <f>SUM(E297:E304)</f>
        <v>72053.769019999978</v>
      </c>
      <c r="F305" s="80">
        <f>SUM(F297:F304)</f>
        <v>0</v>
      </c>
      <c r="G305" s="80">
        <f>SUM(G297:G304)</f>
        <v>0</v>
      </c>
      <c r="H305" s="57">
        <f t="shared" si="27"/>
        <v>-3191.87835830312</v>
      </c>
      <c r="I305" s="80">
        <f>SUM(I297:I304)</f>
        <v>68861.890661696889</v>
      </c>
    </row>
    <row r="306" spans="3:9">
      <c r="H306" s="57"/>
    </row>
    <row r="307" spans="3:9">
      <c r="E307" s="73"/>
      <c r="H307" s="57"/>
    </row>
    <row r="308" spans="3:9">
      <c r="C308" t="s">
        <v>188</v>
      </c>
      <c r="E308" s="72">
        <f>SUM(I297,I301,I302,I303)</f>
        <v>19266.840544729366</v>
      </c>
      <c r="H308" s="57"/>
    </row>
    <row r="309" spans="3:9">
      <c r="C309" t="s">
        <v>37</v>
      </c>
      <c r="E309" s="76">
        <f>I298</f>
        <v>15221.142347689527</v>
      </c>
      <c r="H309" s="57"/>
    </row>
    <row r="310" spans="3:9">
      <c r="C310" t="s">
        <v>38</v>
      </c>
      <c r="E310" s="76">
        <f>I299</f>
        <v>28599.701641112093</v>
      </c>
      <c r="H310" s="57"/>
    </row>
    <row r="311" spans="3:9">
      <c r="C311" t="s">
        <v>1</v>
      </c>
      <c r="E311" s="76">
        <f>SUM(I300,I304)</f>
        <v>5774.2061281658907</v>
      </c>
      <c r="H311" s="57"/>
    </row>
    <row r="312" spans="3:9">
      <c r="C312" s="59" t="s">
        <v>224</v>
      </c>
      <c r="E312" s="77">
        <f>SUM(E308:E311)</f>
        <v>68861.890661696874</v>
      </c>
      <c r="H312" s="57"/>
    </row>
    <row r="313" spans="3:9">
      <c r="H313" s="57"/>
    </row>
    <row r="314" spans="3:9">
      <c r="C314" t="s">
        <v>248</v>
      </c>
      <c r="E314" s="57"/>
      <c r="F314" t="s">
        <v>253</v>
      </c>
      <c r="H314" s="57"/>
    </row>
    <row r="315" spans="3:9">
      <c r="H315" s="57"/>
    </row>
    <row r="316" spans="3:9">
      <c r="C316" s="59" t="s">
        <v>224</v>
      </c>
      <c r="E316" s="77">
        <f>SUM(E312:E314)</f>
        <v>68861.890661696874</v>
      </c>
      <c r="H316" s="57"/>
    </row>
    <row r="317" spans="3:9">
      <c r="H317" s="57"/>
    </row>
    <row r="318" spans="3:9">
      <c r="H318" s="57"/>
    </row>
    <row r="319" spans="3:9">
      <c r="C319" s="59" t="s">
        <v>266</v>
      </c>
      <c r="D319" s="59"/>
      <c r="E319" s="59"/>
      <c r="F319" s="59"/>
      <c r="G319" s="59"/>
      <c r="H319" s="57"/>
    </row>
    <row r="320" spans="3:9">
      <c r="C320" s="59"/>
      <c r="D320" s="59"/>
      <c r="E320" s="59"/>
      <c r="F320" s="59"/>
      <c r="G320" s="59"/>
      <c r="H320" s="57"/>
    </row>
    <row r="321" spans="3:9">
      <c r="C321" s="59"/>
      <c r="D321" s="59"/>
      <c r="E321" s="59"/>
      <c r="F321" s="59"/>
      <c r="G321" s="59"/>
      <c r="H321" s="57">
        <v>0</v>
      </c>
      <c r="I321" t="s">
        <v>250</v>
      </c>
    </row>
    <row r="322" spans="3:9">
      <c r="C322" s="59"/>
      <c r="D322" s="59"/>
      <c r="E322" s="313"/>
      <c r="F322" s="59"/>
      <c r="G322" s="59"/>
      <c r="H322" s="57"/>
    </row>
    <row r="323" spans="3:9">
      <c r="E323" s="59" t="s">
        <v>158</v>
      </c>
      <c r="F323" s="59" t="s">
        <v>236</v>
      </c>
      <c r="G323" s="59" t="s">
        <v>237</v>
      </c>
      <c r="H323" s="80" t="s">
        <v>238</v>
      </c>
      <c r="I323" s="59" t="s">
        <v>224</v>
      </c>
    </row>
    <row r="324" spans="3:9">
      <c r="C324" t="s">
        <v>239</v>
      </c>
      <c r="E324" s="311">
        <v>15310.99207</v>
      </c>
      <c r="F324" s="255"/>
      <c r="G324" s="255"/>
      <c r="H324" s="314">
        <v>-571.59431193489638</v>
      </c>
      <c r="I324" s="255">
        <f>SUM(E324:H324)</f>
        <v>14739.397758065104</v>
      </c>
    </row>
    <row r="325" spans="3:9">
      <c r="C325" t="s">
        <v>240</v>
      </c>
      <c r="E325" s="311">
        <v>20653.27202</v>
      </c>
      <c r="F325" s="255"/>
      <c r="G325" s="255"/>
      <c r="H325" s="314">
        <v>-771.033826907086</v>
      </c>
      <c r="I325" s="255">
        <f t="shared" ref="I325:I331" si="28">SUM(E325:H325)</f>
        <v>19882.238193092915</v>
      </c>
    </row>
    <row r="326" spans="3:9">
      <c r="C326" t="s">
        <v>241</v>
      </c>
      <c r="E326" s="311">
        <v>29326.422580000002</v>
      </c>
      <c r="F326" s="255"/>
      <c r="G326" s="255"/>
      <c r="H326" s="314">
        <v>-1094.822351124574</v>
      </c>
      <c r="I326" s="255">
        <f t="shared" si="28"/>
        <v>28231.600228875428</v>
      </c>
    </row>
    <row r="327" spans="3:9">
      <c r="C327" t="s">
        <v>242</v>
      </c>
      <c r="E327" s="311">
        <v>4237.5500100000008</v>
      </c>
      <c r="F327" s="255"/>
      <c r="G327" s="255"/>
      <c r="H327" s="314">
        <v>-158.19742255641202</v>
      </c>
      <c r="I327" s="255">
        <f t="shared" si="28"/>
        <v>4079.3525874435886</v>
      </c>
    </row>
    <row r="328" spans="3:9">
      <c r="C328" t="s">
        <v>243</v>
      </c>
      <c r="E328" s="311">
        <v>5899.9513299999999</v>
      </c>
      <c r="F328" s="255"/>
      <c r="G328" s="255"/>
      <c r="H328" s="314">
        <v>-220.2586615878723</v>
      </c>
      <c r="I328" s="255">
        <f t="shared" si="28"/>
        <v>5679.6926684121272</v>
      </c>
    </row>
    <row r="329" spans="3:9">
      <c r="C329" t="s">
        <v>244</v>
      </c>
      <c r="E329" s="311">
        <v>0</v>
      </c>
      <c r="F329" s="255"/>
      <c r="G329" s="255"/>
      <c r="H329" s="314">
        <v>0</v>
      </c>
      <c r="I329" s="255">
        <f t="shared" si="28"/>
        <v>0</v>
      </c>
    </row>
    <row r="330" spans="3:9">
      <c r="C330" t="s">
        <v>245</v>
      </c>
      <c r="E330" s="311">
        <v>417.75956000000008</v>
      </c>
      <c r="F330" s="255"/>
      <c r="G330" s="255"/>
      <c r="H330" s="314">
        <v>-15.595918746526078</v>
      </c>
      <c r="I330" s="255">
        <f t="shared" si="28"/>
        <v>402.163641253474</v>
      </c>
    </row>
    <row r="331" spans="3:9">
      <c r="C331" t="s">
        <v>246</v>
      </c>
      <c r="E331" s="311">
        <v>3207.3485999999998</v>
      </c>
      <c r="F331" s="255"/>
      <c r="G331" s="255"/>
      <c r="H331" s="314">
        <v>-119.7376504259631</v>
      </c>
      <c r="I331" s="255">
        <f t="shared" si="28"/>
        <v>3087.6109495740366</v>
      </c>
    </row>
    <row r="332" spans="3:9">
      <c r="C332" t="s">
        <v>224</v>
      </c>
      <c r="E332" s="255">
        <f>SUM(E324:E331)</f>
        <v>79053.296170000001</v>
      </c>
      <c r="F332" s="255">
        <v>0</v>
      </c>
      <c r="G332" s="255">
        <v>0</v>
      </c>
      <c r="H332" s="57">
        <v>0</v>
      </c>
      <c r="I332" s="255">
        <f>SUM(I324:I331)</f>
        <v>76102.056026716673</v>
      </c>
    </row>
    <row r="333" spans="3:9">
      <c r="E333" s="255"/>
      <c r="F333" s="255"/>
      <c r="G333" s="255"/>
      <c r="H333" s="255"/>
      <c r="I333" s="255"/>
    </row>
    <row r="334" spans="3:9">
      <c r="E334" s="255"/>
      <c r="F334" s="255"/>
      <c r="G334" s="255"/>
      <c r="H334" s="255"/>
      <c r="I334" s="255"/>
    </row>
    <row r="335" spans="3:9">
      <c r="C335" t="s">
        <v>188</v>
      </c>
      <c r="E335" s="312">
        <f>SUM(I330,I329,I328,I324)</f>
        <v>20821.254067730704</v>
      </c>
      <c r="F335" s="255"/>
      <c r="G335" s="255"/>
      <c r="H335" s="255"/>
      <c r="I335" s="255"/>
    </row>
    <row r="336" spans="3:9">
      <c r="C336" t="s">
        <v>37</v>
      </c>
      <c r="E336" s="312">
        <f>I325</f>
        <v>19882.238193092915</v>
      </c>
      <c r="F336" s="255"/>
      <c r="G336" s="255"/>
      <c r="H336" s="255"/>
      <c r="I336" s="255"/>
    </row>
    <row r="337" spans="3:11">
      <c r="C337" t="s">
        <v>38</v>
      </c>
      <c r="E337" s="312">
        <f>I326</f>
        <v>28231.600228875428</v>
      </c>
      <c r="F337" s="255"/>
      <c r="G337" s="255"/>
      <c r="H337" s="255"/>
      <c r="I337" s="255"/>
    </row>
    <row r="338" spans="3:11">
      <c r="C338" t="s">
        <v>1</v>
      </c>
      <c r="E338" s="312">
        <f>SUM(I331,I327)</f>
        <v>7166.9635370176256</v>
      </c>
      <c r="F338" s="255"/>
      <c r="G338" s="255"/>
      <c r="H338" s="255"/>
      <c r="I338" s="255"/>
    </row>
    <row r="339" spans="3:11">
      <c r="C339" t="s">
        <v>224</v>
      </c>
      <c r="E339" s="312">
        <f>SUM(E335:E338)</f>
        <v>76102.056026716673</v>
      </c>
      <c r="F339" s="255"/>
      <c r="G339" s="255" t="s">
        <v>265</v>
      </c>
      <c r="H339" s="255"/>
      <c r="I339" s="255"/>
    </row>
    <row r="340" spans="3:11">
      <c r="E340" s="255"/>
      <c r="F340" s="255"/>
      <c r="G340" s="255"/>
      <c r="H340" s="255"/>
      <c r="I340" s="255"/>
    </row>
    <row r="341" spans="3:11">
      <c r="C341" t="s">
        <v>248</v>
      </c>
      <c r="E341" s="255"/>
      <c r="F341" s="255"/>
      <c r="G341" s="255"/>
      <c r="H341" s="255"/>
      <c r="I341" s="255"/>
    </row>
    <row r="342" spans="3:11">
      <c r="E342" s="255"/>
      <c r="F342" s="255"/>
      <c r="G342" s="255"/>
      <c r="H342" s="255"/>
      <c r="I342" s="255"/>
    </row>
    <row r="343" spans="3:11">
      <c r="C343" t="s">
        <v>224</v>
      </c>
      <c r="E343" s="255">
        <f>SUM(E339:E341)</f>
        <v>76102.056026716673</v>
      </c>
      <c r="F343" s="255"/>
      <c r="G343" s="255"/>
      <c r="H343" s="255"/>
      <c r="I343" s="255"/>
    </row>
    <row r="346" spans="3:11">
      <c r="H346">
        <v>-3591.2068809482043</v>
      </c>
      <c r="I346" t="s">
        <v>250</v>
      </c>
      <c r="K346" t="s">
        <v>300</v>
      </c>
    </row>
    <row r="347" spans="3:11">
      <c r="E347" s="59" t="s">
        <v>301</v>
      </c>
      <c r="F347" s="59"/>
      <c r="G347" s="59"/>
      <c r="H347" s="59"/>
      <c r="I347" s="59"/>
    </row>
    <row r="348" spans="3:11">
      <c r="E348" s="59" t="s">
        <v>293</v>
      </c>
      <c r="F348" s="59" t="s">
        <v>236</v>
      </c>
      <c r="G348" s="59" t="s">
        <v>237</v>
      </c>
      <c r="H348" s="59" t="s">
        <v>238</v>
      </c>
      <c r="I348" s="59" t="s">
        <v>224</v>
      </c>
    </row>
    <row r="349" spans="3:11">
      <c r="C349" t="s">
        <v>239</v>
      </c>
      <c r="E349" s="384">
        <v>18424.344810000002</v>
      </c>
      <c r="F349" s="384"/>
      <c r="G349" s="384"/>
      <c r="H349" s="384">
        <v>-700.75386727955333</v>
      </c>
      <c r="I349" s="384">
        <v>17723.59094272045</v>
      </c>
    </row>
    <row r="350" spans="3:11">
      <c r="C350" t="s">
        <v>240</v>
      </c>
      <c r="E350" s="384">
        <v>20544.742560000002</v>
      </c>
      <c r="F350" s="384"/>
      <c r="G350" s="384"/>
      <c r="H350" s="384">
        <v>-781.40134423498296</v>
      </c>
      <c r="I350" s="384">
        <v>19763.34121576502</v>
      </c>
    </row>
    <row r="351" spans="3:11">
      <c r="C351" t="s">
        <v>241</v>
      </c>
      <c r="E351" s="384">
        <v>37785.550199999998</v>
      </c>
      <c r="F351" s="384"/>
      <c r="G351" s="384"/>
      <c r="H351" s="384">
        <v>-1437.1404086816858</v>
      </c>
      <c r="I351" s="384">
        <v>36348.409791318314</v>
      </c>
    </row>
    <row r="352" spans="3:11">
      <c r="C352" t="s">
        <v>242</v>
      </c>
      <c r="E352" s="384">
        <v>6519.6495500000001</v>
      </c>
      <c r="F352" s="384"/>
      <c r="G352" s="384"/>
      <c r="H352" s="384">
        <v>-247.96917787764198</v>
      </c>
      <c r="I352" s="384">
        <v>6271.6803721223578</v>
      </c>
    </row>
    <row r="353" spans="3:9">
      <c r="C353" t="s">
        <v>243</v>
      </c>
      <c r="E353" s="384">
        <v>6736.6662999999999</v>
      </c>
      <c r="F353" s="384"/>
      <c r="G353" s="384"/>
      <c r="H353" s="384">
        <v>-256.22322047156911</v>
      </c>
      <c r="I353" s="384">
        <v>6480.4430795284306</v>
      </c>
    </row>
    <row r="354" spans="3:9">
      <c r="C354" t="s">
        <v>244</v>
      </c>
      <c r="E354" s="384">
        <v>0</v>
      </c>
      <c r="F354" s="384"/>
      <c r="G354" s="384"/>
      <c r="H354" s="384">
        <v>0</v>
      </c>
      <c r="I354" s="384">
        <v>0</v>
      </c>
    </row>
    <row r="355" spans="3:9">
      <c r="C355" t="s">
        <v>245</v>
      </c>
      <c r="E355" s="384">
        <v>471.06876999999997</v>
      </c>
      <c r="F355" s="384"/>
      <c r="G355" s="384"/>
      <c r="H355" s="384">
        <v>-17.916689344250415</v>
      </c>
      <c r="I355" s="384">
        <v>453.15208065574956</v>
      </c>
    </row>
    <row r="356" spans="3:9">
      <c r="C356" t="s">
        <v>246</v>
      </c>
      <c r="E356" s="384">
        <v>3938.62527</v>
      </c>
      <c r="F356" s="384"/>
      <c r="G356" s="384"/>
      <c r="H356" s="384">
        <v>-149.80217305852054</v>
      </c>
      <c r="I356" s="384">
        <v>3788.8230969414794</v>
      </c>
    </row>
    <row r="357" spans="3:9">
      <c r="C357" s="59" t="s">
        <v>224</v>
      </c>
      <c r="D357" s="59"/>
      <c r="E357" s="385">
        <v>94420.647460000007</v>
      </c>
      <c r="F357" s="385">
        <v>0</v>
      </c>
      <c r="G357" s="385">
        <v>0</v>
      </c>
      <c r="H357" s="385">
        <v>-3591.2068809482043</v>
      </c>
      <c r="I357" s="385">
        <v>90829.440579051792</v>
      </c>
    </row>
    <row r="358" spans="3:9">
      <c r="E358" s="384"/>
      <c r="F358" s="384"/>
      <c r="G358" s="384"/>
      <c r="H358" s="384"/>
      <c r="I358" s="384"/>
    </row>
    <row r="359" spans="3:9">
      <c r="E359" s="384"/>
      <c r="F359" s="384"/>
      <c r="G359" s="384"/>
      <c r="H359" s="384"/>
      <c r="I359" s="384"/>
    </row>
    <row r="360" spans="3:9">
      <c r="C360" t="s">
        <v>188</v>
      </c>
      <c r="E360" s="384">
        <v>24657.18610290463</v>
      </c>
      <c r="F360" s="384"/>
      <c r="G360" s="384"/>
      <c r="H360" s="384"/>
      <c r="I360" s="384"/>
    </row>
    <row r="361" spans="3:9">
      <c r="C361" t="s">
        <v>37</v>
      </c>
      <c r="E361" s="384">
        <v>19763.34121576502</v>
      </c>
      <c r="F361" s="384"/>
      <c r="G361" s="384"/>
      <c r="H361" s="384"/>
      <c r="I361" s="384"/>
    </row>
    <row r="362" spans="3:9">
      <c r="C362" t="s">
        <v>38</v>
      </c>
      <c r="E362" s="384">
        <v>36348.409791318314</v>
      </c>
      <c r="F362" s="384"/>
      <c r="G362" s="384"/>
      <c r="H362" s="384"/>
      <c r="I362" s="384"/>
    </row>
    <row r="363" spans="3:9">
      <c r="C363" t="s">
        <v>1</v>
      </c>
      <c r="E363" s="384">
        <v>10060.503469063837</v>
      </c>
      <c r="F363" s="384"/>
      <c r="G363" s="384"/>
      <c r="H363" s="384"/>
      <c r="I363" s="384"/>
    </row>
    <row r="364" spans="3:9">
      <c r="C364" s="59" t="s">
        <v>224</v>
      </c>
      <c r="D364" s="59"/>
      <c r="E364" s="385">
        <v>90829.440579051807</v>
      </c>
      <c r="F364" s="384"/>
      <c r="G364" s="384"/>
      <c r="H364" s="384"/>
      <c r="I364" s="384"/>
    </row>
    <row r="365" spans="3:9">
      <c r="E365" s="384"/>
      <c r="F365" s="384"/>
      <c r="G365" s="384"/>
      <c r="H365" s="384"/>
      <c r="I365" s="384"/>
    </row>
    <row r="366" spans="3:9">
      <c r="C366" t="s">
        <v>248</v>
      </c>
      <c r="E366" s="384"/>
      <c r="F366" s="384"/>
      <c r="G366" s="384"/>
      <c r="H366" s="384"/>
      <c r="I366" s="384"/>
    </row>
    <row r="367" spans="3:9">
      <c r="E367" s="384"/>
      <c r="F367" s="384"/>
      <c r="G367" s="384"/>
      <c r="H367" s="384"/>
      <c r="I367" s="384"/>
    </row>
    <row r="368" spans="3:9">
      <c r="C368" s="59" t="s">
        <v>224</v>
      </c>
      <c r="D368" s="59"/>
      <c r="E368" s="385">
        <v>90829.440579051807</v>
      </c>
      <c r="F368" s="384"/>
      <c r="G368" s="384"/>
      <c r="H368" s="384"/>
      <c r="I368" s="384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7057c79-7d51-421d-a905-1d0948ddf619">
      <UserInfo>
        <DisplayName>Craig Field</DisplayName>
        <AccountId>33</AccountId>
        <AccountType/>
      </UserInfo>
      <UserInfo>
        <DisplayName>Tim Adams</DisplayName>
        <AccountId>11</AccountId>
        <AccountType/>
      </UserInfo>
      <UserInfo>
        <DisplayName>Michael Shinnick</DisplayName>
        <AccountId>56</AccountId>
        <AccountType/>
      </UserInfo>
    </SharedWithUsers>
    <TaxCatchAll xmlns="a7057c79-7d51-421d-a905-1d0948ddf619" xsi:nil="true"/>
    <Hyperlink xmlns="d3f9e2a3-ddce-444d-9f34-47b009369a7d">
      <Url xsi:nil="true"/>
      <Description xsi:nil="true"/>
    </Hyperlink>
    <lcf76f155ced4ddcb4097134ff3c332f xmlns="d3f9e2a3-ddce-444d-9f34-47b009369a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EE8CC4-6A24-41B5-BA5C-036B61059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45DE5-D6B9-4B0F-9137-1333CDA2D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CCAC7-DE56-49BB-A154-4CF3D86DAE46}">
  <ds:schemaRefs>
    <ds:schemaRef ds:uri="http://schemas.microsoft.com/office/2006/documentManagement/types"/>
    <ds:schemaRef ds:uri="http://purl.org/dc/elements/1.1/"/>
    <ds:schemaRef ds:uri="http://purl.org/dc/terms/"/>
    <ds:schemaRef ds:uri="d3f9e2a3-ddce-444d-9f34-47b009369a7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7057c79-7d51-421d-a905-1d0948ddf61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TOTAL SUMMARY</vt:lpstr>
      <vt:lpstr>Connections_excl EG</vt:lpstr>
      <vt:lpstr>Oct 23 RIN $ OEA forecast </vt:lpstr>
      <vt:lpstr>OEA_23 Oct 2023 from Report</vt:lpstr>
      <vt:lpstr>Summary excl EG</vt:lpstr>
      <vt:lpstr>RIN vs IM</vt:lpstr>
      <vt:lpstr>SAP IM, Historical</vt:lpstr>
      <vt:lpstr>RIN, Cont workings</vt:lpstr>
      <vt:lpstr>RIN, Exp workings</vt:lpstr>
      <vt:lpstr>CPI Table</vt:lpstr>
      <vt:lpstr>'Connections_excl EG'!Print_Area</vt:lpstr>
      <vt:lpstr>'OEA_23 Oct 2023 from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Peter.Le@sapowernetworks.com.au</dc:creator>
  <cp:keywords/>
  <dc:description/>
  <cp:lastModifiedBy>Edward Heaton</cp:lastModifiedBy>
  <cp:revision/>
  <cp:lastPrinted>2023-10-23T22:49:55Z</cp:lastPrinted>
  <dcterms:created xsi:type="dcterms:W3CDTF">2014-08-02T08:17:33Z</dcterms:created>
  <dcterms:modified xsi:type="dcterms:W3CDTF">2024-01-24T22:31:01Z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0x010100E6715E7088F62544BE22194BF623D9BD</vt:lpwstr>
  </property>
  <property fmtid="{D5CDD505-2E9C-101B-9397-08002B2CF9AE}" pid="3" name="CofWorkbookId">
    <vt:lpwstr>b47335b3-2f61-496e-8edf-89bab5db10bf</vt:lpwstr>
  </property>
  <property fmtid="{D5CDD505-2E9C-101B-9397-08002B2CF9AE}" pid="4" name="MediaServiceImageTags">
    <vt:lpwstr/>
  </property>
</Properties>
</file>