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sapowernetworks.sharepoint.com/sites/Reset2025/Shared Documents/General/Reg Proposal documentation/Attachments/18. TSS/"/>
    </mc:Choice>
  </mc:AlternateContent>
  <xr:revisionPtr revIDLastSave="740" documentId="8_{0C549889-0F9C-4CE8-A482-D2DC0DEB3A77}" xr6:coauthVersionLast="47" xr6:coauthVersionMax="47" xr10:uidLastSave="{A7E5E283-437A-4399-9BF7-177E4284A64D}"/>
  <bookViews>
    <workbookView xWindow="28680" yWindow="-120" windowWidth="29040" windowHeight="15840" tabRatio="870" activeTab="2" xr2:uid="{00000000-000D-0000-FFFF-FFFF00000000}"/>
  </bookViews>
  <sheets>
    <sheet name="Results" sheetId="31" r:id="rId1"/>
    <sheet name="Inputs" sheetId="16" r:id="rId2"/>
    <sheet name="AIC Calculation" sheetId="14" r:id="rId3"/>
    <sheet name="Augmentation Capex" sheetId="11" r:id="rId4"/>
    <sheet name="Replacement Capex" sheetId="17" r:id="rId5"/>
    <sheet name="Opex" sheetId="13" r:id="rId6"/>
    <sheet name="Demand Summary" sheetId="1" r:id="rId7"/>
    <sheet name="ESOO 2022 Summary" sheetId="4" r:id="rId8"/>
  </sheets>
  <definedNames>
    <definedName name="Allowable_load_at_risk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4" i="14" l="1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D12" i="4"/>
  <c r="H23" i="17" l="1"/>
  <c r="H33" i="17" s="1"/>
  <c r="H42" i="17" s="1"/>
  <c r="B23" i="17"/>
  <c r="B42" i="17" s="1"/>
  <c r="H22" i="17"/>
  <c r="H32" i="17" s="1"/>
  <c r="H41" i="17" s="1"/>
  <c r="B22" i="17"/>
  <c r="B32" i="17" s="1"/>
  <c r="H21" i="17"/>
  <c r="H31" i="17" s="1"/>
  <c r="H40" i="17" s="1"/>
  <c r="B21" i="17"/>
  <c r="B31" i="17" s="1"/>
  <c r="H20" i="17"/>
  <c r="H30" i="17" s="1"/>
  <c r="H39" i="17" s="1"/>
  <c r="B20" i="17"/>
  <c r="B39" i="17" s="1"/>
  <c r="H19" i="17"/>
  <c r="B19" i="17"/>
  <c r="B29" i="17" s="1"/>
  <c r="H17" i="17"/>
  <c r="T16" i="17"/>
  <c r="T15" i="17"/>
  <c r="T14" i="17"/>
  <c r="T13" i="17"/>
  <c r="T12" i="17"/>
  <c r="T11" i="17"/>
  <c r="T10" i="17"/>
  <c r="T9" i="17"/>
  <c r="T8" i="17"/>
  <c r="T7" i="17"/>
  <c r="T6" i="17"/>
  <c r="F22" i="17"/>
  <c r="F32" i="17" s="1"/>
  <c r="F41" i="17" s="1"/>
  <c r="E21" i="17"/>
  <c r="E31" i="17" s="1"/>
  <c r="E40" i="17" s="1"/>
  <c r="H9" i="13"/>
  <c r="I9" i="13"/>
  <c r="F22" i="16"/>
  <c r="H24" i="17" l="1"/>
  <c r="G19" i="17"/>
  <c r="I19" i="17"/>
  <c r="D21" i="17"/>
  <c r="D31" i="17" s="1"/>
  <c r="D40" i="17" s="1"/>
  <c r="G22" i="17"/>
  <c r="G32" i="17" s="1"/>
  <c r="G41" i="17" s="1"/>
  <c r="E22" i="17"/>
  <c r="E32" i="17" s="1"/>
  <c r="E41" i="17" s="1"/>
  <c r="D17" i="17"/>
  <c r="F19" i="17"/>
  <c r="F29" i="17" s="1"/>
  <c r="I20" i="17"/>
  <c r="I30" i="17" s="1"/>
  <c r="I39" i="17" s="1"/>
  <c r="C19" i="17"/>
  <c r="C21" i="17"/>
  <c r="C31" i="17" s="1"/>
  <c r="C40" i="17" s="1"/>
  <c r="I29" i="17"/>
  <c r="G29" i="17"/>
  <c r="F21" i="17"/>
  <c r="F31" i="17" s="1"/>
  <c r="F40" i="17" s="1"/>
  <c r="H29" i="17"/>
  <c r="G21" i="17"/>
  <c r="G31" i="17" s="1"/>
  <c r="G40" i="17" s="1"/>
  <c r="C23" i="17"/>
  <c r="C33" i="17" s="1"/>
  <c r="C42" i="17" s="1"/>
  <c r="C17" i="17"/>
  <c r="D23" i="17"/>
  <c r="D33" i="17" s="1"/>
  <c r="D42" i="17" s="1"/>
  <c r="B33" i="17"/>
  <c r="I21" i="17"/>
  <c r="I31" i="17" s="1"/>
  <c r="I40" i="17" s="1"/>
  <c r="E23" i="17"/>
  <c r="E33" i="17" s="1"/>
  <c r="E42" i="17" s="1"/>
  <c r="C26" i="17"/>
  <c r="B41" i="17"/>
  <c r="E17" i="17"/>
  <c r="F23" i="17"/>
  <c r="F33" i="17" s="1"/>
  <c r="F42" i="17" s="1"/>
  <c r="D26" i="17"/>
  <c r="F17" i="17"/>
  <c r="C20" i="17"/>
  <c r="C30" i="17" s="1"/>
  <c r="C39" i="17" s="1"/>
  <c r="G23" i="17"/>
  <c r="G33" i="17" s="1"/>
  <c r="G42" i="17" s="1"/>
  <c r="E26" i="17"/>
  <c r="B38" i="17"/>
  <c r="G17" i="17"/>
  <c r="D20" i="17"/>
  <c r="D30" i="17" s="1"/>
  <c r="D39" i="17" s="1"/>
  <c r="F26" i="17"/>
  <c r="B30" i="17"/>
  <c r="G26" i="17"/>
  <c r="I23" i="17"/>
  <c r="I33" i="17" s="1"/>
  <c r="I42" i="17" s="1"/>
  <c r="I17" i="17"/>
  <c r="F20" i="17"/>
  <c r="F30" i="17" s="1"/>
  <c r="F39" i="17" s="1"/>
  <c r="H26" i="17"/>
  <c r="E20" i="17"/>
  <c r="E30" i="17" s="1"/>
  <c r="E39" i="17" s="1"/>
  <c r="G20" i="17"/>
  <c r="G30" i="17" s="1"/>
  <c r="G39" i="17" s="1"/>
  <c r="C22" i="17"/>
  <c r="C32" i="17" s="1"/>
  <c r="C41" i="17" s="1"/>
  <c r="I26" i="17"/>
  <c r="D22" i="17"/>
  <c r="D32" i="17" s="1"/>
  <c r="D41" i="17" s="1"/>
  <c r="D19" i="17"/>
  <c r="E19" i="17"/>
  <c r="I22" i="17"/>
  <c r="I32" i="17" s="1"/>
  <c r="I41" i="17" s="1"/>
  <c r="B40" i="17"/>
  <c r="H34" i="17" l="1"/>
  <c r="H38" i="17"/>
  <c r="J22" i="17"/>
  <c r="J32" i="17" s="1"/>
  <c r="J41" i="17" s="1"/>
  <c r="J20" i="17"/>
  <c r="J30" i="17" s="1"/>
  <c r="J39" i="17" s="1"/>
  <c r="J26" i="17"/>
  <c r="J17" i="17"/>
  <c r="J23" i="17"/>
  <c r="J33" i="17" s="1"/>
  <c r="J42" i="17" s="1"/>
  <c r="J21" i="17"/>
  <c r="J31" i="17" s="1"/>
  <c r="J40" i="17" s="1"/>
  <c r="J19" i="17"/>
  <c r="G24" i="17"/>
  <c r="C29" i="17"/>
  <c r="C38" i="17" s="1"/>
  <c r="C44" i="17" s="1"/>
  <c r="C24" i="17"/>
  <c r="G34" i="17"/>
  <c r="G38" i="17"/>
  <c r="G44" i="17" s="1"/>
  <c r="D29" i="17"/>
  <c r="D24" i="17"/>
  <c r="F24" i="17"/>
  <c r="F34" i="17"/>
  <c r="F38" i="17"/>
  <c r="F44" i="17" s="1"/>
  <c r="I38" i="17"/>
  <c r="I44" i="17" s="1"/>
  <c r="I34" i="17"/>
  <c r="E29" i="17"/>
  <c r="E24" i="17"/>
  <c r="I24" i="17"/>
  <c r="D4" i="1"/>
  <c r="D5" i="1"/>
  <c r="D6" i="1"/>
  <c r="D7" i="1"/>
  <c r="D8" i="1"/>
  <c r="D34" i="17" l="1"/>
  <c r="D38" i="17"/>
  <c r="D44" i="17" s="1"/>
  <c r="C34" i="17"/>
  <c r="J24" i="17"/>
  <c r="J29" i="17"/>
  <c r="H44" i="17"/>
  <c r="E34" i="17"/>
  <c r="E38" i="17"/>
  <c r="E44" i="17" s="1"/>
  <c r="K22" i="17"/>
  <c r="K32" i="17" s="1"/>
  <c r="K41" i="17" s="1"/>
  <c r="K20" i="17"/>
  <c r="K30" i="17" s="1"/>
  <c r="K39" i="17" s="1"/>
  <c r="K26" i="17"/>
  <c r="K17" i="17"/>
  <c r="K23" i="17"/>
  <c r="K33" i="17" s="1"/>
  <c r="K42" i="17" s="1"/>
  <c r="K21" i="17"/>
  <c r="K31" i="17" s="1"/>
  <c r="K40" i="17" s="1"/>
  <c r="K19" i="17"/>
  <c r="D9" i="1"/>
  <c r="E4" i="1" s="1"/>
  <c r="L22" i="17" l="1"/>
  <c r="L32" i="17" s="1"/>
  <c r="L41" i="17" s="1"/>
  <c r="M41" i="17" s="1"/>
  <c r="N41" i="17" s="1"/>
  <c r="O41" i="17" s="1"/>
  <c r="P41" i="17" s="1"/>
  <c r="Q41" i="17" s="1"/>
  <c r="R41" i="17" s="1"/>
  <c r="S41" i="17" s="1"/>
  <c r="T41" i="17" s="1"/>
  <c r="U41" i="17" s="1"/>
  <c r="V41" i="17" s="1"/>
  <c r="L20" i="17"/>
  <c r="L30" i="17" s="1"/>
  <c r="L39" i="17" s="1"/>
  <c r="M39" i="17" s="1"/>
  <c r="N39" i="17" s="1"/>
  <c r="O39" i="17" s="1"/>
  <c r="P39" i="17" s="1"/>
  <c r="Q39" i="17" s="1"/>
  <c r="R39" i="17" s="1"/>
  <c r="S39" i="17" s="1"/>
  <c r="T39" i="17" s="1"/>
  <c r="U39" i="17" s="1"/>
  <c r="V39" i="17" s="1"/>
  <c r="L17" i="17"/>
  <c r="L26" i="17"/>
  <c r="L23" i="17"/>
  <c r="L33" i="17" s="1"/>
  <c r="L42" i="17" s="1"/>
  <c r="M42" i="17" s="1"/>
  <c r="N42" i="17" s="1"/>
  <c r="O42" i="17" s="1"/>
  <c r="P42" i="17" s="1"/>
  <c r="Q42" i="17" s="1"/>
  <c r="R42" i="17" s="1"/>
  <c r="S42" i="17" s="1"/>
  <c r="T42" i="17" s="1"/>
  <c r="U42" i="17" s="1"/>
  <c r="V42" i="17" s="1"/>
  <c r="L21" i="17"/>
  <c r="L31" i="17" s="1"/>
  <c r="L40" i="17" s="1"/>
  <c r="M40" i="17" s="1"/>
  <c r="N40" i="17" s="1"/>
  <c r="O40" i="17" s="1"/>
  <c r="P40" i="17" s="1"/>
  <c r="Q40" i="17" s="1"/>
  <c r="R40" i="17" s="1"/>
  <c r="S40" i="17" s="1"/>
  <c r="T40" i="17" s="1"/>
  <c r="U40" i="17" s="1"/>
  <c r="V40" i="17" s="1"/>
  <c r="L19" i="17"/>
  <c r="K29" i="17"/>
  <c r="K24" i="17"/>
  <c r="J38" i="17"/>
  <c r="J34" i="17"/>
  <c r="X14" i="1"/>
  <c r="Y14" i="1"/>
  <c r="W14" i="1"/>
  <c r="Q14" i="1"/>
  <c r="T14" i="1"/>
  <c r="V14" i="1"/>
  <c r="P14" i="1"/>
  <c r="R14" i="1"/>
  <c r="S14" i="1"/>
  <c r="U14" i="1"/>
  <c r="U15" i="1" l="1"/>
  <c r="Y15" i="1"/>
  <c r="V15" i="1"/>
  <c r="W15" i="1"/>
  <c r="T15" i="1"/>
  <c r="S15" i="1"/>
  <c r="X15" i="1"/>
  <c r="J44" i="17"/>
  <c r="K38" i="17"/>
  <c r="K44" i="17" s="1"/>
  <c r="K34" i="17"/>
  <c r="L29" i="17"/>
  <c r="L24" i="17"/>
  <c r="R15" i="1"/>
  <c r="Q15" i="1"/>
  <c r="L38" i="17" l="1"/>
  <c r="L44" i="17" s="1"/>
  <c r="L34" i="17"/>
  <c r="M38" i="17"/>
  <c r="L65" i="14"/>
  <c r="O5" i="31" s="1"/>
  <c r="L66" i="14"/>
  <c r="O6" i="31" s="1"/>
  <c r="L67" i="14"/>
  <c r="O7" i="31" s="1"/>
  <c r="L68" i="14"/>
  <c r="O8" i="31" s="1"/>
  <c r="L64" i="14"/>
  <c r="O4" i="31" s="1"/>
  <c r="N38" i="17" l="1"/>
  <c r="M44" i="17"/>
  <c r="O38" i="17" l="1"/>
  <c r="N44" i="17"/>
  <c r="P38" i="17" l="1"/>
  <c r="O44" i="17"/>
  <c r="P44" i="17" l="1"/>
  <c r="Q38" i="17"/>
  <c r="Q44" i="17" l="1"/>
  <c r="R38" i="17"/>
  <c r="R44" i="17" l="1"/>
  <c r="S38" i="17"/>
  <c r="D5" i="14"/>
  <c r="D4" i="14"/>
  <c r="S44" i="17" l="1"/>
  <c r="T38" i="17"/>
  <c r="C37" i="11"/>
  <c r="C47" i="11" s="1"/>
  <c r="C36" i="11"/>
  <c r="C46" i="11" s="1"/>
  <c r="C35" i="11"/>
  <c r="C54" i="11" s="1"/>
  <c r="C34" i="11"/>
  <c r="C44" i="11" s="1"/>
  <c r="C33" i="11"/>
  <c r="C52" i="11" s="1"/>
  <c r="U14" i="11"/>
  <c r="U13" i="11"/>
  <c r="U12" i="11"/>
  <c r="I31" i="11"/>
  <c r="U11" i="11"/>
  <c r="U10" i="11"/>
  <c r="U9" i="11"/>
  <c r="U8" i="11"/>
  <c r="U7" i="11"/>
  <c r="U6" i="11"/>
  <c r="C55" i="11" l="1"/>
  <c r="D37" i="11"/>
  <c r="D33" i="11"/>
  <c r="E37" i="11"/>
  <c r="F36" i="11"/>
  <c r="F46" i="11" s="1"/>
  <c r="F55" i="11" s="1"/>
  <c r="I20" i="13" s="1"/>
  <c r="I34" i="11"/>
  <c r="I44" i="11" s="1"/>
  <c r="I53" i="11" s="1"/>
  <c r="L18" i="13" s="1"/>
  <c r="I36" i="11"/>
  <c r="I46" i="11" s="1"/>
  <c r="I55" i="11" s="1"/>
  <c r="L20" i="13" s="1"/>
  <c r="E36" i="11"/>
  <c r="E46" i="11" s="1"/>
  <c r="E55" i="11" s="1"/>
  <c r="H20" i="13" s="1"/>
  <c r="G36" i="11"/>
  <c r="G46" i="11" s="1"/>
  <c r="G55" i="11" s="1"/>
  <c r="J20" i="13" s="1"/>
  <c r="D31" i="11"/>
  <c r="T44" i="17"/>
  <c r="U38" i="17"/>
  <c r="D36" i="11"/>
  <c r="F34" i="11"/>
  <c r="F44" i="11" s="1"/>
  <c r="F53" i="11" s="1"/>
  <c r="I18" i="13" s="1"/>
  <c r="G34" i="11"/>
  <c r="G44" i="11" s="1"/>
  <c r="G53" i="11" s="1"/>
  <c r="J18" i="13" s="1"/>
  <c r="H34" i="11"/>
  <c r="H44" i="11" s="1"/>
  <c r="H53" i="11" s="1"/>
  <c r="K18" i="13" s="1"/>
  <c r="H37" i="11"/>
  <c r="H47" i="11" s="1"/>
  <c r="H56" i="11" s="1"/>
  <c r="K21" i="13" s="1"/>
  <c r="H33" i="11"/>
  <c r="E34" i="11"/>
  <c r="E44" i="11" s="1"/>
  <c r="E53" i="11" s="1"/>
  <c r="H18" i="13" s="1"/>
  <c r="F14" i="1"/>
  <c r="N14" i="1"/>
  <c r="C43" i="11"/>
  <c r="G33" i="11"/>
  <c r="D35" i="11"/>
  <c r="F33" i="11"/>
  <c r="I33" i="11"/>
  <c r="E35" i="11"/>
  <c r="E45" i="11" s="1"/>
  <c r="E54" i="11" s="1"/>
  <c r="H19" i="13" s="1"/>
  <c r="C45" i="11"/>
  <c r="H36" i="11"/>
  <c r="H46" i="11" s="1"/>
  <c r="H55" i="11" s="1"/>
  <c r="K20" i="13" s="1"/>
  <c r="E33" i="11"/>
  <c r="F35" i="11"/>
  <c r="F45" i="11" s="1"/>
  <c r="F54" i="11" s="1"/>
  <c r="I19" i="13" s="1"/>
  <c r="C56" i="11"/>
  <c r="G35" i="11"/>
  <c r="G45" i="11" s="1"/>
  <c r="G54" i="11" s="1"/>
  <c r="J19" i="13" s="1"/>
  <c r="H35" i="11"/>
  <c r="H45" i="11" s="1"/>
  <c r="H54" i="11" s="1"/>
  <c r="K19" i="13" s="1"/>
  <c r="C53" i="11"/>
  <c r="I35" i="11"/>
  <c r="I45" i="11" s="1"/>
  <c r="I54" i="11" s="1"/>
  <c r="L19" i="13" s="1"/>
  <c r="E47" i="11"/>
  <c r="E56" i="11" s="1"/>
  <c r="H21" i="13" s="1"/>
  <c r="E31" i="11"/>
  <c r="F37" i="11"/>
  <c r="F47" i="11" s="1"/>
  <c r="F56" i="11" s="1"/>
  <c r="I21" i="13" s="1"/>
  <c r="F31" i="11"/>
  <c r="G37" i="11"/>
  <c r="G47" i="11" s="1"/>
  <c r="G56" i="11" s="1"/>
  <c r="J21" i="13" s="1"/>
  <c r="G31" i="11"/>
  <c r="D34" i="11"/>
  <c r="H31" i="11"/>
  <c r="I37" i="11"/>
  <c r="I47" i="11" s="1"/>
  <c r="I56" i="11" s="1"/>
  <c r="L21" i="13" s="1"/>
  <c r="E14" i="1"/>
  <c r="E15" i="1" s="1"/>
  <c r="H14" i="1"/>
  <c r="I14" i="1"/>
  <c r="G14" i="1"/>
  <c r="J14" i="1"/>
  <c r="K14" i="1"/>
  <c r="L14" i="1"/>
  <c r="M14" i="1"/>
  <c r="O14" i="1"/>
  <c r="P15" i="1" l="1"/>
  <c r="G15" i="1"/>
  <c r="O15" i="1"/>
  <c r="L17" i="14"/>
  <c r="L24" i="14" s="1"/>
  <c r="D43" i="11"/>
  <c r="D38" i="11"/>
  <c r="D40" i="11" s="1"/>
  <c r="D41" i="11" s="1"/>
  <c r="E38" i="11"/>
  <c r="E40" i="11" s="1"/>
  <c r="H19" i="14"/>
  <c r="H26" i="14" s="1"/>
  <c r="L19" i="14"/>
  <c r="L26" i="14" s="1"/>
  <c r="J19" i="14"/>
  <c r="J26" i="14" s="1"/>
  <c r="I19" i="14"/>
  <c r="I26" i="14" s="1"/>
  <c r="L20" i="14"/>
  <c r="L27" i="14" s="1"/>
  <c r="L18" i="14"/>
  <c r="L25" i="14" s="1"/>
  <c r="D46" i="11"/>
  <c r="D55" i="11" s="1"/>
  <c r="G20" i="13" s="1"/>
  <c r="D44" i="11"/>
  <c r="D53" i="11" s="1"/>
  <c r="G18" i="13" s="1"/>
  <c r="K20" i="14"/>
  <c r="K27" i="14" s="1"/>
  <c r="D45" i="11"/>
  <c r="D54" i="11" s="1"/>
  <c r="G19" i="13" s="1"/>
  <c r="D47" i="11"/>
  <c r="D56" i="11" s="1"/>
  <c r="G21" i="13" s="1"/>
  <c r="U44" i="17"/>
  <c r="V38" i="17"/>
  <c r="J17" i="14"/>
  <c r="J24" i="14" s="1"/>
  <c r="K17" i="14"/>
  <c r="K24" i="14" s="1"/>
  <c r="I17" i="14"/>
  <c r="I24" i="14" s="1"/>
  <c r="J18" i="14"/>
  <c r="J25" i="14" s="1"/>
  <c r="I18" i="14"/>
  <c r="I25" i="14" s="1"/>
  <c r="H20" i="14"/>
  <c r="H27" i="14" s="1"/>
  <c r="H17" i="14"/>
  <c r="H24" i="14" s="1"/>
  <c r="K18" i="14"/>
  <c r="K25" i="14" s="1"/>
  <c r="H18" i="14"/>
  <c r="H25" i="14" s="1"/>
  <c r="I20" i="14"/>
  <c r="I27" i="14" s="1"/>
  <c r="K19" i="14"/>
  <c r="K26" i="14" s="1"/>
  <c r="J20" i="14"/>
  <c r="J27" i="14" s="1"/>
  <c r="K15" i="1"/>
  <c r="J15" i="1"/>
  <c r="H15" i="1"/>
  <c r="I15" i="1"/>
  <c r="F15" i="1"/>
  <c r="L15" i="1"/>
  <c r="N15" i="1"/>
  <c r="M15" i="1"/>
  <c r="H43" i="11"/>
  <c r="H38" i="11"/>
  <c r="H40" i="11" s="1"/>
  <c r="H41" i="11" s="1"/>
  <c r="F43" i="11"/>
  <c r="F38" i="11"/>
  <c r="F40" i="11" s="1"/>
  <c r="F41" i="11" s="1"/>
  <c r="J36" i="11"/>
  <c r="J46" i="11" s="1"/>
  <c r="J55" i="11" s="1"/>
  <c r="M20" i="13" s="1"/>
  <c r="J34" i="11"/>
  <c r="J44" i="11" s="1"/>
  <c r="J53" i="11" s="1"/>
  <c r="M18" i="13" s="1"/>
  <c r="G38" i="11"/>
  <c r="G40" i="11" s="1"/>
  <c r="G41" i="11" s="1"/>
  <c r="G43" i="11"/>
  <c r="I43" i="11"/>
  <c r="I38" i="11"/>
  <c r="I40" i="11" s="1"/>
  <c r="I41" i="11" s="1"/>
  <c r="J31" i="11"/>
  <c r="J33" i="11"/>
  <c r="D52" i="11"/>
  <c r="G16" i="14" s="1"/>
  <c r="G23" i="14" s="1"/>
  <c r="J37" i="11"/>
  <c r="J47" i="11" s="1"/>
  <c r="J56" i="11" s="1"/>
  <c r="M21" i="13" s="1"/>
  <c r="K31" i="11"/>
  <c r="K37" i="11"/>
  <c r="K47" i="11" s="1"/>
  <c r="K56" i="11" s="1"/>
  <c r="N21" i="13" s="1"/>
  <c r="K34" i="11"/>
  <c r="K44" i="11" s="1"/>
  <c r="K53" i="11" s="1"/>
  <c r="N18" i="13" s="1"/>
  <c r="K35" i="11"/>
  <c r="K45" i="11" s="1"/>
  <c r="K54" i="11" s="1"/>
  <c r="N19" i="13" s="1"/>
  <c r="K33" i="11"/>
  <c r="K36" i="11"/>
  <c r="K46" i="11" s="1"/>
  <c r="K55" i="11" s="1"/>
  <c r="N20" i="13" s="1"/>
  <c r="E43" i="11"/>
  <c r="J35" i="11"/>
  <c r="J45" i="11" s="1"/>
  <c r="J54" i="11" s="1"/>
  <c r="M19" i="13" s="1"/>
  <c r="G17" i="13" l="1"/>
  <c r="G19" i="14"/>
  <c r="G26" i="14" s="1"/>
  <c r="E41" i="11"/>
  <c r="G17" i="14"/>
  <c r="G24" i="14" s="1"/>
  <c r="N20" i="14"/>
  <c r="N27" i="14" s="1"/>
  <c r="M20" i="14"/>
  <c r="M27" i="14" s="1"/>
  <c r="M28" i="13"/>
  <c r="M33" i="14" s="1"/>
  <c r="M19" i="14"/>
  <c r="M26" i="14" s="1"/>
  <c r="N19" i="14"/>
  <c r="N26" i="14" s="1"/>
  <c r="M18" i="14"/>
  <c r="M25" i="14" s="1"/>
  <c r="N18" i="14"/>
  <c r="N25" i="14" s="1"/>
  <c r="M17" i="14"/>
  <c r="M24" i="14" s="1"/>
  <c r="N17" i="14"/>
  <c r="N24" i="14" s="1"/>
  <c r="D48" i="11"/>
  <c r="G20" i="14"/>
  <c r="G27" i="14" s="1"/>
  <c r="G18" i="14"/>
  <c r="G25" i="14" s="1"/>
  <c r="V44" i="17"/>
  <c r="L28" i="13"/>
  <c r="L33" i="14" s="1"/>
  <c r="L40" i="14" s="1"/>
  <c r="H26" i="13"/>
  <c r="H31" i="14" s="1"/>
  <c r="H38" i="14" s="1"/>
  <c r="L26" i="13"/>
  <c r="L31" i="14" s="1"/>
  <c r="L38" i="14" s="1"/>
  <c r="G27" i="13"/>
  <c r="G32" i="14" s="1"/>
  <c r="H27" i="13"/>
  <c r="H32" i="14" s="1"/>
  <c r="H39" i="14" s="1"/>
  <c r="J27" i="13"/>
  <c r="J32" i="14" s="1"/>
  <c r="J39" i="14" s="1"/>
  <c r="K27" i="13"/>
  <c r="K32" i="14" s="1"/>
  <c r="K39" i="14" s="1"/>
  <c r="I27" i="13"/>
  <c r="I32" i="14" s="1"/>
  <c r="I39" i="14" s="1"/>
  <c r="G28" i="13"/>
  <c r="G33" i="14" s="1"/>
  <c r="H28" i="13"/>
  <c r="H33" i="14" s="1"/>
  <c r="H40" i="14" s="1"/>
  <c r="K28" i="13"/>
  <c r="K33" i="14" s="1"/>
  <c r="K40" i="14" s="1"/>
  <c r="J28" i="13"/>
  <c r="J33" i="14" s="1"/>
  <c r="J40" i="14" s="1"/>
  <c r="I28" i="13"/>
  <c r="I33" i="14" s="1"/>
  <c r="I40" i="14" s="1"/>
  <c r="L27" i="13"/>
  <c r="L32" i="14" s="1"/>
  <c r="L39" i="14" s="1"/>
  <c r="I26" i="13"/>
  <c r="I31" i="14" s="1"/>
  <c r="I38" i="14" s="1"/>
  <c r="K26" i="13"/>
  <c r="K31" i="14" s="1"/>
  <c r="K38" i="14" s="1"/>
  <c r="J26" i="13"/>
  <c r="J31" i="14" s="1"/>
  <c r="J38" i="14" s="1"/>
  <c r="G26" i="13"/>
  <c r="G31" i="14" s="1"/>
  <c r="K29" i="13"/>
  <c r="K34" i="14" s="1"/>
  <c r="K41" i="14" s="1"/>
  <c r="G29" i="13"/>
  <c r="G34" i="14" s="1"/>
  <c r="N29" i="13"/>
  <c r="N34" i="14" s="1"/>
  <c r="M29" i="13"/>
  <c r="M34" i="14" s="1"/>
  <c r="L29" i="13"/>
  <c r="L34" i="14" s="1"/>
  <c r="I29" i="13"/>
  <c r="H29" i="13"/>
  <c r="J29" i="13"/>
  <c r="D58" i="11"/>
  <c r="I52" i="11"/>
  <c r="L17" i="13" s="1"/>
  <c r="I48" i="11"/>
  <c r="F52" i="11"/>
  <c r="I17" i="13" s="1"/>
  <c r="F48" i="11"/>
  <c r="E52" i="11"/>
  <c r="E48" i="11"/>
  <c r="L37" i="11"/>
  <c r="L47" i="11" s="1"/>
  <c r="L56" i="11" s="1"/>
  <c r="O21" i="13" s="1"/>
  <c r="L35" i="11"/>
  <c r="L45" i="11" s="1"/>
  <c r="L54" i="11" s="1"/>
  <c r="O19" i="13" s="1"/>
  <c r="L33" i="11"/>
  <c r="L36" i="11"/>
  <c r="L46" i="11" s="1"/>
  <c r="L55" i="11" s="1"/>
  <c r="O20" i="13" s="1"/>
  <c r="L34" i="11"/>
  <c r="L44" i="11" s="1"/>
  <c r="L53" i="11" s="1"/>
  <c r="O18" i="13" s="1"/>
  <c r="L31" i="11"/>
  <c r="J43" i="11"/>
  <c r="J38" i="11"/>
  <c r="J40" i="11" s="1"/>
  <c r="J41" i="11" s="1"/>
  <c r="G52" i="11"/>
  <c r="J17" i="13" s="1"/>
  <c r="G48" i="11"/>
  <c r="K43" i="11"/>
  <c r="K38" i="11"/>
  <c r="K40" i="11" s="1"/>
  <c r="K41" i="11" s="1"/>
  <c r="H52" i="11"/>
  <c r="K17" i="13" s="1"/>
  <c r="H48" i="11"/>
  <c r="M35" i="11" l="1"/>
  <c r="M37" i="11"/>
  <c r="M31" i="11"/>
  <c r="G25" i="13"/>
  <c r="G30" i="14" s="1"/>
  <c r="G35" i="14" s="1"/>
  <c r="H17" i="13"/>
  <c r="H25" i="13" s="1"/>
  <c r="G38" i="14"/>
  <c r="G40" i="14"/>
  <c r="N41" i="14"/>
  <c r="G41" i="14"/>
  <c r="N26" i="13"/>
  <c r="N31" i="14" s="1"/>
  <c r="N38" i="14" s="1"/>
  <c r="O20" i="14"/>
  <c r="O27" i="14" s="1"/>
  <c r="M40" i="14"/>
  <c r="O28" i="13"/>
  <c r="O33" i="14" s="1"/>
  <c r="O19" i="14"/>
  <c r="O26" i="14" s="1"/>
  <c r="N28" i="13"/>
  <c r="N33" i="14" s="1"/>
  <c r="N40" i="14" s="1"/>
  <c r="G39" i="14"/>
  <c r="O27" i="13"/>
  <c r="O32" i="14" s="1"/>
  <c r="O18" i="14"/>
  <c r="O25" i="14" s="1"/>
  <c r="N27" i="13"/>
  <c r="N32" i="14" s="1"/>
  <c r="N39" i="14" s="1"/>
  <c r="M27" i="13"/>
  <c r="M32" i="14" s="1"/>
  <c r="M39" i="14" s="1"/>
  <c r="O26" i="13"/>
  <c r="O31" i="14" s="1"/>
  <c r="O17" i="14"/>
  <c r="O24" i="14" s="1"/>
  <c r="M26" i="13"/>
  <c r="M31" i="14" s="1"/>
  <c r="M38" i="14" s="1"/>
  <c r="L16" i="14"/>
  <c r="K16" i="14"/>
  <c r="K21" i="14" s="1"/>
  <c r="E58" i="11"/>
  <c r="H16" i="14"/>
  <c r="H23" i="14" s="1"/>
  <c r="G21" i="14"/>
  <c r="F58" i="11"/>
  <c r="I16" i="14"/>
  <c r="I22" i="13"/>
  <c r="G58" i="11"/>
  <c r="J16" i="14"/>
  <c r="J23" i="14" s="1"/>
  <c r="J22" i="13"/>
  <c r="L41" i="14"/>
  <c r="M41" i="14"/>
  <c r="J34" i="14"/>
  <c r="H34" i="14"/>
  <c r="I34" i="14"/>
  <c r="I41" i="14" s="1"/>
  <c r="H58" i="11"/>
  <c r="G22" i="13"/>
  <c r="M45" i="11"/>
  <c r="M54" i="11" s="1"/>
  <c r="P19" i="13" s="1"/>
  <c r="M47" i="11"/>
  <c r="M56" i="11" s="1"/>
  <c r="P21" i="13" s="1"/>
  <c r="M33" i="11"/>
  <c r="M36" i="11"/>
  <c r="M46" i="11" s="1"/>
  <c r="M55" i="11" s="1"/>
  <c r="P20" i="13" s="1"/>
  <c r="M34" i="11"/>
  <c r="M44" i="11" s="1"/>
  <c r="M53" i="11" s="1"/>
  <c r="P18" i="13" s="1"/>
  <c r="L43" i="11"/>
  <c r="L38" i="11"/>
  <c r="L40" i="11" s="1"/>
  <c r="L41" i="11" s="1"/>
  <c r="J52" i="11"/>
  <c r="M17" i="13" s="1"/>
  <c r="J48" i="11"/>
  <c r="K52" i="11"/>
  <c r="N17" i="13" s="1"/>
  <c r="K48" i="11"/>
  <c r="I58" i="11"/>
  <c r="G37" i="14" l="1"/>
  <c r="G42" i="14" s="1"/>
  <c r="P20" i="14"/>
  <c r="P27" i="14" s="1"/>
  <c r="O38" i="14"/>
  <c r="N56" i="11"/>
  <c r="Q21" i="13" s="1"/>
  <c r="P29" i="13"/>
  <c r="P34" i="14" s="1"/>
  <c r="O29" i="13"/>
  <c r="O34" i="14" s="1"/>
  <c r="O41" i="14" s="1"/>
  <c r="O40" i="14"/>
  <c r="O39" i="14"/>
  <c r="N55" i="11"/>
  <c r="Q20" i="13" s="1"/>
  <c r="P19" i="14"/>
  <c r="P26" i="14" s="1"/>
  <c r="K23" i="14"/>
  <c r="K28" i="14" s="1"/>
  <c r="N53" i="11"/>
  <c r="Q18" i="13" s="1"/>
  <c r="P17" i="14"/>
  <c r="P24" i="14" s="1"/>
  <c r="M38" i="11"/>
  <c r="M40" i="11" s="1"/>
  <c r="M41" i="11" s="1"/>
  <c r="J58" i="11"/>
  <c r="M25" i="13"/>
  <c r="M30" i="14" s="1"/>
  <c r="M16" i="14"/>
  <c r="L21" i="14"/>
  <c r="L23" i="14"/>
  <c r="L28" i="14" s="1"/>
  <c r="K58" i="11"/>
  <c r="N22" i="13"/>
  <c r="N16" i="14"/>
  <c r="L22" i="13"/>
  <c r="N54" i="11"/>
  <c r="Q19" i="13" s="1"/>
  <c r="P18" i="14"/>
  <c r="G28" i="14"/>
  <c r="J21" i="14"/>
  <c r="I21" i="14"/>
  <c r="I23" i="14"/>
  <c r="H22" i="13"/>
  <c r="K25" i="13"/>
  <c r="K30" i="13" s="1"/>
  <c r="J25" i="13"/>
  <c r="J30" i="14" s="1"/>
  <c r="J35" i="14" s="1"/>
  <c r="I25" i="13"/>
  <c r="I30" i="14" s="1"/>
  <c r="I35" i="14" s="1"/>
  <c r="H30" i="14"/>
  <c r="H21" i="14"/>
  <c r="L25" i="13"/>
  <c r="L30" i="14" s="1"/>
  <c r="H41" i="14"/>
  <c r="J41" i="14"/>
  <c r="K22" i="13"/>
  <c r="G30" i="13"/>
  <c r="M43" i="11"/>
  <c r="L52" i="11"/>
  <c r="O17" i="13" s="1"/>
  <c r="L48" i="11"/>
  <c r="N25" i="13" l="1"/>
  <c r="N30" i="14" s="1"/>
  <c r="Q20" i="14"/>
  <c r="Q27" i="14" s="1"/>
  <c r="P41" i="14"/>
  <c r="Q29" i="13"/>
  <c r="Q34" i="14" s="1"/>
  <c r="O56" i="11"/>
  <c r="R21" i="13" s="1"/>
  <c r="H35" i="14"/>
  <c r="H37" i="14"/>
  <c r="P28" i="13"/>
  <c r="P33" i="14" s="1"/>
  <c r="P40" i="14" s="1"/>
  <c r="O55" i="11"/>
  <c r="R20" i="13" s="1"/>
  <c r="Q28" i="13"/>
  <c r="Q33" i="14" s="1"/>
  <c r="Q19" i="14"/>
  <c r="Q26" i="14" s="1"/>
  <c r="P26" i="13"/>
  <c r="P31" i="14" s="1"/>
  <c r="P38" i="14" s="1"/>
  <c r="O53" i="11"/>
  <c r="R18" i="13" s="1"/>
  <c r="Q17" i="14"/>
  <c r="Q24" i="14" s="1"/>
  <c r="N21" i="14"/>
  <c r="N23" i="14"/>
  <c r="N28" i="14" s="1"/>
  <c r="O16" i="14"/>
  <c r="M21" i="14"/>
  <c r="M23" i="14"/>
  <c r="M28" i="14" s="1"/>
  <c r="M22" i="13"/>
  <c r="P25" i="14"/>
  <c r="P27" i="13"/>
  <c r="O54" i="11"/>
  <c r="R19" i="13" s="1"/>
  <c r="Q18" i="14"/>
  <c r="I30" i="13"/>
  <c r="K30" i="14"/>
  <c r="K37" i="14" s="1"/>
  <c r="H28" i="14"/>
  <c r="J30" i="13"/>
  <c r="H30" i="13"/>
  <c r="I37" i="14"/>
  <c r="I42" i="14" s="1"/>
  <c r="I28" i="14"/>
  <c r="J37" i="14"/>
  <c r="J42" i="14" s="1"/>
  <c r="J28" i="14"/>
  <c r="L37" i="14"/>
  <c r="L42" i="14" s="1"/>
  <c r="L35" i="14"/>
  <c r="M35" i="14"/>
  <c r="N35" i="14"/>
  <c r="M30" i="13"/>
  <c r="L30" i="13"/>
  <c r="L58" i="11"/>
  <c r="M52" i="11"/>
  <c r="P17" i="13" s="1"/>
  <c r="M48" i="11"/>
  <c r="N30" i="13" l="1"/>
  <c r="K35" i="14"/>
  <c r="R29" i="13"/>
  <c r="R34" i="14" s="1"/>
  <c r="P56" i="11"/>
  <c r="S21" i="13" s="1"/>
  <c r="R20" i="14"/>
  <c r="R27" i="14" s="1"/>
  <c r="Q41" i="14"/>
  <c r="N37" i="14"/>
  <c r="N42" i="14" s="1"/>
  <c r="M37" i="14"/>
  <c r="M42" i="14" s="1"/>
  <c r="Q40" i="14"/>
  <c r="P55" i="11"/>
  <c r="S20" i="13" s="1"/>
  <c r="R28" i="13"/>
  <c r="R33" i="14" s="1"/>
  <c r="R19" i="14"/>
  <c r="R26" i="14" s="1"/>
  <c r="Q26" i="13"/>
  <c r="Q31" i="14" s="1"/>
  <c r="Q38" i="14" s="1"/>
  <c r="P53" i="11"/>
  <c r="S18" i="13" s="1"/>
  <c r="R26" i="13"/>
  <c r="R31" i="14" s="1"/>
  <c r="R17" i="14"/>
  <c r="R24" i="14" s="1"/>
  <c r="M58" i="11"/>
  <c r="P25" i="13"/>
  <c r="P30" i="14" s="1"/>
  <c r="P16" i="14"/>
  <c r="N52" i="11"/>
  <c r="O21" i="14"/>
  <c r="O23" i="14"/>
  <c r="O28" i="14" s="1"/>
  <c r="O22" i="13"/>
  <c r="O25" i="13"/>
  <c r="P54" i="11"/>
  <c r="S19" i="13" s="1"/>
  <c r="R27" i="13"/>
  <c r="R32" i="14" s="1"/>
  <c r="R18" i="14"/>
  <c r="R25" i="14" s="1"/>
  <c r="Q27" i="13"/>
  <c r="P32" i="14"/>
  <c r="Q25" i="14"/>
  <c r="H42" i="14"/>
  <c r="K42" i="14"/>
  <c r="N58" i="11" l="1"/>
  <c r="Q17" i="13"/>
  <c r="O52" i="11"/>
  <c r="R17" i="13" s="1"/>
  <c r="R41" i="14"/>
  <c r="P30" i="13"/>
  <c r="Q56" i="11"/>
  <c r="T21" i="13" s="1"/>
  <c r="S20" i="14"/>
  <c r="S27" i="14" s="1"/>
  <c r="R40" i="14"/>
  <c r="Q55" i="11"/>
  <c r="T20" i="13" s="1"/>
  <c r="S19" i="14"/>
  <c r="S26" i="14" s="1"/>
  <c r="R38" i="14"/>
  <c r="Q53" i="11"/>
  <c r="T18" i="13" s="1"/>
  <c r="S26" i="13"/>
  <c r="S31" i="14" s="1"/>
  <c r="S17" i="14"/>
  <c r="S24" i="14" s="1"/>
  <c r="P35" i="14"/>
  <c r="O30" i="14"/>
  <c r="O30" i="13"/>
  <c r="Q22" i="13"/>
  <c r="Q16" i="14"/>
  <c r="P23" i="14"/>
  <c r="P21" i="14"/>
  <c r="P22" i="13"/>
  <c r="Q32" i="14"/>
  <c r="P39" i="14"/>
  <c r="R39" i="14"/>
  <c r="Q54" i="11"/>
  <c r="T19" i="13" s="1"/>
  <c r="S18" i="14"/>
  <c r="S25" i="14" s="1"/>
  <c r="P52" i="11"/>
  <c r="S17" i="13" s="1"/>
  <c r="O58" i="11"/>
  <c r="R16" i="14" l="1"/>
  <c r="R21" i="14" s="1"/>
  <c r="R56" i="11"/>
  <c r="U21" i="13" s="1"/>
  <c r="T20" i="14"/>
  <c r="T27" i="14" s="1"/>
  <c r="T29" i="13"/>
  <c r="T34" i="14" s="1"/>
  <c r="S29" i="13"/>
  <c r="S34" i="14" s="1"/>
  <c r="S41" i="14" s="1"/>
  <c r="Q25" i="13"/>
  <c r="Q30" i="14" s="1"/>
  <c r="Q35" i="14" s="1"/>
  <c r="R55" i="11"/>
  <c r="U20" i="13" s="1"/>
  <c r="T19" i="14"/>
  <c r="T26" i="14" s="1"/>
  <c r="S28" i="13"/>
  <c r="S33" i="14" s="1"/>
  <c r="S40" i="14" s="1"/>
  <c r="S38" i="14"/>
  <c r="R53" i="11"/>
  <c r="U18" i="13" s="1"/>
  <c r="T17" i="14"/>
  <c r="T24" i="14" s="1"/>
  <c r="S16" i="14"/>
  <c r="S21" i="14" s="1"/>
  <c r="S25" i="13"/>
  <c r="S30" i="14" s="1"/>
  <c r="P37" i="14"/>
  <c r="P42" i="14" s="1"/>
  <c r="P28" i="14"/>
  <c r="R23" i="14"/>
  <c r="R28" i="14" s="1"/>
  <c r="Q23" i="14"/>
  <c r="Q21" i="14"/>
  <c r="O35" i="14"/>
  <c r="O37" i="14"/>
  <c r="S27" i="13"/>
  <c r="S32" i="14" s="1"/>
  <c r="S39" i="14" s="1"/>
  <c r="R54" i="11"/>
  <c r="U19" i="13" s="1"/>
  <c r="T18" i="14"/>
  <c r="T25" i="14" s="1"/>
  <c r="Q39" i="14"/>
  <c r="R22" i="13"/>
  <c r="R25" i="13"/>
  <c r="R30" i="14" s="1"/>
  <c r="Q52" i="11"/>
  <c r="T17" i="13" s="1"/>
  <c r="P58" i="11"/>
  <c r="Q30" i="13" l="1"/>
  <c r="T41" i="14"/>
  <c r="S56" i="11"/>
  <c r="V21" i="13" s="1"/>
  <c r="U20" i="14"/>
  <c r="U27" i="14" s="1"/>
  <c r="U29" i="13"/>
  <c r="U34" i="14" s="1"/>
  <c r="S55" i="11"/>
  <c r="V20" i="13" s="1"/>
  <c r="U28" i="13"/>
  <c r="U33" i="14" s="1"/>
  <c r="U19" i="14"/>
  <c r="U26" i="14" s="1"/>
  <c r="T28" i="13"/>
  <c r="T33" i="14" s="1"/>
  <c r="T40" i="14" s="1"/>
  <c r="S23" i="14"/>
  <c r="S28" i="14" s="1"/>
  <c r="T26" i="13"/>
  <c r="T31" i="14" s="1"/>
  <c r="T38" i="14" s="1"/>
  <c r="S53" i="11"/>
  <c r="V18" i="13" s="1"/>
  <c r="U17" i="14"/>
  <c r="U24" i="14" s="1"/>
  <c r="T16" i="14"/>
  <c r="T21" i="14" s="1"/>
  <c r="O42" i="14"/>
  <c r="Q37" i="14"/>
  <c r="Q42" i="14" s="1"/>
  <c r="Q28" i="14"/>
  <c r="S54" i="11"/>
  <c r="V19" i="13" s="1"/>
  <c r="U27" i="13"/>
  <c r="U32" i="14" s="1"/>
  <c r="U18" i="14"/>
  <c r="U25" i="14" s="1"/>
  <c r="T27" i="13"/>
  <c r="T32" i="14" s="1"/>
  <c r="T39" i="14" s="1"/>
  <c r="S35" i="14"/>
  <c r="R35" i="14"/>
  <c r="R37" i="14"/>
  <c r="S30" i="13"/>
  <c r="R30" i="13"/>
  <c r="S22" i="13"/>
  <c r="Q58" i="11"/>
  <c r="R52" i="11"/>
  <c r="U17" i="13" s="1"/>
  <c r="U41" i="14" l="1"/>
  <c r="V29" i="13"/>
  <c r="V34" i="14" s="1"/>
  <c r="T56" i="11"/>
  <c r="W21" i="13" s="1"/>
  <c r="V20" i="14"/>
  <c r="V27" i="14" s="1"/>
  <c r="S37" i="14"/>
  <c r="S42" i="14" s="1"/>
  <c r="T23" i="14"/>
  <c r="T28" i="14" s="1"/>
  <c r="U40" i="14"/>
  <c r="T55" i="11"/>
  <c r="W20" i="13" s="1"/>
  <c r="V28" i="13"/>
  <c r="V33" i="14" s="1"/>
  <c r="V19" i="14"/>
  <c r="V26" i="14" s="1"/>
  <c r="U39" i="14"/>
  <c r="U26" i="13"/>
  <c r="U31" i="14" s="1"/>
  <c r="U38" i="14" s="1"/>
  <c r="T53" i="11"/>
  <c r="W18" i="13" s="1"/>
  <c r="V17" i="14"/>
  <c r="V24" i="14" s="1"/>
  <c r="U16" i="14"/>
  <c r="U21" i="14" s="1"/>
  <c r="U25" i="13"/>
  <c r="U30" i="14" s="1"/>
  <c r="T54" i="11"/>
  <c r="W19" i="13" s="1"/>
  <c r="V18" i="14"/>
  <c r="V25" i="14" s="1"/>
  <c r="R42" i="14"/>
  <c r="T22" i="13"/>
  <c r="T25" i="13"/>
  <c r="T30" i="14" s="1"/>
  <c r="S52" i="11"/>
  <c r="V17" i="13" s="1"/>
  <c r="R58" i="11"/>
  <c r="W29" i="13" l="1"/>
  <c r="W34" i="14" s="1"/>
  <c r="U56" i="11"/>
  <c r="X21" i="13" s="1"/>
  <c r="W20" i="14"/>
  <c r="W27" i="14" s="1"/>
  <c r="V41" i="14"/>
  <c r="U23" i="14"/>
  <c r="U28" i="14" s="1"/>
  <c r="U55" i="11"/>
  <c r="X20" i="13" s="1"/>
  <c r="W28" i="13"/>
  <c r="W33" i="14" s="1"/>
  <c r="W19" i="14"/>
  <c r="W26" i="14" s="1"/>
  <c r="V40" i="14"/>
  <c r="U53" i="11"/>
  <c r="X18" i="13" s="1"/>
  <c r="W26" i="13"/>
  <c r="W31" i="14" s="1"/>
  <c r="W17" i="14"/>
  <c r="W24" i="14" s="1"/>
  <c r="V26" i="13"/>
  <c r="V31" i="14" s="1"/>
  <c r="V38" i="14" s="1"/>
  <c r="V16" i="14"/>
  <c r="V21" i="14" s="1"/>
  <c r="V27" i="13"/>
  <c r="V32" i="14" s="1"/>
  <c r="V39" i="14" s="1"/>
  <c r="U54" i="11"/>
  <c r="X19" i="13" s="1"/>
  <c r="W27" i="13"/>
  <c r="W32" i="14" s="1"/>
  <c r="W18" i="14"/>
  <c r="W25" i="14" s="1"/>
  <c r="T35" i="14"/>
  <c r="T37" i="14"/>
  <c r="U35" i="14"/>
  <c r="T30" i="13"/>
  <c r="U30" i="13"/>
  <c r="U22" i="13"/>
  <c r="S58" i="11"/>
  <c r="T52" i="11"/>
  <c r="W17" i="13" s="1"/>
  <c r="U37" i="14" l="1"/>
  <c r="U42" i="14" s="1"/>
  <c r="V56" i="11"/>
  <c r="Y21" i="13" s="1"/>
  <c r="X20" i="14"/>
  <c r="X27" i="14" s="1"/>
  <c r="W41" i="14"/>
  <c r="V23" i="14"/>
  <c r="V28" i="14" s="1"/>
  <c r="W40" i="14"/>
  <c r="V55" i="11"/>
  <c r="Y20" i="13" s="1"/>
  <c r="X19" i="14"/>
  <c r="X26" i="14" s="1"/>
  <c r="W38" i="14"/>
  <c r="V53" i="11"/>
  <c r="Y18" i="13" s="1"/>
  <c r="X17" i="14"/>
  <c r="X24" i="14" s="1"/>
  <c r="W16" i="14"/>
  <c r="W23" i="14" s="1"/>
  <c r="W28" i="14" s="1"/>
  <c r="V54" i="11"/>
  <c r="Y19" i="13" s="1"/>
  <c r="X27" i="13"/>
  <c r="X32" i="14" s="1"/>
  <c r="X18" i="14"/>
  <c r="X25" i="14" s="1"/>
  <c r="W39" i="14"/>
  <c r="T42" i="14"/>
  <c r="V22" i="13"/>
  <c r="V25" i="13"/>
  <c r="V30" i="14" s="1"/>
  <c r="T58" i="11"/>
  <c r="U52" i="11"/>
  <c r="X17" i="13" s="1"/>
  <c r="W21" i="14" l="1"/>
  <c r="W56" i="11"/>
  <c r="Z21" i="13" s="1"/>
  <c r="Y20" i="14"/>
  <c r="Y27" i="14" s="1"/>
  <c r="Y29" i="13"/>
  <c r="Y34" i="14" s="1"/>
  <c r="X29" i="13"/>
  <c r="X34" i="14" s="1"/>
  <c r="X41" i="14" s="1"/>
  <c r="W55" i="11"/>
  <c r="Z20" i="13" s="1"/>
  <c r="Y28" i="13"/>
  <c r="Y33" i="14" s="1"/>
  <c r="Y19" i="14"/>
  <c r="Y26" i="14" s="1"/>
  <c r="X28" i="13"/>
  <c r="X33" i="14" s="1"/>
  <c r="X40" i="14" s="1"/>
  <c r="W53" i="11"/>
  <c r="Z18" i="13" s="1"/>
  <c r="Y26" i="13"/>
  <c r="Y31" i="14" s="1"/>
  <c r="Y17" i="14"/>
  <c r="Y24" i="14" s="1"/>
  <c r="X26" i="13"/>
  <c r="X31" i="14" s="1"/>
  <c r="X38" i="14" s="1"/>
  <c r="X16" i="14"/>
  <c r="X21" i="14" s="1"/>
  <c r="X39" i="14"/>
  <c r="W54" i="11"/>
  <c r="Z19" i="13" s="1"/>
  <c r="Y18" i="14"/>
  <c r="Y25" i="14" s="1"/>
  <c r="V35" i="14"/>
  <c r="V37" i="14"/>
  <c r="V30" i="13"/>
  <c r="W22" i="13"/>
  <c r="W25" i="13"/>
  <c r="W30" i="14" s="1"/>
  <c r="U58" i="11"/>
  <c r="V52" i="11"/>
  <c r="Y17" i="13" s="1"/>
  <c r="Y41" i="14" l="1"/>
  <c r="X23" i="14"/>
  <c r="X28" i="14" s="1"/>
  <c r="Z20" i="14"/>
  <c r="Z27" i="14" s="1"/>
  <c r="Z29" i="13"/>
  <c r="Z34" i="14" s="1"/>
  <c r="Y40" i="14"/>
  <c r="Z28" i="13"/>
  <c r="Z33" i="14" s="1"/>
  <c r="Z19" i="14"/>
  <c r="Z26" i="14" s="1"/>
  <c r="Y38" i="14"/>
  <c r="Z26" i="13"/>
  <c r="Z31" i="14" s="1"/>
  <c r="Z17" i="14"/>
  <c r="Z24" i="14" s="1"/>
  <c r="Y16" i="14"/>
  <c r="Y21" i="14" s="1"/>
  <c r="Z27" i="13"/>
  <c r="Z32" i="14" s="1"/>
  <c r="Z18" i="14"/>
  <c r="Z25" i="14" s="1"/>
  <c r="Y27" i="13"/>
  <c r="Y32" i="14" s="1"/>
  <c r="Y39" i="14" s="1"/>
  <c r="W35" i="14"/>
  <c r="W37" i="14"/>
  <c r="W42" i="14" s="1"/>
  <c r="V42" i="14"/>
  <c r="W30" i="13"/>
  <c r="X22" i="13"/>
  <c r="X25" i="13"/>
  <c r="X30" i="14" s="1"/>
  <c r="V58" i="11"/>
  <c r="W52" i="11"/>
  <c r="Z17" i="13" s="1"/>
  <c r="Z41" i="14" l="1"/>
  <c r="F57" i="14"/>
  <c r="I62" i="14" s="1"/>
  <c r="G8" i="31" s="1"/>
  <c r="Y23" i="14"/>
  <c r="Y28" i="14" s="1"/>
  <c r="Z40" i="14"/>
  <c r="F56" i="14" s="1"/>
  <c r="H62" i="14" s="1"/>
  <c r="G7" i="31" s="1"/>
  <c r="Z38" i="14"/>
  <c r="F54" i="14" s="1"/>
  <c r="F62" i="14" s="1"/>
  <c r="G5" i="31" s="1"/>
  <c r="Z16" i="14"/>
  <c r="Z21" i="14" s="1"/>
  <c r="Z39" i="14"/>
  <c r="F55" i="14" s="1"/>
  <c r="G62" i="14" s="1"/>
  <c r="G6" i="31" s="1"/>
  <c r="X35" i="14"/>
  <c r="X37" i="14"/>
  <c r="X30" i="13"/>
  <c r="Y22" i="13"/>
  <c r="Y25" i="13"/>
  <c r="Y30" i="14" s="1"/>
  <c r="W58" i="11"/>
  <c r="Z23" i="14" l="1"/>
  <c r="Z28" i="14" s="1"/>
  <c r="Y35" i="14"/>
  <c r="Y37" i="14"/>
  <c r="Y42" i="14" s="1"/>
  <c r="X42" i="14"/>
  <c r="Y30" i="13"/>
  <c r="Z22" i="13"/>
  <c r="Z25" i="13"/>
  <c r="Z30" i="14" s="1"/>
  <c r="Z35" i="14" l="1"/>
  <c r="Z37" i="14"/>
  <c r="F53" i="14" s="1"/>
  <c r="Z30" i="13"/>
  <c r="Z42" i="14" l="1"/>
  <c r="E62" i="14"/>
  <c r="G4" i="31" s="1"/>
  <c r="E5" i="1"/>
  <c r="E22" i="1" s="1"/>
  <c r="E6" i="1"/>
  <c r="E23" i="1" s="1"/>
  <c r="E7" i="1"/>
  <c r="E24" i="1" s="1"/>
  <c r="E8" i="1"/>
  <c r="E25" i="1" s="1"/>
  <c r="G9" i="31" l="1"/>
  <c r="J62" i="14"/>
  <c r="E21" i="1"/>
  <c r="E26" i="1" s="1"/>
  <c r="F58" i="14"/>
  <c r="M21" i="1"/>
  <c r="N21" i="1"/>
  <c r="F21" i="1"/>
  <c r="F29" i="1" s="1"/>
  <c r="H21" i="1"/>
  <c r="I21" i="1"/>
  <c r="L21" i="1"/>
  <c r="G21" i="1"/>
  <c r="J21" i="1"/>
  <c r="K21" i="1"/>
  <c r="J25" i="1"/>
  <c r="K25" i="1"/>
  <c r="I25" i="1"/>
  <c r="G25" i="1"/>
  <c r="L25" i="1"/>
  <c r="M25" i="1"/>
  <c r="N25" i="1"/>
  <c r="F25" i="1"/>
  <c r="F33" i="1" s="1"/>
  <c r="H25" i="1"/>
  <c r="F24" i="1"/>
  <c r="G24" i="1"/>
  <c r="K24" i="1"/>
  <c r="H24" i="1"/>
  <c r="M24" i="1"/>
  <c r="I24" i="1"/>
  <c r="J24" i="1"/>
  <c r="L24" i="1"/>
  <c r="N24" i="1"/>
  <c r="M23" i="1"/>
  <c r="H23" i="1"/>
  <c r="J23" i="1"/>
  <c r="K23" i="1"/>
  <c r="N23" i="1"/>
  <c r="F23" i="1"/>
  <c r="G23" i="1"/>
  <c r="L23" i="1"/>
  <c r="I23" i="1"/>
  <c r="F22" i="1"/>
  <c r="G22" i="1"/>
  <c r="H22" i="1"/>
  <c r="I22" i="1"/>
  <c r="L22" i="1"/>
  <c r="M22" i="1"/>
  <c r="J22" i="1"/>
  <c r="K22" i="1"/>
  <c r="N22" i="1"/>
  <c r="G31" i="1" l="1"/>
  <c r="H11" i="14" s="1"/>
  <c r="G32" i="1"/>
  <c r="H12" i="14" s="1"/>
  <c r="K31" i="1"/>
  <c r="L11" i="14" s="1"/>
  <c r="F30" i="1"/>
  <c r="G10" i="14" s="1"/>
  <c r="L33" i="1"/>
  <c r="M13" i="14" s="1"/>
  <c r="N29" i="1"/>
  <c r="O9" i="14" s="1"/>
  <c r="O21" i="1"/>
  <c r="O29" i="1" s="1"/>
  <c r="P9" i="14" s="1"/>
  <c r="O25" i="1"/>
  <c r="O33" i="1" s="1"/>
  <c r="P13" i="14" s="1"/>
  <c r="O24" i="1"/>
  <c r="O23" i="1"/>
  <c r="O31" i="1" s="1"/>
  <c r="P11" i="14" s="1"/>
  <c r="O22" i="1"/>
  <c r="O30" i="1" s="1"/>
  <c r="P10" i="14" s="1"/>
  <c r="I30" i="1"/>
  <c r="J10" i="14" s="1"/>
  <c r="I32" i="1"/>
  <c r="J12" i="14" s="1"/>
  <c r="M32" i="1"/>
  <c r="N12" i="14" s="1"/>
  <c r="H30" i="1"/>
  <c r="I10" i="14" s="1"/>
  <c r="H32" i="1"/>
  <c r="I12" i="14" s="1"/>
  <c r="N33" i="1"/>
  <c r="O13" i="14" s="1"/>
  <c r="J31" i="1"/>
  <c r="K11" i="14" s="1"/>
  <c r="G33" i="1"/>
  <c r="H13" i="14" s="1"/>
  <c r="H31" i="1"/>
  <c r="I11" i="14" s="1"/>
  <c r="M31" i="1"/>
  <c r="N11" i="14" s="1"/>
  <c r="I33" i="1"/>
  <c r="J13" i="14" s="1"/>
  <c r="K30" i="1"/>
  <c r="L10" i="14" s="1"/>
  <c r="K33" i="1"/>
  <c r="L13" i="14" s="1"/>
  <c r="M30" i="1"/>
  <c r="N10" i="14" s="1"/>
  <c r="L32" i="1"/>
  <c r="M12" i="14" s="1"/>
  <c r="G30" i="1"/>
  <c r="H10" i="14" s="1"/>
  <c r="F32" i="1"/>
  <c r="G12" i="14" s="1"/>
  <c r="N31" i="1"/>
  <c r="O11" i="14" s="1"/>
  <c r="M33" i="1"/>
  <c r="N13" i="14" s="1"/>
  <c r="N26" i="1"/>
  <c r="N30" i="1"/>
  <c r="O10" i="14" s="1"/>
  <c r="J30" i="1"/>
  <c r="K10" i="14" s="1"/>
  <c r="N32" i="1"/>
  <c r="O12" i="14" s="1"/>
  <c r="J33" i="1"/>
  <c r="K13" i="14" s="1"/>
  <c r="K26" i="1"/>
  <c r="K29" i="1"/>
  <c r="L9" i="14" s="1"/>
  <c r="L30" i="1"/>
  <c r="M10" i="14" s="1"/>
  <c r="J32" i="1"/>
  <c r="K12" i="14" s="1"/>
  <c r="J26" i="1"/>
  <c r="J29" i="1"/>
  <c r="K9" i="14" s="1"/>
  <c r="G29" i="1"/>
  <c r="H9" i="14" s="1"/>
  <c r="G26" i="1"/>
  <c r="L26" i="1"/>
  <c r="L29" i="1"/>
  <c r="M9" i="14" s="1"/>
  <c r="K32" i="1"/>
  <c r="L12" i="14" s="1"/>
  <c r="I29" i="1"/>
  <c r="J9" i="14" s="1"/>
  <c r="I26" i="1"/>
  <c r="H29" i="1"/>
  <c r="I9" i="14" s="1"/>
  <c r="H26" i="1"/>
  <c r="I31" i="1"/>
  <c r="J11" i="14" s="1"/>
  <c r="F26" i="1"/>
  <c r="L31" i="1"/>
  <c r="M11" i="14" s="1"/>
  <c r="H33" i="1"/>
  <c r="I13" i="14" s="1"/>
  <c r="M29" i="1"/>
  <c r="N9" i="14" s="1"/>
  <c r="M26" i="1"/>
  <c r="F31" i="1"/>
  <c r="G11" i="14" s="1"/>
  <c r="G13" i="14"/>
  <c r="G9" i="14" l="1"/>
  <c r="F34" i="1"/>
  <c r="H14" i="14"/>
  <c r="M14" i="14"/>
  <c r="J14" i="14"/>
  <c r="I14" i="14"/>
  <c r="P24" i="1"/>
  <c r="P32" i="1" s="1"/>
  <c r="Q12" i="14" s="1"/>
  <c r="O14" i="14"/>
  <c r="K14" i="14"/>
  <c r="N14" i="14"/>
  <c r="L14" i="14"/>
  <c r="N34" i="1"/>
  <c r="M34" i="1"/>
  <c r="G34" i="1"/>
  <c r="O26" i="1"/>
  <c r="O32" i="1"/>
  <c r="H34" i="1"/>
  <c r="L34" i="1"/>
  <c r="P21" i="1"/>
  <c r="P25" i="1"/>
  <c r="P33" i="1" s="1"/>
  <c r="Q13" i="14" s="1"/>
  <c r="P23" i="1"/>
  <c r="P31" i="1" s="1"/>
  <c r="Q11" i="14" s="1"/>
  <c r="P22" i="1"/>
  <c r="P30" i="1" s="1"/>
  <c r="Q10" i="14" s="1"/>
  <c r="I34" i="1"/>
  <c r="J34" i="1"/>
  <c r="K34" i="1"/>
  <c r="G14" i="14" l="1"/>
  <c r="O34" i="1"/>
  <c r="P12" i="14"/>
  <c r="Q21" i="1"/>
  <c r="Q24" i="1"/>
  <c r="Q32" i="1" s="1"/>
  <c r="R12" i="14" s="1"/>
  <c r="Q22" i="1"/>
  <c r="Q30" i="1" s="1"/>
  <c r="R10" i="14" s="1"/>
  <c r="Q23" i="1"/>
  <c r="Q31" i="1" s="1"/>
  <c r="R11" i="14" s="1"/>
  <c r="Q25" i="1"/>
  <c r="Q33" i="1" s="1"/>
  <c r="R13" i="14" s="1"/>
  <c r="P26" i="1"/>
  <c r="P29" i="1"/>
  <c r="R24" i="1"/>
  <c r="R21" i="1"/>
  <c r="R22" i="1"/>
  <c r="R25" i="1"/>
  <c r="R32" i="1" l="1"/>
  <c r="S12" i="14" s="1"/>
  <c r="R30" i="1"/>
  <c r="S10" i="14" s="1"/>
  <c r="R33" i="1"/>
  <c r="S13" i="14" s="1"/>
  <c r="P34" i="1"/>
  <c r="Q9" i="14"/>
  <c r="P14" i="14"/>
  <c r="R23" i="1"/>
  <c r="R31" i="1" s="1"/>
  <c r="S11" i="14" s="1"/>
  <c r="Q26" i="1"/>
  <c r="Q29" i="1"/>
  <c r="S24" i="1"/>
  <c r="S32" i="1" s="1"/>
  <c r="T12" i="14" s="1"/>
  <c r="S21" i="1"/>
  <c r="S22" i="1"/>
  <c r="S30" i="1" s="1"/>
  <c r="T10" i="14" s="1"/>
  <c r="S23" i="1"/>
  <c r="S25" i="1"/>
  <c r="S33" i="1" s="1"/>
  <c r="T13" i="14" s="1"/>
  <c r="R29" i="1"/>
  <c r="R26" i="1" l="1"/>
  <c r="S31" i="1"/>
  <c r="T11" i="14" s="1"/>
  <c r="R34" i="1"/>
  <c r="S9" i="14"/>
  <c r="S14" i="14" s="1"/>
  <c r="Q14" i="14"/>
  <c r="Q34" i="1"/>
  <c r="R9" i="14"/>
  <c r="R14" i="14" s="1"/>
  <c r="S29" i="1"/>
  <c r="S26" i="1"/>
  <c r="T21" i="1"/>
  <c r="T24" i="1"/>
  <c r="T32" i="1" s="1"/>
  <c r="U12" i="14" s="1"/>
  <c r="T22" i="1"/>
  <c r="T30" i="1" s="1"/>
  <c r="U10" i="14" s="1"/>
  <c r="T25" i="1"/>
  <c r="T33" i="1" s="1"/>
  <c r="U13" i="14" s="1"/>
  <c r="T23" i="1"/>
  <c r="T31" i="1" s="1"/>
  <c r="U11" i="14" s="1"/>
  <c r="S34" i="1" l="1"/>
  <c r="T9" i="14"/>
  <c r="T26" i="1"/>
  <c r="T29" i="1"/>
  <c r="U23" i="1"/>
  <c r="U31" i="1" s="1"/>
  <c r="V11" i="14" s="1"/>
  <c r="U21" i="1"/>
  <c r="U22" i="1"/>
  <c r="U30" i="1" s="1"/>
  <c r="V10" i="14" s="1"/>
  <c r="U24" i="1"/>
  <c r="U32" i="1" s="1"/>
  <c r="V12" i="14" s="1"/>
  <c r="U25" i="1"/>
  <c r="U33" i="1" s="1"/>
  <c r="V13" i="14" s="1"/>
  <c r="T34" i="1" l="1"/>
  <c r="U9" i="14"/>
  <c r="U14" i="14" s="1"/>
  <c r="T14" i="14"/>
  <c r="U26" i="1"/>
  <c r="U29" i="1"/>
  <c r="V25" i="1"/>
  <c r="V33" i="1" s="1"/>
  <c r="W13" i="14" s="1"/>
  <c r="V23" i="1"/>
  <c r="V31" i="1" s="1"/>
  <c r="W11" i="14" s="1"/>
  <c r="V21" i="1"/>
  <c r="V24" i="1"/>
  <c r="V32" i="1" s="1"/>
  <c r="W12" i="14" s="1"/>
  <c r="V22" i="1"/>
  <c r="V30" i="1" s="1"/>
  <c r="W10" i="14" s="1"/>
  <c r="U34" i="1" l="1"/>
  <c r="V9" i="14"/>
  <c r="V26" i="1"/>
  <c r="V29" i="1"/>
  <c r="W23" i="1"/>
  <c r="W31" i="1" s="1"/>
  <c r="X11" i="14" s="1"/>
  <c r="W21" i="1"/>
  <c r="W22" i="1"/>
  <c r="W30" i="1" s="1"/>
  <c r="X10" i="14" s="1"/>
  <c r="W24" i="1"/>
  <c r="W32" i="1" s="1"/>
  <c r="X12" i="14" s="1"/>
  <c r="W25" i="1"/>
  <c r="W33" i="1" s="1"/>
  <c r="X13" i="14" s="1"/>
  <c r="V34" i="1" l="1"/>
  <c r="W9" i="14"/>
  <c r="W14" i="14" s="1"/>
  <c r="V14" i="14"/>
  <c r="W26" i="1"/>
  <c r="W29" i="1"/>
  <c r="X25" i="1"/>
  <c r="X33" i="1" s="1"/>
  <c r="Y13" i="14" s="1"/>
  <c r="X24" i="1"/>
  <c r="X32" i="1" s="1"/>
  <c r="Y12" i="14" s="1"/>
  <c r="X21" i="1"/>
  <c r="X23" i="1"/>
  <c r="X31" i="1" s="1"/>
  <c r="Y11" i="14" s="1"/>
  <c r="X22" i="1"/>
  <c r="X30" i="1" s="1"/>
  <c r="Y10" i="14" s="1"/>
  <c r="W34" i="1" l="1"/>
  <c r="X9" i="14"/>
  <c r="X14" i="14" s="1"/>
  <c r="Y25" i="1"/>
  <c r="Y33" i="1" s="1"/>
  <c r="Z13" i="14" s="1"/>
  <c r="F50" i="14" s="1"/>
  <c r="Y21" i="1"/>
  <c r="Y22" i="1"/>
  <c r="Y30" i="1" s="1"/>
  <c r="Z10" i="14" s="1"/>
  <c r="F47" i="14" s="1"/>
  <c r="D65" i="14" s="1"/>
  <c r="F5" i="31" s="1"/>
  <c r="Y24" i="1"/>
  <c r="Y32" i="1" s="1"/>
  <c r="Z12" i="14" s="1"/>
  <c r="F49" i="14" s="1"/>
  <c r="D67" i="14" s="1"/>
  <c r="F7" i="31" s="1"/>
  <c r="Y23" i="1"/>
  <c r="Y31" i="1" s="1"/>
  <c r="Z11" i="14" s="1"/>
  <c r="F48" i="14" s="1"/>
  <c r="D66" i="14" s="1"/>
  <c r="F6" i="31" s="1"/>
  <c r="X26" i="1"/>
  <c r="X29" i="1"/>
  <c r="D68" i="14" l="1"/>
  <c r="F8" i="31" s="1"/>
  <c r="X34" i="1"/>
  <c r="Y9" i="14"/>
  <c r="Y26" i="1"/>
  <c r="Y29" i="1"/>
  <c r="Y34" i="1" s="1"/>
  <c r="H67" i="14" l="1"/>
  <c r="K7" i="31" s="1"/>
  <c r="I68" i="14"/>
  <c r="L8" i="31" s="1"/>
  <c r="G66" i="14"/>
  <c r="J6" i="31" s="1"/>
  <c r="F65" i="14"/>
  <c r="I5" i="31" s="1"/>
  <c r="F68" i="14"/>
  <c r="I8" i="31" s="1"/>
  <c r="G68" i="14"/>
  <c r="J8" i="31" s="1"/>
  <c r="H68" i="14"/>
  <c r="K8" i="31" s="1"/>
  <c r="H61" i="14"/>
  <c r="G67" i="14"/>
  <c r="J7" i="31" s="1"/>
  <c r="F61" i="14"/>
  <c r="F66" i="14"/>
  <c r="I6" i="31" s="1"/>
  <c r="I61" i="14"/>
  <c r="I69" i="14"/>
  <c r="G61" i="14"/>
  <c r="F67" i="14"/>
  <c r="I7" i="31" s="1"/>
  <c r="Z9" i="14"/>
  <c r="F46" i="14" s="1"/>
  <c r="Y14" i="14"/>
  <c r="I9" i="31" l="1"/>
  <c r="J9" i="31"/>
  <c r="L9" i="31"/>
  <c r="K9" i="31"/>
  <c r="F69" i="14"/>
  <c r="G69" i="14"/>
  <c r="H69" i="14"/>
  <c r="Z14" i="14"/>
  <c r="D64" i="14"/>
  <c r="F4" i="31" s="1"/>
  <c r="F9" i="31" l="1"/>
  <c r="F51" i="14"/>
  <c r="E67" i="14"/>
  <c r="H7" i="31" s="1"/>
  <c r="E68" i="14"/>
  <c r="H8" i="31" s="1"/>
  <c r="E66" i="14"/>
  <c r="H6" i="31" s="1"/>
  <c r="E65" i="14"/>
  <c r="H5" i="31" s="1"/>
  <c r="D69" i="14"/>
  <c r="E64" i="14"/>
  <c r="H4" i="31" s="1"/>
  <c r="E61" i="14"/>
  <c r="M5" i="31" l="1"/>
  <c r="M8" i="31"/>
  <c r="H9" i="31"/>
  <c r="M4" i="31"/>
  <c r="M6" i="31"/>
  <c r="M7" i="31"/>
  <c r="J64" i="14"/>
  <c r="K64" i="14" s="1"/>
  <c r="N4" i="31" s="1"/>
  <c r="J65" i="14"/>
  <c r="K65" i="14" s="1"/>
  <c r="N5" i="31" s="1"/>
  <c r="J66" i="14"/>
  <c r="K66" i="14" s="1"/>
  <c r="N6" i="31" s="1"/>
  <c r="J68" i="14"/>
  <c r="J67" i="14"/>
  <c r="K67" i="14" s="1"/>
  <c r="N7" i="31" s="1"/>
  <c r="E69" i="14"/>
  <c r="M9" i="31" l="1"/>
  <c r="O66" i="14"/>
  <c r="M67" i="14"/>
  <c r="P7" i="31" s="1"/>
  <c r="J69" i="14"/>
  <c r="O67" i="14"/>
  <c r="K68" i="14"/>
  <c r="M66" i="14"/>
  <c r="P6" i="31" s="1"/>
  <c r="M65" i="14"/>
  <c r="P5" i="31" s="1"/>
  <c r="P4" i="31"/>
  <c r="O65" i="14"/>
  <c r="O64" i="14"/>
  <c r="M68" i="14" l="1"/>
  <c r="P8" i="31" s="1"/>
  <c r="N8" i="31"/>
  <c r="P67" i="14"/>
  <c r="P66" i="14"/>
  <c r="O68" i="14"/>
  <c r="P64" i="14"/>
  <c r="Q64" i="14" s="1"/>
  <c r="P65" i="14"/>
  <c r="P68" i="14" l="1"/>
  <c r="Q65" i="14"/>
  <c r="Q66" i="14" s="1"/>
  <c r="Q67" i="14" s="1"/>
  <c r="Q68" i="14" l="1"/>
</calcChain>
</file>

<file path=xl/sharedStrings.xml><?xml version="1.0" encoding="utf-8"?>
<sst xmlns="http://schemas.openxmlformats.org/spreadsheetml/2006/main" count="405" uniqueCount="139">
  <si>
    <t>WACC</t>
  </si>
  <si>
    <t>Asset Life</t>
  </si>
  <si>
    <t>Load Factor</t>
  </si>
  <si>
    <t>Description</t>
  </si>
  <si>
    <t>pf</t>
  </si>
  <si>
    <t>ST</t>
  </si>
  <si>
    <t>Major Business sub-transmission</t>
  </si>
  <si>
    <t>HV Bus</t>
  </si>
  <si>
    <t>Major Business zone s/stn</t>
  </si>
  <si>
    <t>HV line</t>
  </si>
  <si>
    <t>HB Business</t>
  </si>
  <si>
    <t>LV Bus</t>
  </si>
  <si>
    <t>Large LV Business</t>
  </si>
  <si>
    <t>LV line</t>
  </si>
  <si>
    <t>Sub-Trans</t>
  </si>
  <si>
    <t>Zone S/Stn</t>
  </si>
  <si>
    <t>HV Feeder</t>
  </si>
  <si>
    <t>Dist T/F</t>
  </si>
  <si>
    <t>LV Feeder</t>
  </si>
  <si>
    <t>$/kW/year</t>
  </si>
  <si>
    <t>$/kVA/year</t>
  </si>
  <si>
    <t>HV bus</t>
  </si>
  <si>
    <t>HV net</t>
  </si>
  <si>
    <t>LV bus</t>
  </si>
  <si>
    <t>LV net</t>
  </si>
  <si>
    <t>Life</t>
  </si>
  <si>
    <t>Demand NPV Calculation MW</t>
  </si>
  <si>
    <t>Δ MW Total</t>
  </si>
  <si>
    <t>Value Step Increment</t>
  </si>
  <si>
    <t>Δ MW</t>
  </si>
  <si>
    <t>Alloc.</t>
  </si>
  <si>
    <t>$/kW</t>
  </si>
  <si>
    <t>$/kVA</t>
  </si>
  <si>
    <t>Total</t>
  </si>
  <si>
    <t>Not Cap</t>
  </si>
  <si>
    <t xml:space="preserve">Connection Point Capacity </t>
  </si>
  <si>
    <t>LV &amp; Distribution Transformers (QoS BAU)</t>
  </si>
  <si>
    <t xml:space="preserve">Distribution Feeders </t>
  </si>
  <si>
    <t>Strategic Network Capacity (Other)</t>
  </si>
  <si>
    <t xml:space="preserve">Substation Capacity </t>
  </si>
  <si>
    <t>Subtransmission Network</t>
  </si>
  <si>
    <t>Voltage Regulation</t>
  </si>
  <si>
    <t>Land</t>
  </si>
  <si>
    <t>LV Two Way Network (QoS)</t>
  </si>
  <si>
    <t>Customer Connection net</t>
  </si>
  <si>
    <t>Not Aug</t>
  </si>
  <si>
    <t>Planned</t>
  </si>
  <si>
    <t>Cable Replacement - Planned</t>
  </si>
  <si>
    <t>Conductor Replacement - Planned</t>
  </si>
  <si>
    <t>Transformers - Planned</t>
  </si>
  <si>
    <t>Cable Replacement - Unplanned</t>
  </si>
  <si>
    <t>Transformers - Unplanned</t>
  </si>
  <si>
    <t>Circuit Breakers Planned Replacement</t>
  </si>
  <si>
    <t>Circuit Breakers Planned Refurb</t>
  </si>
  <si>
    <t xml:space="preserve">Substation Transformer Repl. </t>
  </si>
  <si>
    <t>TF Refurb (18665 &amp; 18977)</t>
  </si>
  <si>
    <t>Northfield 66kV GIS Switchboard replacement</t>
  </si>
  <si>
    <t>Hindley St replacement</t>
  </si>
  <si>
    <t>Replacement Augmentation</t>
  </si>
  <si>
    <t>Opex proportions by voltage</t>
  </si>
  <si>
    <t>Voltage</t>
  </si>
  <si>
    <t>Opex profile for new assets</t>
  </si>
  <si>
    <t>Year</t>
  </si>
  <si>
    <t>Lag</t>
  </si>
  <si>
    <t>HV business</t>
  </si>
  <si>
    <t>Variance</t>
  </si>
  <si>
    <t>Annual Demand increment MW by voltage level</t>
  </si>
  <si>
    <t>Central</t>
  </si>
  <si>
    <t>ElectricVehicles</t>
  </si>
  <si>
    <t>Electrification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</si>
  <si>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</si>
  <si>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System Level</t>
  </si>
  <si>
    <t>Δ Cost</t>
  </si>
  <si>
    <t>HV Net</t>
  </si>
  <si>
    <t>Alloc. Cost</t>
  </si>
  <si>
    <t>LV Net</t>
  </si>
  <si>
    <t>Totals</t>
  </si>
  <si>
    <t>Maximum Demand (MW)</t>
  </si>
  <si>
    <t>Maximum Demand MW split by voltage level</t>
  </si>
  <si>
    <t>Inputs</t>
  </si>
  <si>
    <t>Combines Small Business and Residential</t>
  </si>
  <si>
    <t>Major Business Sub Transmission</t>
  </si>
  <si>
    <t>Major Business Zone Substation</t>
  </si>
  <si>
    <t>Total Demand for LRMC Calculation</t>
  </si>
  <si>
    <t>Results</t>
  </si>
  <si>
    <t xml:space="preserve">Demand Forecast </t>
  </si>
  <si>
    <t>ESOO 2022 Maximum Demand</t>
  </si>
  <si>
    <t>Total Incremental Cost NPV $m</t>
  </si>
  <si>
    <t>Replace/Refurbish Total $m</t>
  </si>
  <si>
    <t>Large LV business</t>
  </si>
  <si>
    <t>HV Line</t>
  </si>
  <si>
    <t>LV Line</t>
  </si>
  <si>
    <t>System Maximum Demand</t>
  </si>
  <si>
    <t>Maximum Demand at Transmission Exit Point</t>
  </si>
  <si>
    <t>Residential Business</t>
  </si>
  <si>
    <t xml:space="preserve">Δ Cost Total </t>
  </si>
  <si>
    <t>Average Incremental Cost (AIC) Calculation</t>
  </si>
  <si>
    <t>AIC 20 Years</t>
  </si>
  <si>
    <t>Not Augmentation $m</t>
  </si>
  <si>
    <t>Proportion</t>
  </si>
  <si>
    <t>Incremental MW per annum</t>
  </si>
  <si>
    <t>Total Growth Related Capex June $m 2025 per annum</t>
  </si>
  <si>
    <t>Incremental Capex 
June $m 2025 per annum</t>
  </si>
  <si>
    <t>Incremental Opex 
June $m 2025 per annum</t>
  </si>
  <si>
    <t>Total Incremental Costs 
June $m 2025 per annum</t>
  </si>
  <si>
    <t>Augmentation Capex June $ 2025</t>
  </si>
  <si>
    <t>Replacement Capex June $ 2025</t>
  </si>
  <si>
    <t>Opex June $ 2025</t>
  </si>
  <si>
    <t>Total Augmentation Capex $ '000</t>
  </si>
  <si>
    <t>Not augmentation $ '000</t>
  </si>
  <si>
    <t>Augmentation Capex $ '000</t>
  </si>
  <si>
    <t>Total $ '000</t>
  </si>
  <si>
    <t>Augmentation Capex $</t>
  </si>
  <si>
    <t>Replacement Augmentation Capex $m</t>
  </si>
  <si>
    <t>Replacement Augmentation Capex $ '000</t>
  </si>
  <si>
    <t>Total Growth Related Capex $m</t>
  </si>
  <si>
    <t>Total Incremental Opex $m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</si>
  <si>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</si>
  <si>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</si>
  <si>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</si>
  <si>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</si>
  <si>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</si>
  <si>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</si>
  <si>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</si>
  <si>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</si>
  <si>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</si>
  <si>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</si>
  <si>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</si>
  <si>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</si>
  <si>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2037/38</t>
  </si>
  <si>
    <t>2038/39</t>
  </si>
  <si>
    <t>2039/40</t>
  </si>
  <si>
    <t>2040/41</t>
  </si>
  <si>
    <t>2041/42</t>
  </si>
  <si>
    <t>2042/43</t>
  </si>
  <si>
    <t>2043/44</t>
  </si>
  <si>
    <t>2044/45</t>
  </si>
  <si>
    <t>2024/25</t>
  </si>
  <si>
    <t>Annual Proportion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</si>
</sst>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;[Red]\-&quot;$&quot;#,##0"/>
    <numFmt numFmtId="8" formatCode="&quot;$&quot;#,##0.00;[Red]\-&quot;$&quot;#,##0.0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00"/>
    <numFmt numFmtId="167" formatCode="#,##0.0"/>
    <numFmt numFmtId="168" formatCode="_-&quot;$&quot;* #,##0_-;\-&quot;$&quot;* #,##0_-;_-&quot;$&quot;* &quot;-&quot;??_-;_-@_-"/>
    <numFmt numFmtId="169" formatCode="_-&quot;$&quot;* #,##0.0_-;\-&quot;$&quot;* #,##0.0_-;_-&quot;$&quot;* &quot;-&quot;??_-;_-@_-"/>
    <numFmt numFmtId="170" formatCode="_-* #,##0.0_-;\-* #,##0.0_-;_-* &quot;-&quot;??_-;_-@_-"/>
    <numFmt numFmtId="171" formatCode="&quot;$&quot;#,##0.0"/>
    <numFmt numFmtId="172" formatCode="&quot;$&quot;#,##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1"/>
      <color rgb="FFC00000"/>
      <name val="Calibri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 Narrow"/>
      <family val="2"/>
    </font>
    <font>
      <i/>
      <sz val="11"/>
      <color theme="1"/>
      <name val="Calibri"/>
      <family val="2"/>
    </font>
    <font>
      <sz val="10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7EAF0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4472C4"/>
      </bottom>
      <diagonal/>
    </border>
  </borders>
  <cellStyleXfs count="10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4" fillId="0" borderId="0"/>
    <xf numFmtId="44" fontId="8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323">
    <xf numFmtId="0" fontId="0" fillId="0" borderId="0" xfId="0"/>
    <xf numFmtId="0" fontId="11" fillId="2" borderId="0" xfId="0" applyFont="1" applyFill="1" applyAlignment="1">
      <alignment horizontal="center"/>
    </xf>
    <xf numFmtId="0" fontId="0" fillId="4" borderId="0" xfId="0" applyFill="1"/>
    <xf numFmtId="0" fontId="12" fillId="4" borderId="0" xfId="0" applyFont="1" applyFill="1"/>
    <xf numFmtId="0" fontId="12" fillId="4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64" fontId="0" fillId="4" borderId="0" xfId="1" applyNumberFormat="1" applyFont="1" applyFill="1" applyBorder="1"/>
    <xf numFmtId="10" fontId="0" fillId="4" borderId="0" xfId="2" applyNumberFormat="1" applyFont="1" applyFill="1" applyBorder="1" applyAlignment="1">
      <alignment horizontal="center"/>
    </xf>
    <xf numFmtId="43" fontId="0" fillId="4" borderId="0" xfId="0" applyNumberFormat="1" applyFill="1"/>
    <xf numFmtId="0" fontId="6" fillId="0" borderId="0" xfId="5"/>
    <xf numFmtId="0" fontId="9" fillId="0" borderId="0" xfId="5" applyFont="1"/>
    <xf numFmtId="0" fontId="9" fillId="0" borderId="0" xfId="5" applyFont="1" applyAlignment="1">
      <alignment horizontal="center"/>
    </xf>
    <xf numFmtId="10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16" fillId="4" borderId="0" xfId="0" applyFont="1" applyFill="1" applyAlignment="1">
      <alignment horizontal="center"/>
    </xf>
    <xf numFmtId="0" fontId="6" fillId="4" borderId="0" xfId="5" applyFill="1"/>
    <xf numFmtId="0" fontId="21" fillId="4" borderId="7" xfId="5" applyFont="1" applyFill="1" applyBorder="1" applyAlignment="1" applyProtection="1">
      <alignment horizontal="left" vertical="center"/>
      <protection locked="0"/>
    </xf>
    <xf numFmtId="0" fontId="6" fillId="4" borderId="2" xfId="5" applyFill="1" applyBorder="1"/>
    <xf numFmtId="0" fontId="6" fillId="4" borderId="14" xfId="5" applyFill="1" applyBorder="1"/>
    <xf numFmtId="9" fontId="6" fillId="4" borderId="0" xfId="5" applyNumberFormat="1" applyFill="1"/>
    <xf numFmtId="9" fontId="6" fillId="4" borderId="14" xfId="5" applyNumberFormat="1" applyFill="1" applyBorder="1"/>
    <xf numFmtId="0" fontId="6" fillId="4" borderId="9" xfId="5" applyFill="1" applyBorder="1"/>
    <xf numFmtId="0" fontId="6" fillId="4" borderId="10" xfId="5" applyFill="1" applyBorder="1"/>
    <xf numFmtId="0" fontId="6" fillId="4" borderId="11" xfId="5" applyFill="1" applyBorder="1"/>
    <xf numFmtId="3" fontId="6" fillId="4" borderId="0" xfId="5" applyNumberFormat="1" applyFill="1"/>
    <xf numFmtId="6" fontId="6" fillId="4" borderId="0" xfId="5" applyNumberFormat="1" applyFill="1"/>
    <xf numFmtId="0" fontId="21" fillId="4" borderId="0" xfId="5" applyFont="1" applyFill="1" applyAlignment="1" applyProtection="1">
      <alignment horizontal="center" vertical="center"/>
      <protection locked="0"/>
    </xf>
    <xf numFmtId="6" fontId="21" fillId="4" borderId="0" xfId="5" applyNumberFormat="1" applyFont="1" applyFill="1" applyAlignment="1" applyProtection="1">
      <alignment horizontal="center" vertical="center"/>
      <protection locked="0"/>
    </xf>
    <xf numFmtId="0" fontId="15" fillId="2" borderId="5" xfId="5" applyFont="1" applyFill="1" applyBorder="1" applyAlignment="1">
      <alignment horizontal="center"/>
    </xf>
    <xf numFmtId="0" fontId="15" fillId="2" borderId="6" xfId="5" applyFont="1" applyFill="1" applyBorder="1" applyAlignment="1">
      <alignment horizontal="center"/>
    </xf>
    <xf numFmtId="0" fontId="15" fillId="2" borderId="8" xfId="5" applyFont="1" applyFill="1" applyBorder="1" applyAlignment="1">
      <alignment horizontal="center"/>
    </xf>
    <xf numFmtId="0" fontId="22" fillId="4" borderId="0" xfId="0" applyFont="1" applyFill="1"/>
    <xf numFmtId="43" fontId="0" fillId="0" borderId="0" xfId="0" applyNumberFormat="1"/>
    <xf numFmtId="43" fontId="0" fillId="5" borderId="0" xfId="0" applyNumberFormat="1" applyFill="1"/>
    <xf numFmtId="8" fontId="0" fillId="0" borderId="0" xfId="0" applyNumberFormat="1"/>
    <xf numFmtId="165" fontId="0" fillId="0" borderId="0" xfId="0" applyNumberFormat="1"/>
    <xf numFmtId="0" fontId="12" fillId="0" borderId="0" xfId="0" applyFont="1"/>
    <xf numFmtId="0" fontId="12" fillId="0" borderId="0" xfId="0" applyFont="1" applyAlignment="1">
      <alignment horizontal="center"/>
    </xf>
    <xf numFmtId="165" fontId="0" fillId="5" borderId="3" xfId="0" applyNumberFormat="1" applyFill="1" applyBorder="1"/>
    <xf numFmtId="0" fontId="11" fillId="0" borderId="0" xfId="0" applyFont="1"/>
    <xf numFmtId="0" fontId="0" fillId="0" borderId="0" xfId="0" applyAlignment="1">
      <alignment wrapText="1"/>
    </xf>
    <xf numFmtId="0" fontId="22" fillId="4" borderId="0" xfId="0" applyFont="1" applyFill="1" applyAlignment="1">
      <alignment wrapText="1"/>
    </xf>
    <xf numFmtId="0" fontId="13" fillId="0" borderId="0" xfId="0" applyFont="1"/>
    <xf numFmtId="0" fontId="23" fillId="0" borderId="0" xfId="0" applyFont="1"/>
    <xf numFmtId="164" fontId="0" fillId="5" borderId="0" xfId="1" applyNumberFormat="1" applyFont="1" applyFill="1"/>
    <xf numFmtId="9" fontId="0" fillId="0" borderId="0" xfId="2" applyFont="1"/>
    <xf numFmtId="9" fontId="0" fillId="0" borderId="0" xfId="2" applyFont="1" applyFill="1"/>
    <xf numFmtId="9" fontId="6" fillId="7" borderId="2" xfId="5" applyNumberFormat="1" applyFill="1" applyBorder="1"/>
    <xf numFmtId="9" fontId="6" fillId="7" borderId="0" xfId="5" applyNumberFormat="1" applyFill="1"/>
    <xf numFmtId="9" fontId="0" fillId="7" borderId="14" xfId="7" applyFont="1" applyFill="1" applyBorder="1"/>
    <xf numFmtId="0" fontId="6" fillId="7" borderId="2" xfId="5" applyFill="1" applyBorder="1"/>
    <xf numFmtId="0" fontId="6" fillId="7" borderId="0" xfId="5" applyFill="1"/>
    <xf numFmtId="41" fontId="27" fillId="4" borderId="15" xfId="5" applyNumberFormat="1" applyFont="1" applyFill="1" applyBorder="1" applyAlignment="1" applyProtection="1">
      <alignment vertical="center"/>
      <protection locked="0"/>
    </xf>
    <xf numFmtId="41" fontId="27" fillId="4" borderId="15" xfId="5" applyNumberFormat="1" applyFont="1" applyFill="1" applyBorder="1" applyAlignment="1">
      <alignment vertical="center"/>
    </xf>
    <xf numFmtId="170" fontId="0" fillId="4" borderId="0" xfId="1" applyNumberFormat="1" applyFont="1" applyFill="1" applyBorder="1"/>
    <xf numFmtId="0" fontId="4" fillId="4" borderId="0" xfId="5" applyFont="1" applyFill="1"/>
    <xf numFmtId="0" fontId="4" fillId="4" borderId="0" xfId="5" applyFont="1" applyFill="1" applyAlignment="1">
      <alignment horizontal="center"/>
    </xf>
    <xf numFmtId="0" fontId="3" fillId="4" borderId="0" xfId="5" applyFont="1" applyFill="1"/>
    <xf numFmtId="6" fontId="0" fillId="0" borderId="0" xfId="0" applyNumberFormat="1"/>
    <xf numFmtId="0" fontId="28" fillId="0" borderId="16" xfId="0" applyFont="1" applyBorder="1" applyAlignment="1">
      <alignment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30" fillId="8" borderId="0" xfId="0" applyFont="1" applyFill="1" applyAlignment="1">
      <alignment vertical="center" wrapText="1"/>
    </xf>
    <xf numFmtId="9" fontId="31" fillId="8" borderId="3" xfId="2" applyFont="1" applyFill="1" applyBorder="1" applyAlignment="1">
      <alignment horizontal="right" vertical="center" wrapText="1"/>
    </xf>
    <xf numFmtId="2" fontId="29" fillId="0" borderId="0" xfId="0" applyNumberFormat="1" applyFont="1" applyAlignment="1">
      <alignment horizontal="right" vertical="center" wrapText="1"/>
    </xf>
    <xf numFmtId="165" fontId="29" fillId="0" borderId="0" xfId="0" applyNumberFormat="1" applyFont="1" applyAlignment="1">
      <alignment horizontal="right" vertical="center" wrapText="1"/>
    </xf>
    <xf numFmtId="2" fontId="31" fillId="8" borderId="0" xfId="2" applyNumberFormat="1" applyFont="1" applyFill="1" applyAlignment="1">
      <alignment horizontal="right" vertical="center" wrapText="1"/>
    </xf>
    <xf numFmtId="2" fontId="31" fillId="0" borderId="0" xfId="2" applyNumberFormat="1" applyFont="1" applyAlignment="1">
      <alignment horizontal="right" vertical="center" wrapText="1"/>
    </xf>
    <xf numFmtId="165" fontId="31" fillId="8" borderId="0" xfId="2" applyNumberFormat="1" applyFont="1" applyFill="1" applyAlignment="1">
      <alignment horizontal="right" vertical="center" wrapText="1"/>
    </xf>
    <xf numFmtId="165" fontId="29" fillId="0" borderId="0" xfId="2" applyNumberFormat="1" applyFont="1" applyAlignment="1">
      <alignment horizontal="right" vertical="center" wrapText="1"/>
    </xf>
    <xf numFmtId="165" fontId="31" fillId="0" borderId="0" xfId="2" applyNumberFormat="1" applyFont="1" applyAlignment="1">
      <alignment horizontal="right" vertical="center" wrapText="1"/>
    </xf>
    <xf numFmtId="165" fontId="31" fillId="8" borderId="3" xfId="2" applyNumberFormat="1" applyFont="1" applyFill="1" applyBorder="1" applyAlignment="1">
      <alignment horizontal="right" vertical="center" wrapText="1"/>
    </xf>
    <xf numFmtId="172" fontId="29" fillId="0" borderId="0" xfId="4" applyNumberFormat="1" applyFont="1" applyAlignment="1">
      <alignment horizontal="center" vertical="center" wrapText="1"/>
    </xf>
    <xf numFmtId="171" fontId="29" fillId="0" borderId="0" xfId="0" applyNumberFormat="1" applyFont="1" applyAlignment="1">
      <alignment horizontal="center" vertical="center" wrapText="1"/>
    </xf>
    <xf numFmtId="172" fontId="31" fillId="8" borderId="0" xfId="4" applyNumberFormat="1" applyFont="1" applyFill="1" applyAlignment="1">
      <alignment horizontal="center" vertical="center" wrapText="1"/>
    </xf>
    <xf numFmtId="171" fontId="31" fillId="8" borderId="0" xfId="2" applyNumberFormat="1" applyFont="1" applyFill="1" applyAlignment="1">
      <alignment horizontal="center" vertical="center" wrapText="1"/>
    </xf>
    <xf numFmtId="172" fontId="31" fillId="0" borderId="0" xfId="4" applyNumberFormat="1" applyFont="1" applyAlignment="1">
      <alignment horizontal="center" vertical="center" wrapText="1"/>
    </xf>
    <xf numFmtId="171" fontId="31" fillId="0" borderId="0" xfId="2" applyNumberFormat="1" applyFont="1" applyAlignment="1">
      <alignment horizontal="center" vertical="center" wrapText="1"/>
    </xf>
    <xf numFmtId="0" fontId="32" fillId="0" borderId="0" xfId="0" applyFont="1"/>
    <xf numFmtId="165" fontId="33" fillId="0" borderId="0" xfId="0" applyNumberFormat="1" applyFont="1"/>
    <xf numFmtId="172" fontId="33" fillId="0" borderId="0" xfId="4" applyNumberFormat="1" applyFont="1" applyAlignment="1">
      <alignment horizontal="center"/>
    </xf>
    <xf numFmtId="2" fontId="33" fillId="0" borderId="0" xfId="0" applyNumberFormat="1" applyFont="1"/>
    <xf numFmtId="171" fontId="33" fillId="0" borderId="0" xfId="0" applyNumberFormat="1" applyFont="1" applyAlignment="1">
      <alignment horizontal="center"/>
    </xf>
    <xf numFmtId="0" fontId="30" fillId="8" borderId="3" xfId="0" applyFont="1" applyFill="1" applyBorder="1" applyAlignment="1">
      <alignment vertical="center" wrapText="1"/>
    </xf>
    <xf numFmtId="166" fontId="0" fillId="0" borderId="0" xfId="0" applyNumberFormat="1" applyAlignment="1">
      <alignment horizontal="center"/>
    </xf>
    <xf numFmtId="0" fontId="21" fillId="4" borderId="0" xfId="5" applyFont="1" applyFill="1" applyAlignment="1" applyProtection="1">
      <alignment horizontal="left" vertical="center"/>
      <protection locked="0"/>
    </xf>
    <xf numFmtId="0" fontId="20" fillId="4" borderId="0" xfId="5" applyFont="1" applyFill="1" applyAlignment="1" applyProtection="1">
      <alignment horizontal="left" vertical="center"/>
      <protection locked="0"/>
    </xf>
    <xf numFmtId="0" fontId="20" fillId="4" borderId="0" xfId="5" applyFont="1" applyFill="1" applyAlignment="1" applyProtection="1">
      <alignment horizontal="right" vertical="center"/>
      <protection locked="0"/>
    </xf>
    <xf numFmtId="0" fontId="21" fillId="4" borderId="0" xfId="5" applyFont="1" applyFill="1" applyAlignment="1" applyProtection="1">
      <alignment horizontal="right" vertical="center"/>
      <protection locked="0"/>
    </xf>
    <xf numFmtId="41" fontId="27" fillId="4" borderId="0" xfId="5" applyNumberFormat="1" applyFont="1" applyFill="1" applyAlignment="1" applyProtection="1">
      <alignment vertical="center"/>
      <protection locked="0"/>
    </xf>
    <xf numFmtId="41" fontId="27" fillId="4" borderId="14" xfId="5" applyNumberFormat="1" applyFont="1" applyFill="1" applyBorder="1" applyAlignment="1" applyProtection="1">
      <alignment vertical="center"/>
      <protection locked="0"/>
    </xf>
    <xf numFmtId="3" fontId="16" fillId="4" borderId="0" xfId="5" applyNumberFormat="1" applyFont="1" applyFill="1" applyAlignment="1">
      <alignment vertical="center"/>
    </xf>
    <xf numFmtId="3" fontId="16" fillId="4" borderId="14" xfId="5" applyNumberFormat="1" applyFont="1" applyFill="1" applyBorder="1" applyAlignment="1">
      <alignment vertical="center"/>
    </xf>
    <xf numFmtId="41" fontId="27" fillId="4" borderId="14" xfId="5" applyNumberFormat="1" applyFont="1" applyFill="1" applyBorder="1" applyAlignment="1">
      <alignment vertical="center"/>
    </xf>
    <xf numFmtId="0" fontId="16" fillId="4" borderId="2" xfId="5" applyFont="1" applyFill="1" applyBorder="1" applyAlignment="1" applyProtection="1">
      <alignment horizontal="left" vertical="center" wrapText="1"/>
      <protection locked="0"/>
    </xf>
    <xf numFmtId="0" fontId="21" fillId="4" borderId="3" xfId="5" applyFont="1" applyFill="1" applyBorder="1" applyAlignment="1" applyProtection="1">
      <alignment horizontal="left" vertical="center"/>
      <protection locked="0"/>
    </xf>
    <xf numFmtId="0" fontId="5" fillId="4" borderId="0" xfId="8" applyFill="1"/>
    <xf numFmtId="0" fontId="5" fillId="4" borderId="10" xfId="8" applyFill="1" applyBorder="1"/>
    <xf numFmtId="0" fontId="5" fillId="4" borderId="2" xfId="8" applyFill="1" applyBorder="1"/>
    <xf numFmtId="0" fontId="5" fillId="4" borderId="14" xfId="8" applyFill="1" applyBorder="1"/>
    <xf numFmtId="3" fontId="5" fillId="4" borderId="0" xfId="8" applyNumberFormat="1" applyFill="1"/>
    <xf numFmtId="41" fontId="5" fillId="4" borderId="0" xfId="8" applyNumberFormat="1" applyFill="1"/>
    <xf numFmtId="0" fontId="5" fillId="4" borderId="9" xfId="8" applyFill="1" applyBorder="1"/>
    <xf numFmtId="0" fontId="5" fillId="4" borderId="11" xfId="8" applyFill="1" applyBorder="1"/>
    <xf numFmtId="165" fontId="5" fillId="4" borderId="0" xfId="8" applyNumberFormat="1" applyFill="1"/>
    <xf numFmtId="0" fontId="5" fillId="4" borderId="1" xfId="8" applyFill="1" applyBorder="1"/>
    <xf numFmtId="0" fontId="25" fillId="4" borderId="1" xfId="8" applyFont="1" applyFill="1" applyBorder="1"/>
    <xf numFmtId="0" fontId="25" fillId="4" borderId="3" xfId="8" applyFont="1" applyFill="1" applyBorder="1"/>
    <xf numFmtId="0" fontId="25" fillId="4" borderId="7" xfId="8" applyFont="1" applyFill="1" applyBorder="1"/>
    <xf numFmtId="0" fontId="12" fillId="4" borderId="2" xfId="8" applyFont="1" applyFill="1" applyBorder="1" applyAlignment="1">
      <alignment wrapText="1"/>
    </xf>
    <xf numFmtId="165" fontId="16" fillId="4" borderId="0" xfId="8" applyNumberFormat="1" applyFont="1" applyFill="1" applyAlignment="1">
      <alignment vertical="center"/>
    </xf>
    <xf numFmtId="165" fontId="16" fillId="4" borderId="14" xfId="8" applyNumberFormat="1" applyFont="1" applyFill="1" applyBorder="1" applyAlignment="1">
      <alignment vertical="center"/>
    </xf>
    <xf numFmtId="0" fontId="8" fillId="4" borderId="2" xfId="8" applyFont="1" applyFill="1" applyBorder="1"/>
    <xf numFmtId="0" fontId="12" fillId="4" borderId="9" xfId="8" applyFont="1" applyFill="1" applyBorder="1" applyAlignment="1">
      <alignment wrapText="1"/>
    </xf>
    <xf numFmtId="0" fontId="8" fillId="4" borderId="0" xfId="5" applyFont="1" applyFill="1"/>
    <xf numFmtId="0" fontId="8" fillId="4" borderId="1" xfId="5" applyFont="1" applyFill="1" applyBorder="1"/>
    <xf numFmtId="0" fontId="8" fillId="4" borderId="2" xfId="5" applyFont="1" applyFill="1" applyBorder="1"/>
    <xf numFmtId="0" fontId="12" fillId="4" borderId="9" xfId="5" applyFont="1" applyFill="1" applyBorder="1"/>
    <xf numFmtId="6" fontId="8" fillId="4" borderId="0" xfId="5" applyNumberFormat="1" applyFont="1" applyFill="1"/>
    <xf numFmtId="0" fontId="18" fillId="4" borderId="0" xfId="5" applyFont="1" applyFill="1" applyAlignment="1" applyProtection="1">
      <alignment horizontal="left" vertical="center"/>
      <protection locked="0"/>
    </xf>
    <xf numFmtId="6" fontId="18" fillId="4" borderId="1" xfId="5" applyNumberFormat="1" applyFont="1" applyFill="1" applyBorder="1" applyAlignment="1" applyProtection="1">
      <alignment horizontal="left" vertical="center"/>
      <protection locked="0"/>
    </xf>
    <xf numFmtId="0" fontId="18" fillId="4" borderId="2" xfId="5" applyFont="1" applyFill="1" applyBorder="1" applyAlignment="1" applyProtection="1">
      <alignment horizontal="left" vertical="center"/>
      <protection locked="0"/>
    </xf>
    <xf numFmtId="0" fontId="5" fillId="7" borderId="2" xfId="8" applyFill="1" applyBorder="1"/>
    <xf numFmtId="0" fontId="5" fillId="7" borderId="0" xfId="8" applyFill="1"/>
    <xf numFmtId="9" fontId="5" fillId="7" borderId="0" xfId="8" applyNumberFormat="1" applyFill="1"/>
    <xf numFmtId="9" fontId="0" fillId="7" borderId="14" xfId="9" applyFont="1" applyFill="1" applyBorder="1"/>
    <xf numFmtId="3" fontId="5" fillId="7" borderId="2" xfId="8" applyNumberFormat="1" applyFill="1" applyBorder="1"/>
    <xf numFmtId="0" fontId="11" fillId="2" borderId="3" xfId="0" applyFont="1" applyFill="1" applyBorder="1" applyAlignment="1">
      <alignment horizontal="center"/>
    </xf>
    <xf numFmtId="9" fontId="0" fillId="7" borderId="0" xfId="2" applyFont="1" applyFill="1" applyAlignment="1">
      <alignment horizontal="center"/>
    </xf>
    <xf numFmtId="10" fontId="0" fillId="7" borderId="0" xfId="0" applyNumberFormat="1" applyFill="1" applyAlignment="1">
      <alignment horizontal="center"/>
    </xf>
    <xf numFmtId="1" fontId="0" fillId="7" borderId="0" xfId="0" applyNumberFormat="1" applyFill="1" applyAlignment="1">
      <alignment horizontal="center"/>
    </xf>
    <xf numFmtId="166" fontId="0" fillId="7" borderId="0" xfId="0" applyNumberFormat="1" applyFill="1" applyAlignment="1">
      <alignment horizontal="center"/>
    </xf>
    <xf numFmtId="164" fontId="0" fillId="7" borderId="0" xfId="1" applyNumberFormat="1" applyFont="1" applyFill="1"/>
    <xf numFmtId="0" fontId="17" fillId="4" borderId="1" xfId="0" applyFont="1" applyFill="1" applyBorder="1"/>
    <xf numFmtId="0" fontId="0" fillId="4" borderId="3" xfId="0" applyFill="1" applyBorder="1"/>
    <xf numFmtId="0" fontId="0" fillId="4" borderId="2" xfId="0" applyFill="1" applyBorder="1"/>
    <xf numFmtId="164" fontId="0" fillId="4" borderId="14" xfId="1" applyNumberFormat="1" applyFont="1" applyFill="1" applyBorder="1"/>
    <xf numFmtId="0" fontId="16" fillId="4" borderId="2" xfId="0" applyFont="1" applyFill="1" applyBorder="1"/>
    <xf numFmtId="0" fontId="12" fillId="4" borderId="2" xfId="0" applyFont="1" applyFill="1" applyBorder="1"/>
    <xf numFmtId="10" fontId="0" fillId="4" borderId="14" xfId="2" applyNumberFormat="1" applyFont="1" applyFill="1" applyBorder="1" applyAlignment="1">
      <alignment horizontal="center"/>
    </xf>
    <xf numFmtId="0" fontId="0" fillId="4" borderId="9" xfId="0" applyFill="1" applyBorder="1"/>
    <xf numFmtId="10" fontId="0" fillId="4" borderId="10" xfId="0" applyNumberFormat="1" applyFill="1" applyBorder="1" applyAlignment="1">
      <alignment horizontal="center"/>
    </xf>
    <xf numFmtId="0" fontId="0" fillId="4" borderId="10" xfId="0" applyFill="1" applyBorder="1"/>
    <xf numFmtId="164" fontId="0" fillId="4" borderId="10" xfId="0" applyNumberFormat="1" applyFill="1" applyBorder="1"/>
    <xf numFmtId="0" fontId="0" fillId="4" borderId="11" xfId="0" applyFill="1" applyBorder="1"/>
    <xf numFmtId="0" fontId="18" fillId="4" borderId="1" xfId="0" applyFont="1" applyFill="1" applyBorder="1" applyAlignment="1">
      <alignment wrapText="1"/>
    </xf>
    <xf numFmtId="164" fontId="0" fillId="4" borderId="0" xfId="0" applyNumberFormat="1" applyFill="1"/>
    <xf numFmtId="164" fontId="0" fillId="4" borderId="14" xfId="0" applyNumberFormat="1" applyFill="1" applyBorder="1"/>
    <xf numFmtId="164" fontId="0" fillId="5" borderId="6" xfId="0" applyNumberFormat="1" applyFill="1" applyBorder="1"/>
    <xf numFmtId="164" fontId="0" fillId="5" borderId="8" xfId="0" applyNumberFormat="1" applyFill="1" applyBorder="1"/>
    <xf numFmtId="0" fontId="18" fillId="4" borderId="1" xfId="0" applyFont="1" applyFill="1" applyBorder="1" applyAlignment="1">
      <alignment horizontal="left" wrapText="1"/>
    </xf>
    <xf numFmtId="43" fontId="0" fillId="4" borderId="10" xfId="0" applyNumberFormat="1" applyFill="1" applyBorder="1"/>
    <xf numFmtId="0" fontId="9" fillId="0" borderId="1" xfId="5" applyFont="1" applyBorder="1"/>
    <xf numFmtId="0" fontId="9" fillId="0" borderId="2" xfId="5" applyFont="1" applyBorder="1" applyAlignment="1">
      <alignment horizontal="center"/>
    </xf>
    <xf numFmtId="0" fontId="6" fillId="0" borderId="2" xfId="5" applyBorder="1"/>
    <xf numFmtId="49" fontId="18" fillId="4" borderId="9" xfId="5" applyNumberFormat="1" applyFont="1" applyFill="1" applyBorder="1" applyAlignment="1" applyProtection="1">
      <alignment horizontal="left" vertical="center" wrapText="1"/>
      <protection locked="0"/>
    </xf>
    <xf numFmtId="0" fontId="2" fillId="0" borderId="9" xfId="5" applyFont="1" applyBorder="1"/>
    <xf numFmtId="0" fontId="12" fillId="9" borderId="0" xfId="0" applyFont="1" applyFill="1"/>
    <xf numFmtId="0" fontId="16" fillId="4" borderId="2" xfId="0" applyFont="1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11" fillId="2" borderId="0" xfId="0" applyFont="1" applyFill="1" applyAlignment="1">
      <alignment horizontal="right"/>
    </xf>
    <xf numFmtId="0" fontId="11" fillId="2" borderId="3" xfId="0" applyFont="1" applyFill="1" applyBorder="1" applyAlignment="1">
      <alignment horizontal="right"/>
    </xf>
    <xf numFmtId="0" fontId="0" fillId="0" borderId="14" xfId="0" applyBorder="1"/>
    <xf numFmtId="0" fontId="0" fillId="0" borderId="3" xfId="0" applyBorder="1"/>
    <xf numFmtId="4" fontId="0" fillId="0" borderId="0" xfId="0" applyNumberFormat="1" applyAlignment="1">
      <alignment horizontal="center"/>
    </xf>
    <xf numFmtId="0" fontId="0" fillId="0" borderId="10" xfId="0" applyBorder="1"/>
    <xf numFmtId="4" fontId="0" fillId="0" borderId="10" xfId="0" applyNumberFormat="1" applyBorder="1" applyAlignment="1">
      <alignment horizontal="center"/>
    </xf>
    <xf numFmtId="0" fontId="0" fillId="0" borderId="1" xfId="0" applyBorder="1"/>
    <xf numFmtId="0" fontId="17" fillId="0" borderId="2" xfId="0" applyFont="1" applyBorder="1"/>
    <xf numFmtId="165" fontId="16" fillId="0" borderId="2" xfId="0" applyNumberFormat="1" applyFont="1" applyBorder="1" applyAlignment="1">
      <alignment horizontal="left" indent="1"/>
    </xf>
    <xf numFmtId="0" fontId="18" fillId="0" borderId="9" xfId="0" applyFont="1" applyBorder="1"/>
    <xf numFmtId="0" fontId="17" fillId="0" borderId="1" xfId="0" applyFont="1" applyBorder="1"/>
    <xf numFmtId="0" fontId="17" fillId="0" borderId="0" xfId="0" applyFont="1"/>
    <xf numFmtId="0" fontId="0" fillId="4" borderId="7" xfId="0" applyFill="1" applyBorder="1" applyAlignment="1">
      <alignment horizontal="center"/>
    </xf>
    <xf numFmtId="10" fontId="16" fillId="7" borderId="14" xfId="2" applyNumberFormat="1" applyFont="1" applyFill="1" applyBorder="1" applyAlignment="1">
      <alignment horizontal="right"/>
    </xf>
    <xf numFmtId="0" fontId="18" fillId="4" borderId="1" xfId="0" applyFont="1" applyFill="1" applyBorder="1"/>
    <xf numFmtId="0" fontId="0" fillId="4" borderId="7" xfId="0" applyFill="1" applyBorder="1"/>
    <xf numFmtId="0" fontId="12" fillId="4" borderId="9" xfId="0" applyFont="1" applyFill="1" applyBorder="1"/>
    <xf numFmtId="9" fontId="16" fillId="7" borderId="10" xfId="0" applyNumberFormat="1" applyFont="1" applyFill="1" applyBorder="1" applyAlignment="1">
      <alignment horizontal="right"/>
    </xf>
    <xf numFmtId="9" fontId="16" fillId="7" borderId="11" xfId="0" applyNumberFormat="1" applyFont="1" applyFill="1" applyBorder="1" applyAlignment="1">
      <alignment horizontal="right"/>
    </xf>
    <xf numFmtId="165" fontId="16" fillId="0" borderId="9" xfId="0" applyNumberFormat="1" applyFont="1" applyBorder="1" applyAlignment="1">
      <alignment horizontal="left" indent="1"/>
    </xf>
    <xf numFmtId="10" fontId="16" fillId="7" borderId="11" xfId="2" applyNumberFormat="1" applyFont="1" applyFill="1" applyBorder="1" applyAlignment="1">
      <alignment horizontal="right"/>
    </xf>
    <xf numFmtId="0" fontId="2" fillId="0" borderId="2" xfId="5" applyFont="1" applyBorder="1"/>
    <xf numFmtId="0" fontId="9" fillId="6" borderId="3" xfId="5" applyFont="1" applyFill="1" applyBorder="1" applyAlignment="1">
      <alignment horizontal="right"/>
    </xf>
    <xf numFmtId="0" fontId="9" fillId="6" borderId="7" xfId="5" applyFont="1" applyFill="1" applyBorder="1" applyAlignment="1">
      <alignment horizontal="right"/>
    </xf>
    <xf numFmtId="0" fontId="15" fillId="5" borderId="0" xfId="5" applyFont="1" applyFill="1" applyAlignment="1">
      <alignment horizontal="right"/>
    </xf>
    <xf numFmtId="0" fontId="15" fillId="5" borderId="14" xfId="5" applyFont="1" applyFill="1" applyBorder="1" applyAlignment="1">
      <alignment horizontal="right"/>
    </xf>
    <xf numFmtId="164" fontId="0" fillId="5" borderId="10" xfId="6" applyNumberFormat="1" applyFont="1" applyFill="1" applyBorder="1" applyAlignment="1">
      <alignment horizontal="right"/>
    </xf>
    <xf numFmtId="164" fontId="0" fillId="5" borderId="11" xfId="6" applyNumberFormat="1" applyFont="1" applyFill="1" applyBorder="1" applyAlignment="1">
      <alignment horizontal="right"/>
    </xf>
    <xf numFmtId="10" fontId="0" fillId="0" borderId="0" xfId="0" applyNumberFormat="1"/>
    <xf numFmtId="0" fontId="18" fillId="4" borderId="1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center"/>
    </xf>
    <xf numFmtId="167" fontId="0" fillId="4" borderId="4" xfId="0" applyNumberFormat="1" applyFill="1" applyBorder="1" applyAlignment="1">
      <alignment horizontal="center"/>
    </xf>
    <xf numFmtId="3" fontId="0" fillId="4" borderId="3" xfId="0" applyNumberFormat="1" applyFill="1" applyBorder="1"/>
    <xf numFmtId="0" fontId="18" fillId="4" borderId="2" xfId="0" applyFont="1" applyFill="1" applyBorder="1" applyAlignment="1">
      <alignment horizontal="right"/>
    </xf>
    <xf numFmtId="167" fontId="0" fillId="4" borderId="6" xfId="0" applyNumberFormat="1" applyFill="1" applyBorder="1" applyAlignment="1">
      <alignment horizontal="center"/>
    </xf>
    <xf numFmtId="167" fontId="12" fillId="4" borderId="4" xfId="0" applyNumberFormat="1" applyFont="1" applyFill="1" applyBorder="1" applyAlignment="1">
      <alignment horizontal="center"/>
    </xf>
    <xf numFmtId="0" fontId="0" fillId="4" borderId="14" xfId="0" applyFill="1" applyBorder="1"/>
    <xf numFmtId="0" fontId="0" fillId="4" borderId="9" xfId="0" applyFill="1" applyBorder="1" applyAlignment="1">
      <alignment horizontal="right"/>
    </xf>
    <xf numFmtId="0" fontId="18" fillId="4" borderId="13" xfId="0" applyFont="1" applyFill="1" applyBorder="1" applyAlignment="1">
      <alignment horizontal="center" wrapText="1"/>
    </xf>
    <xf numFmtId="0" fontId="18" fillId="4" borderId="10" xfId="0" applyFont="1" applyFill="1" applyBorder="1" applyAlignment="1">
      <alignment horizontal="center" wrapText="1"/>
    </xf>
    <xf numFmtId="0" fontId="18" fillId="4" borderId="11" xfId="0" applyFont="1" applyFill="1" applyBorder="1" applyAlignment="1">
      <alignment horizontal="center" wrapText="1"/>
    </xf>
    <xf numFmtId="0" fontId="12" fillId="4" borderId="4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6" fillId="4" borderId="12" xfId="0" applyFont="1" applyFill="1" applyBorder="1" applyAlignment="1">
      <alignment horizontal="left"/>
    </xf>
    <xf numFmtId="167" fontId="16" fillId="4" borderId="12" xfId="0" applyNumberFormat="1" applyFont="1" applyFill="1" applyBorder="1"/>
    <xf numFmtId="165" fontId="16" fillId="4" borderId="12" xfId="0" applyNumberFormat="1" applyFont="1" applyFill="1" applyBorder="1"/>
    <xf numFmtId="0" fontId="0" fillId="4" borderId="12" xfId="0" applyFill="1" applyBorder="1"/>
    <xf numFmtId="165" fontId="18" fillId="4" borderId="12" xfId="0" applyNumberFormat="1" applyFont="1" applyFill="1" applyBorder="1"/>
    <xf numFmtId="169" fontId="16" fillId="4" borderId="12" xfId="4" applyNumberFormat="1" applyFont="1" applyFill="1" applyBorder="1"/>
    <xf numFmtId="166" fontId="16" fillId="4" borderId="12" xfId="0" applyNumberFormat="1" applyFont="1" applyFill="1" applyBorder="1" applyAlignment="1">
      <alignment horizontal="right"/>
    </xf>
    <xf numFmtId="44" fontId="16" fillId="4" borderId="12" xfId="0" applyNumberFormat="1" applyFont="1" applyFill="1" applyBorder="1"/>
    <xf numFmtId="0" fontId="16" fillId="4" borderId="15" xfId="0" applyFont="1" applyFill="1" applyBorder="1" applyAlignment="1">
      <alignment horizontal="left"/>
    </xf>
    <xf numFmtId="167" fontId="16" fillId="4" borderId="15" xfId="0" applyNumberFormat="1" applyFont="1" applyFill="1" applyBorder="1"/>
    <xf numFmtId="165" fontId="16" fillId="4" borderId="15" xfId="0" applyNumberFormat="1" applyFont="1" applyFill="1" applyBorder="1"/>
    <xf numFmtId="0" fontId="0" fillId="4" borderId="15" xfId="0" applyFill="1" applyBorder="1"/>
    <xf numFmtId="165" fontId="18" fillId="4" borderId="15" xfId="0" applyNumberFormat="1" applyFont="1" applyFill="1" applyBorder="1"/>
    <xf numFmtId="169" fontId="16" fillId="4" borderId="15" xfId="4" applyNumberFormat="1" applyFont="1" applyFill="1" applyBorder="1"/>
    <xf numFmtId="166" fontId="16" fillId="4" borderId="15" xfId="0" applyNumberFormat="1" applyFont="1" applyFill="1" applyBorder="1" applyAlignment="1">
      <alignment horizontal="right"/>
    </xf>
    <xf numFmtId="44" fontId="16" fillId="4" borderId="15" xfId="0" applyNumberFormat="1" applyFont="1" applyFill="1" applyBorder="1"/>
    <xf numFmtId="0" fontId="16" fillId="4" borderId="13" xfId="0" applyFont="1" applyFill="1" applyBorder="1" applyAlignment="1">
      <alignment horizontal="left"/>
    </xf>
    <xf numFmtId="167" fontId="16" fillId="4" borderId="13" xfId="0" applyNumberFormat="1" applyFont="1" applyFill="1" applyBorder="1"/>
    <xf numFmtId="165" fontId="16" fillId="4" borderId="13" xfId="0" applyNumberFormat="1" applyFont="1" applyFill="1" applyBorder="1"/>
    <xf numFmtId="167" fontId="0" fillId="4" borderId="13" xfId="0" applyNumberFormat="1" applyFill="1" applyBorder="1"/>
    <xf numFmtId="165" fontId="18" fillId="4" borderId="13" xfId="0" applyNumberFormat="1" applyFont="1" applyFill="1" applyBorder="1"/>
    <xf numFmtId="169" fontId="16" fillId="4" borderId="13" xfId="4" applyNumberFormat="1" applyFont="1" applyFill="1" applyBorder="1"/>
    <xf numFmtId="44" fontId="16" fillId="4" borderId="13" xfId="0" applyNumberFormat="1" applyFont="1" applyFill="1" applyBorder="1"/>
    <xf numFmtId="0" fontId="16" fillId="4" borderId="5" xfId="0" applyFont="1" applyFill="1" applyBorder="1" applyAlignment="1">
      <alignment horizontal="left"/>
    </xf>
    <xf numFmtId="165" fontId="18" fillId="4" borderId="4" xfId="0" applyNumberFormat="1" applyFont="1" applyFill="1" applyBorder="1"/>
    <xf numFmtId="165" fontId="18" fillId="4" borderId="6" xfId="0" applyNumberFormat="1" applyFont="1" applyFill="1" applyBorder="1"/>
    <xf numFmtId="168" fontId="16" fillId="4" borderId="6" xfId="4" applyNumberFormat="1" applyFont="1" applyFill="1" applyBorder="1"/>
    <xf numFmtId="2" fontId="16" fillId="4" borderId="6" xfId="0" applyNumberFormat="1" applyFont="1" applyFill="1" applyBorder="1" applyAlignment="1">
      <alignment horizontal="right"/>
    </xf>
    <xf numFmtId="168" fontId="16" fillId="4" borderId="8" xfId="0" applyNumberFormat="1" applyFont="1" applyFill="1" applyBorder="1"/>
    <xf numFmtId="44" fontId="0" fillId="0" borderId="0" xfId="4" applyFont="1"/>
    <xf numFmtId="44" fontId="0" fillId="5" borderId="0" xfId="4" applyFont="1" applyFill="1"/>
    <xf numFmtId="44" fontId="0" fillId="5" borderId="3" xfId="4" applyFont="1" applyFill="1" applyBorder="1"/>
    <xf numFmtId="0" fontId="9" fillId="4" borderId="9" xfId="8" applyFont="1" applyFill="1" applyBorder="1"/>
    <xf numFmtId="41" fontId="16" fillId="5" borderId="10" xfId="5" applyNumberFormat="1" applyFont="1" applyFill="1" applyBorder="1" applyAlignment="1" applyProtection="1">
      <alignment vertical="center"/>
      <protection locked="0"/>
    </xf>
    <xf numFmtId="41" fontId="16" fillId="5" borderId="11" xfId="5" applyNumberFormat="1" applyFont="1" applyFill="1" applyBorder="1" applyAlignment="1" applyProtection="1">
      <alignment vertical="center"/>
      <protection locked="0"/>
    </xf>
    <xf numFmtId="0" fontId="8" fillId="4" borderId="9" xfId="5" applyFont="1" applyFill="1" applyBorder="1"/>
    <xf numFmtId="0" fontId="12" fillId="4" borderId="2" xfId="5" applyFont="1" applyFill="1" applyBorder="1"/>
    <xf numFmtId="168" fontId="16" fillId="7" borderId="0" xfId="4" applyNumberFormat="1" applyFont="1" applyFill="1" applyAlignment="1">
      <alignment vertical="center"/>
    </xf>
    <xf numFmtId="168" fontId="16" fillId="7" borderId="14" xfId="4" applyNumberFormat="1" applyFont="1" applyFill="1" applyBorder="1" applyAlignment="1">
      <alignment vertical="center"/>
    </xf>
    <xf numFmtId="168" fontId="6" fillId="4" borderId="3" xfId="4" applyNumberFormat="1" applyFont="1" applyFill="1" applyBorder="1"/>
    <xf numFmtId="168" fontId="6" fillId="4" borderId="7" xfId="4" applyNumberFormat="1" applyFont="1" applyFill="1" applyBorder="1"/>
    <xf numFmtId="168" fontId="6" fillId="4" borderId="0" xfId="4" applyNumberFormat="1" applyFont="1" applyFill="1"/>
    <xf numFmtId="168" fontId="6" fillId="4" borderId="14" xfId="4" applyNumberFormat="1" applyFont="1" applyFill="1" applyBorder="1"/>
    <xf numFmtId="168" fontId="6" fillId="4" borderId="10" xfId="4" applyNumberFormat="1" applyFont="1" applyFill="1" applyBorder="1"/>
    <xf numFmtId="168" fontId="6" fillId="4" borderId="11" xfId="4" applyNumberFormat="1" applyFont="1" applyFill="1" applyBorder="1"/>
    <xf numFmtId="168" fontId="6" fillId="5" borderId="0" xfId="4" applyNumberFormat="1" applyFont="1" applyFill="1"/>
    <xf numFmtId="168" fontId="6" fillId="0" borderId="0" xfId="4" applyNumberFormat="1" applyFont="1"/>
    <xf numFmtId="168" fontId="6" fillId="5" borderId="10" xfId="4" applyNumberFormat="1" applyFont="1" applyFill="1" applyBorder="1"/>
    <xf numFmtId="168" fontId="6" fillId="5" borderId="11" xfId="4" applyNumberFormat="1" applyFont="1" applyFill="1" applyBorder="1"/>
    <xf numFmtId="168" fontId="2" fillId="4" borderId="2" xfId="4" applyNumberFormat="1" applyFont="1" applyFill="1" applyBorder="1"/>
    <xf numFmtId="168" fontId="2" fillId="4" borderId="0" xfId="4" applyNumberFormat="1" applyFont="1" applyFill="1"/>
    <xf numFmtId="168" fontId="2" fillId="4" borderId="14" xfId="4" applyNumberFormat="1" applyFont="1" applyFill="1" applyBorder="1"/>
    <xf numFmtId="168" fontId="6" fillId="4" borderId="2" xfId="4" applyNumberFormat="1" applyFont="1" applyFill="1" applyBorder="1"/>
    <xf numFmtId="168" fontId="6" fillId="5" borderId="9" xfId="4" applyNumberFormat="1" applyFont="1" applyFill="1" applyBorder="1"/>
    <xf numFmtId="168" fontId="1" fillId="4" borderId="2" xfId="4" applyNumberFormat="1" applyFont="1" applyFill="1" applyBorder="1"/>
    <xf numFmtId="168" fontId="1" fillId="4" borderId="0" xfId="4" applyNumberFormat="1" applyFont="1" applyFill="1"/>
    <xf numFmtId="168" fontId="1" fillId="4" borderId="14" xfId="4" applyNumberFormat="1" applyFont="1" applyFill="1" applyBorder="1"/>
    <xf numFmtId="168" fontId="18" fillId="5" borderId="10" xfId="4" applyNumberFormat="1" applyFont="1" applyFill="1" applyBorder="1" applyAlignment="1">
      <alignment vertical="center"/>
    </xf>
    <xf numFmtId="168" fontId="18" fillId="5" borderId="11" xfId="4" applyNumberFormat="1" applyFont="1" applyFill="1" applyBorder="1" applyAlignment="1">
      <alignment vertical="center"/>
    </xf>
    <xf numFmtId="168" fontId="5" fillId="4" borderId="3" xfId="4" applyNumberFormat="1" applyFont="1" applyFill="1" applyBorder="1"/>
    <xf numFmtId="168" fontId="5" fillId="4" borderId="7" xfId="4" applyNumberFormat="1" applyFont="1" applyFill="1" applyBorder="1"/>
    <xf numFmtId="168" fontId="5" fillId="4" borderId="0" xfId="4" applyNumberFormat="1" applyFont="1" applyFill="1"/>
    <xf numFmtId="168" fontId="5" fillId="4" borderId="14" xfId="4" applyNumberFormat="1" applyFont="1" applyFill="1" applyBorder="1"/>
    <xf numFmtId="168" fontId="5" fillId="4" borderId="10" xfId="4" applyNumberFormat="1" applyFont="1" applyFill="1" applyBorder="1"/>
    <xf numFmtId="168" fontId="5" fillId="4" borderId="11" xfId="4" applyNumberFormat="1" applyFont="1" applyFill="1" applyBorder="1"/>
    <xf numFmtId="168" fontId="5" fillId="5" borderId="0" xfId="4" applyNumberFormat="1" applyFont="1" applyFill="1"/>
    <xf numFmtId="168" fontId="5" fillId="5" borderId="14" xfId="4" applyNumberFormat="1" applyFont="1" applyFill="1" applyBorder="1"/>
    <xf numFmtId="168" fontId="5" fillId="5" borderId="10" xfId="4" applyNumberFormat="1" applyFont="1" applyFill="1" applyBorder="1"/>
    <xf numFmtId="168" fontId="5" fillId="5" borderId="11" xfId="4" applyNumberFormat="1" applyFont="1" applyFill="1" applyBorder="1"/>
    <xf numFmtId="168" fontId="5" fillId="4" borderId="0" xfId="4" applyNumberFormat="1" applyFont="1" applyFill="1" applyBorder="1"/>
    <xf numFmtId="168" fontId="5" fillId="4" borderId="2" xfId="4" applyNumberFormat="1" applyFont="1" applyFill="1" applyBorder="1"/>
    <xf numFmtId="168" fontId="5" fillId="5" borderId="9" xfId="4" applyNumberFormat="1" applyFont="1" applyFill="1" applyBorder="1"/>
    <xf numFmtId="3" fontId="0" fillId="0" borderId="0" xfId="1" applyNumberFormat="1" applyFont="1"/>
    <xf numFmtId="3" fontId="0" fillId="0" borderId="3" xfId="0" applyNumberFormat="1" applyBorder="1"/>
    <xf numFmtId="3" fontId="0" fillId="0" borderId="7" xfId="0" applyNumberFormat="1" applyBorder="1"/>
    <xf numFmtId="164" fontId="0" fillId="3" borderId="6" xfId="0" applyNumberFormat="1" applyFill="1" applyBorder="1"/>
    <xf numFmtId="164" fontId="0" fillId="3" borderId="8" xfId="0" applyNumberFormat="1" applyFill="1" applyBorder="1"/>
    <xf numFmtId="164" fontId="0" fillId="4" borderId="0" xfId="6" applyNumberFormat="1" applyFont="1" applyFill="1" applyBorder="1" applyAlignment="1">
      <alignment horizontal="right"/>
    </xf>
    <xf numFmtId="164" fontId="0" fillId="4" borderId="14" xfId="6" applyNumberFormat="1" applyFont="1" applyFill="1" applyBorder="1" applyAlignment="1">
      <alignment horizontal="right"/>
    </xf>
    <xf numFmtId="164" fontId="6" fillId="0" borderId="0" xfId="5" applyNumberFormat="1" applyAlignment="1">
      <alignment horizontal="right"/>
    </xf>
    <xf numFmtId="164" fontId="6" fillId="0" borderId="14" xfId="5" applyNumberFormat="1" applyBorder="1" applyAlignment="1">
      <alignment horizontal="right"/>
    </xf>
    <xf numFmtId="168" fontId="0" fillId="0" borderId="0" xfId="4" applyNumberFormat="1" applyFont="1" applyAlignment="1">
      <alignment horizontal="right"/>
    </xf>
    <xf numFmtId="168" fontId="0" fillId="0" borderId="14" xfId="4" applyNumberFormat="1" applyFont="1" applyBorder="1" applyAlignment="1">
      <alignment horizontal="right"/>
    </xf>
    <xf numFmtId="168" fontId="0" fillId="5" borderId="6" xfId="4" applyNumberFormat="1" applyFont="1" applyFill="1" applyBorder="1" applyAlignment="1">
      <alignment horizontal="right"/>
    </xf>
    <xf numFmtId="168" fontId="0" fillId="5" borderId="8" xfId="4" applyNumberFormat="1" applyFont="1" applyFill="1" applyBorder="1" applyAlignment="1">
      <alignment horizontal="right"/>
    </xf>
    <xf numFmtId="168" fontId="16" fillId="0" borderId="0" xfId="4" applyNumberFormat="1" applyFont="1" applyAlignment="1">
      <alignment horizontal="right"/>
    </xf>
    <xf numFmtId="168" fontId="16" fillId="0" borderId="14" xfId="4" applyNumberFormat="1" applyFont="1" applyBorder="1" applyAlignment="1">
      <alignment horizontal="right"/>
    </xf>
    <xf numFmtId="0" fontId="6" fillId="4" borderId="0" xfId="5" applyFill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2" fillId="4" borderId="1" xfId="5" applyFont="1" applyFill="1" applyBorder="1" applyAlignment="1">
      <alignment horizontal="center"/>
    </xf>
    <xf numFmtId="9" fontId="6" fillId="7" borderId="14" xfId="5" applyNumberFormat="1" applyFill="1" applyBorder="1"/>
    <xf numFmtId="170" fontId="0" fillId="4" borderId="0" xfId="1" applyNumberFormat="1" applyFont="1" applyFill="1"/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2" fillId="9" borderId="0" xfId="0" applyFont="1" applyFill="1" applyAlignment="1">
      <alignment horizontal="left"/>
    </xf>
    <xf numFmtId="15" fontId="19" fillId="4" borderId="0" xfId="5" applyNumberFormat="1" applyFont="1" applyFill="1" applyAlignment="1" applyProtection="1">
      <alignment vertical="center" wrapText="1"/>
      <protection locked="0"/>
    </xf>
    <xf numFmtId="0" fontId="7" fillId="4" borderId="0" xfId="5" applyFont="1" applyFill="1" applyAlignment="1">
      <alignment vertical="center"/>
    </xf>
    <xf numFmtId="0" fontId="26" fillId="4" borderId="0" xfId="5" applyFont="1" applyFill="1" applyAlignment="1">
      <alignment horizontal="center" wrapText="1"/>
    </xf>
    <xf numFmtId="0" fontId="26" fillId="4" borderId="10" xfId="5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0" fillId="4" borderId="0" xfId="0" applyFont="1" applyFill="1" applyAlignment="1">
      <alignment horizontal="left" wrapText="1"/>
    </xf>
    <xf numFmtId="0" fontId="13" fillId="4" borderId="0" xfId="0" applyFont="1" applyFill="1" applyAlignment="1">
      <alignment horizontal="left" wrapText="1"/>
    </xf>
    <xf numFmtId="0" fontId="13" fillId="4" borderId="0" xfId="0" applyFont="1" applyFill="1" applyAlignment="1">
      <alignment horizontal="left"/>
    </xf>
    <xf numFmtId="0" fontId="13" fillId="4" borderId="0" xfId="0" applyFont="1" applyFill="1" applyAlignment="1">
      <alignment horizontal="center"/>
    </xf>
    <xf numFmtId="44" fontId="0" fillId="0" borderId="2" xfId="0" applyNumberFormat="1" applyBorder="1"/>
    <xf numFmtId="44" fontId="0" fillId="0" borderId="0" xfId="0" applyNumberFormat="1"/>
    <xf numFmtId="44" fontId="0" fillId="0" borderId="14" xfId="0" applyNumberFormat="1" applyBorder="1"/>
    <xf numFmtId="44" fontId="0" fillId="0" borderId="9" xfId="0" applyNumberFormat="1" applyBorder="1"/>
    <xf numFmtId="44" fontId="0" fillId="0" borderId="10" xfId="0" applyNumberFormat="1" applyBorder="1"/>
    <xf numFmtId="44" fontId="0" fillId="0" borderId="11" xfId="0" applyNumberFormat="1" applyBorder="1"/>
  </cellXfs>
  <cellStyles count="10">
    <cellStyle name="Comma" xfId="1" builtinId="3"/>
    <cellStyle name="Comma 2" xfId="6" xr:uid="{253044F8-2A2C-4995-93E3-08D291029595}"/>
    <cellStyle name="Currency" xfId="4" builtinId="4"/>
    <cellStyle name="Normal" xfId="0" builtinId="0"/>
    <cellStyle name="Normal 2" xfId="3" xr:uid="{789B4160-3154-4E65-9567-D3B77A3A0358}"/>
    <cellStyle name="Normal 3" xfId="5" xr:uid="{B98909AF-F273-491D-82E8-AFFF45FF7981}"/>
    <cellStyle name="Normal 4" xfId="8" xr:uid="{79BF6861-D844-4EA3-92AF-8A6167EB2656}"/>
    <cellStyle name="Percent" xfId="2" builtinId="5"/>
    <cellStyle name="Percent 2" xfId="7" xr:uid="{218490E6-035A-4F07-B11B-D12336A941AB}"/>
    <cellStyle name="Percent 3" xfId="9" xr:uid="{2D4DD196-6218-4E83-B3BB-D8F85C6CFBD3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27C44-FD0D-4C10-BC8D-CDA602E9014A}">
  <dimension ref="E2:R9"/>
  <sheetViews>
    <sheetView showGridLines="0" zoomScale="110" zoomScaleNormal="110" workbookViewId="0">
      <selection activeCell="J21" sqref="J21"/>
    </sheetView>
  </sheetViews>
  <sheetFormatPr defaultColWidth="9.140625" defaultRowHeight="15" x14ac:dyDescent="0.25"/>
  <cols>
    <col min="1" max="1" width="2.85546875" style="2" customWidth="1"/>
    <col min="2" max="2" width="1.28515625" style="2" customWidth="1"/>
    <col min="3" max="3" width="3.140625" style="2" customWidth="1"/>
    <col min="4" max="4" width="2.85546875" style="2" customWidth="1"/>
    <col min="5" max="5" width="12" style="2" customWidth="1"/>
    <col min="6" max="6" width="6" style="2" customWidth="1"/>
    <col min="7" max="7" width="6.42578125" style="2" customWidth="1"/>
    <col min="8" max="8" width="4" style="2" bestFit="1" customWidth="1"/>
    <col min="9" max="10" width="6.140625" style="2" bestFit="1" customWidth="1"/>
    <col min="11" max="11" width="5.7109375" style="2" bestFit="1" customWidth="1"/>
    <col min="12" max="12" width="5.5703125" style="2" bestFit="1" customWidth="1"/>
    <col min="13" max="13" width="7.42578125" style="2" customWidth="1"/>
    <col min="14" max="14" width="8.85546875" style="2" customWidth="1"/>
    <col min="15" max="15" width="4" style="2" bestFit="1" customWidth="1"/>
    <col min="16" max="16" width="9.42578125" style="2" bestFit="1" customWidth="1"/>
    <col min="17" max="17" width="7.42578125" style="2" customWidth="1"/>
    <col min="18" max="16384" width="9.140625" style="2"/>
  </cols>
  <sheetData>
    <row r="2" spans="5:18" x14ac:dyDescent="0.25">
      <c r="E2" s="157" t="s">
        <v>84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</row>
    <row r="3" spans="5:18" ht="24.75" thickBot="1" x14ac:dyDescent="0.3">
      <c r="E3" s="59" t="s">
        <v>71</v>
      </c>
      <c r="F3" s="60" t="s">
        <v>29</v>
      </c>
      <c r="G3" s="60" t="s">
        <v>72</v>
      </c>
      <c r="H3" s="60" t="s">
        <v>5</v>
      </c>
      <c r="I3" s="60" t="s">
        <v>7</v>
      </c>
      <c r="J3" s="60" t="s">
        <v>73</v>
      </c>
      <c r="K3" s="60" t="s">
        <v>11</v>
      </c>
      <c r="L3" s="60" t="s">
        <v>75</v>
      </c>
      <c r="M3" s="60" t="s">
        <v>74</v>
      </c>
      <c r="N3" s="60" t="s">
        <v>19</v>
      </c>
      <c r="O3" s="60" t="s">
        <v>4</v>
      </c>
      <c r="P3" s="60" t="s">
        <v>20</v>
      </c>
    </row>
    <row r="4" spans="5:18" ht="15.75" thickTop="1" x14ac:dyDescent="0.25">
      <c r="E4" s="61" t="s">
        <v>5</v>
      </c>
      <c r="F4" s="65">
        <f>'AIC Calculation'!D64</f>
        <v>21.168226667325367</v>
      </c>
      <c r="G4" s="65">
        <f>'AIC Calculation'!E62</f>
        <v>10.030327834564833</v>
      </c>
      <c r="H4" s="65">
        <f>'AIC Calculation'!E64</f>
        <v>0.22114585681764809</v>
      </c>
      <c r="I4" s="65"/>
      <c r="J4" s="65"/>
      <c r="K4" s="65"/>
      <c r="L4" s="65"/>
      <c r="M4" s="65">
        <f>SUM(H4:L4)</f>
        <v>0.22114585681764809</v>
      </c>
      <c r="N4" s="72">
        <f>'AIC Calculation'!K64</f>
        <v>10.447065797864029</v>
      </c>
      <c r="O4" s="64">
        <f>'AIC Calculation'!L64</f>
        <v>0.95</v>
      </c>
      <c r="P4" s="73">
        <f>'AIC Calculation'!M64</f>
        <v>9.9247125079708276</v>
      </c>
      <c r="R4" s="298"/>
    </row>
    <row r="5" spans="5:18" x14ac:dyDescent="0.25">
      <c r="E5" s="62" t="s">
        <v>7</v>
      </c>
      <c r="F5" s="68">
        <f>'AIC Calculation'!D65</f>
        <v>20.588275251782203</v>
      </c>
      <c r="G5" s="68">
        <f>'AIC Calculation'!F62</f>
        <v>25.152219482393129</v>
      </c>
      <c r="H5" s="68">
        <f>'AIC Calculation'!E65</f>
        <v>0.21508706621990428</v>
      </c>
      <c r="I5" s="68">
        <f>'AIC Calculation'!F65</f>
        <v>0.55151562175723035</v>
      </c>
      <c r="J5" s="68"/>
      <c r="K5" s="68"/>
      <c r="L5" s="68"/>
      <c r="M5" s="68">
        <f t="shared" ref="M5:M8" si="0">SUM(H5:L5)</f>
        <v>0.7666026879771346</v>
      </c>
      <c r="N5" s="74">
        <f>'AIC Calculation'!K65</f>
        <v>37.234915436191017</v>
      </c>
      <c r="O5" s="66">
        <f>'AIC Calculation'!L65</f>
        <v>0.9</v>
      </c>
      <c r="P5" s="75">
        <f>'AIC Calculation'!M65</f>
        <v>33.511423892571919</v>
      </c>
      <c r="R5" s="298"/>
    </row>
    <row r="6" spans="5:18" x14ac:dyDescent="0.25">
      <c r="E6" s="61" t="s">
        <v>73</v>
      </c>
      <c r="F6" s="69">
        <f>'AIC Calculation'!D66</f>
        <v>51.035724567798127</v>
      </c>
      <c r="G6" s="69">
        <f>'AIC Calculation'!G62</f>
        <v>26.442059055043554</v>
      </c>
      <c r="H6" s="70">
        <f>'AIC Calculation'!E66</f>
        <v>0.53317357260145271</v>
      </c>
      <c r="I6" s="70">
        <f>'AIC Calculation'!F66</f>
        <v>1.3671373159052467</v>
      </c>
      <c r="J6" s="70">
        <f>'AIC Calculation'!G66</f>
        <v>1.4694671277826534</v>
      </c>
      <c r="K6" s="70"/>
      <c r="L6" s="70"/>
      <c r="M6" s="70">
        <f t="shared" si="0"/>
        <v>3.3697780162893531</v>
      </c>
      <c r="N6" s="76">
        <f>'AIC Calculation'!K66</f>
        <v>66.027827464520271</v>
      </c>
      <c r="O6" s="67">
        <f>'AIC Calculation'!L66</f>
        <v>0.9</v>
      </c>
      <c r="P6" s="77">
        <f>'AIC Calculation'!M66</f>
        <v>59.425044718068243</v>
      </c>
      <c r="R6" s="298"/>
    </row>
    <row r="7" spans="5:18" x14ac:dyDescent="0.25">
      <c r="E7" s="62" t="s">
        <v>11</v>
      </c>
      <c r="F7" s="68">
        <f>'AIC Calculation'!D67</f>
        <v>234.59034758720844</v>
      </c>
      <c r="G7" s="68">
        <f>'AIC Calculation'!H62</f>
        <v>12.566312532981881</v>
      </c>
      <c r="H7" s="68">
        <f>'AIC Calculation'!E67</f>
        <v>2.4507807967873592</v>
      </c>
      <c r="I7" s="68">
        <f>'AIC Calculation'!F67</f>
        <v>6.2841709577690041</v>
      </c>
      <c r="J7" s="68">
        <f>'AIC Calculation'!G67</f>
        <v>6.7545392407736742</v>
      </c>
      <c r="K7" s="68">
        <f>'AIC Calculation'!H67</f>
        <v>3.3989123501111127</v>
      </c>
      <c r="L7" s="68"/>
      <c r="M7" s="68">
        <f t="shared" si="0"/>
        <v>18.888403345441148</v>
      </c>
      <c r="N7" s="74">
        <f>'AIC Calculation'!K67</f>
        <v>80.516541024431646</v>
      </c>
      <c r="O7" s="66">
        <f>'AIC Calculation'!L67</f>
        <v>0.9</v>
      </c>
      <c r="P7" s="75">
        <f>'AIC Calculation'!M67</f>
        <v>72.46488692198848</v>
      </c>
      <c r="R7" s="298"/>
    </row>
    <row r="8" spans="5:18" x14ac:dyDescent="0.25">
      <c r="E8" s="78" t="s">
        <v>75</v>
      </c>
      <c r="F8" s="79">
        <f>'AIC Calculation'!D68</f>
        <v>632.72699435758852</v>
      </c>
      <c r="G8" s="79">
        <f>'AIC Calculation'!I62</f>
        <v>7.8152852641997521</v>
      </c>
      <c r="H8" s="79">
        <f>'AIC Calculation'!E68</f>
        <v>6.6101405421384687</v>
      </c>
      <c r="I8" s="79">
        <f>'AIC Calculation'!F68</f>
        <v>16.949395586961646</v>
      </c>
      <c r="J8" s="79">
        <f>'AIC Calculation'!G68</f>
        <v>18.218052686487226</v>
      </c>
      <c r="K8" s="79">
        <f>'AIC Calculation'!H68</f>
        <v>9.1674001828707681</v>
      </c>
      <c r="L8" s="79">
        <f>'AIC Calculation'!I68</f>
        <v>7.8152852641997521</v>
      </c>
      <c r="M8" s="79">
        <f t="shared" si="0"/>
        <v>58.760274262657866</v>
      </c>
      <c r="N8" s="80">
        <f>'AIC Calculation'!K68</f>
        <v>92.868290410649422</v>
      </c>
      <c r="O8" s="81">
        <f>'AIC Calculation'!L68</f>
        <v>0.9</v>
      </c>
      <c r="P8" s="82">
        <f>'AIC Calculation'!M68</f>
        <v>83.581461369584488</v>
      </c>
      <c r="R8" s="298"/>
    </row>
    <row r="9" spans="5:18" x14ac:dyDescent="0.25">
      <c r="E9" s="83" t="s">
        <v>76</v>
      </c>
      <c r="F9" s="71">
        <f>SUM(F4:F8)</f>
        <v>960.10956843170266</v>
      </c>
      <c r="G9" s="71">
        <f>SUM(G4:G8)</f>
        <v>82.006204169183164</v>
      </c>
      <c r="H9" s="71">
        <f t="shared" ref="H9:L9" si="1">SUM(H4:H8)</f>
        <v>10.030327834564833</v>
      </c>
      <c r="I9" s="71">
        <f t="shared" si="1"/>
        <v>25.152219482393129</v>
      </c>
      <c r="J9" s="71">
        <f t="shared" si="1"/>
        <v>26.442059055043554</v>
      </c>
      <c r="K9" s="71">
        <f t="shared" si="1"/>
        <v>12.566312532981881</v>
      </c>
      <c r="L9" s="71">
        <f t="shared" si="1"/>
        <v>7.8152852641997521</v>
      </c>
      <c r="M9" s="71">
        <f>SUM(M4:M8)</f>
        <v>82.00620416918315</v>
      </c>
      <c r="N9" s="63"/>
      <c r="O9" s="63"/>
      <c r="P9" s="6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3F116-1D3B-437D-A606-9C3B00562566}">
  <dimension ref="B2:G22"/>
  <sheetViews>
    <sheetView showGridLines="0" zoomScaleNormal="100" workbookViewId="0">
      <selection activeCell="E33" sqref="E33"/>
    </sheetView>
  </sheetViews>
  <sheetFormatPr defaultRowHeight="15" x14ac:dyDescent="0.25"/>
  <cols>
    <col min="2" max="2" width="12" customWidth="1"/>
    <col min="3" max="3" width="21.85546875" customWidth="1"/>
    <col min="4" max="4" width="13.7109375" customWidth="1"/>
    <col min="5" max="5" width="10.7109375" bestFit="1" customWidth="1"/>
    <col min="6" max="6" width="8.5703125" bestFit="1" customWidth="1"/>
    <col min="7" max="8" width="7.42578125" customWidth="1"/>
  </cols>
  <sheetData>
    <row r="2" spans="2:7" x14ac:dyDescent="0.25">
      <c r="B2" s="157" t="s">
        <v>79</v>
      </c>
      <c r="C2" s="157"/>
      <c r="D2" s="157"/>
      <c r="E2" s="157"/>
      <c r="F2" s="157"/>
      <c r="G2" s="157"/>
    </row>
    <row r="4" spans="2:7" x14ac:dyDescent="0.25">
      <c r="B4" t="s">
        <v>0</v>
      </c>
      <c r="C4" s="129">
        <v>3.5936371883276461E-2</v>
      </c>
      <c r="D4" s="42"/>
    </row>
    <row r="5" spans="2:7" x14ac:dyDescent="0.25">
      <c r="B5" t="s">
        <v>1</v>
      </c>
      <c r="C5" s="130">
        <v>50</v>
      </c>
      <c r="D5" s="42"/>
    </row>
    <row r="8" spans="2:7" x14ac:dyDescent="0.25">
      <c r="B8" s="36" t="s">
        <v>2</v>
      </c>
      <c r="C8" s="299" t="s">
        <v>3</v>
      </c>
      <c r="D8" s="299"/>
      <c r="E8" s="299"/>
      <c r="F8" s="37" t="s">
        <v>4</v>
      </c>
      <c r="G8" s="42"/>
    </row>
    <row r="9" spans="2:7" x14ac:dyDescent="0.25">
      <c r="B9" t="s">
        <v>5</v>
      </c>
      <c r="C9" t="s">
        <v>81</v>
      </c>
      <c r="F9" s="131">
        <v>0.95</v>
      </c>
    </row>
    <row r="10" spans="2:7" x14ac:dyDescent="0.25">
      <c r="B10" t="s">
        <v>7</v>
      </c>
      <c r="C10" t="s">
        <v>82</v>
      </c>
      <c r="F10" s="131">
        <v>0.9</v>
      </c>
    </row>
    <row r="11" spans="2:7" x14ac:dyDescent="0.25">
      <c r="B11" t="s">
        <v>90</v>
      </c>
      <c r="C11" t="s">
        <v>10</v>
      </c>
      <c r="F11" s="131">
        <v>0.9</v>
      </c>
    </row>
    <row r="12" spans="2:7" x14ac:dyDescent="0.25">
      <c r="B12" t="s">
        <v>11</v>
      </c>
      <c r="C12" t="s">
        <v>12</v>
      </c>
      <c r="F12" s="131">
        <v>0.9</v>
      </c>
    </row>
    <row r="13" spans="2:7" x14ac:dyDescent="0.25">
      <c r="B13" t="s">
        <v>91</v>
      </c>
      <c r="C13" t="s">
        <v>80</v>
      </c>
      <c r="F13" s="131">
        <v>0.9</v>
      </c>
    </row>
    <row r="16" spans="2:7" x14ac:dyDescent="0.25">
      <c r="B16" s="36" t="s">
        <v>93</v>
      </c>
      <c r="G16" s="42"/>
    </row>
    <row r="17" spans="2:7" x14ac:dyDescent="0.25">
      <c r="B17" t="s">
        <v>5</v>
      </c>
      <c r="C17" t="s">
        <v>81</v>
      </c>
      <c r="F17" s="132">
        <v>73</v>
      </c>
      <c r="G17" s="46"/>
    </row>
    <row r="18" spans="2:7" x14ac:dyDescent="0.25">
      <c r="B18" t="s">
        <v>7</v>
      </c>
      <c r="C18" t="s">
        <v>82</v>
      </c>
      <c r="F18" s="132">
        <v>71</v>
      </c>
      <c r="G18" s="46"/>
    </row>
    <row r="19" spans="2:7" x14ac:dyDescent="0.25">
      <c r="B19" t="s">
        <v>90</v>
      </c>
      <c r="C19" t="s">
        <v>10</v>
      </c>
      <c r="F19" s="132">
        <v>176</v>
      </c>
      <c r="G19" s="46"/>
    </row>
    <row r="20" spans="2:7" x14ac:dyDescent="0.25">
      <c r="B20" t="s">
        <v>11</v>
      </c>
      <c r="C20" t="s">
        <v>12</v>
      </c>
      <c r="F20" s="132">
        <v>809</v>
      </c>
      <c r="G20" s="46"/>
    </row>
    <row r="21" spans="2:7" x14ac:dyDescent="0.25">
      <c r="B21" t="s">
        <v>91</v>
      </c>
      <c r="C21" t="s">
        <v>80</v>
      </c>
      <c r="F21" s="132">
        <v>2182</v>
      </c>
      <c r="G21" s="46"/>
    </row>
    <row r="22" spans="2:7" x14ac:dyDescent="0.25">
      <c r="F22" s="44">
        <f>SUM(F17:F21)</f>
        <v>3311</v>
      </c>
    </row>
  </sheetData>
  <mergeCells count="1">
    <mergeCell ref="C8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E9B68-B0F6-4A45-871E-F509E0623825}">
  <sheetPr>
    <tabColor theme="5"/>
  </sheetPr>
  <dimension ref="B2:AA69"/>
  <sheetViews>
    <sheetView showGridLines="0" tabSelected="1" topLeftCell="B42" workbookViewId="0">
      <selection activeCell="T55" sqref="T55"/>
    </sheetView>
  </sheetViews>
  <sheetFormatPr defaultColWidth="15.85546875" defaultRowHeight="15" x14ac:dyDescent="0.25"/>
  <cols>
    <col min="1" max="1" width="4.7109375" customWidth="1"/>
    <col min="2" max="2" width="26.7109375" style="40" customWidth="1"/>
    <col min="3" max="3" width="13.42578125" customWidth="1"/>
    <col min="4" max="4" width="12.140625" bestFit="1" customWidth="1"/>
    <col min="5" max="5" width="9" bestFit="1" customWidth="1"/>
    <col min="6" max="7" width="9.5703125" customWidth="1"/>
    <col min="8" max="8" width="8" bestFit="1" customWidth="1"/>
    <col min="9" max="10" width="9.5703125" customWidth="1"/>
    <col min="11" max="11" width="10.28515625" bestFit="1" customWidth="1"/>
    <col min="12" max="12" width="9.5703125" customWidth="1"/>
    <col min="13" max="13" width="10.85546875" bestFit="1" customWidth="1"/>
    <col min="14" max="25" width="9.5703125" customWidth="1"/>
    <col min="26" max="26" width="8.42578125" customWidth="1"/>
  </cols>
  <sheetData>
    <row r="2" spans="2:27" x14ac:dyDescent="0.25">
      <c r="B2" s="306" t="s">
        <v>96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</row>
    <row r="4" spans="2:27" x14ac:dyDescent="0.25">
      <c r="C4" s="5" t="s">
        <v>0</v>
      </c>
      <c r="D4" s="129">
        <f>Inputs!C4</f>
        <v>3.5936371883276461E-2</v>
      </c>
      <c r="H4" s="34"/>
      <c r="I4" s="34"/>
    </row>
    <row r="5" spans="2:27" x14ac:dyDescent="0.25">
      <c r="C5" s="5" t="s">
        <v>25</v>
      </c>
      <c r="D5" s="130">
        <f>Inputs!C5</f>
        <v>50</v>
      </c>
      <c r="H5" s="58"/>
    </row>
    <row r="6" spans="2:27" x14ac:dyDescent="0.25">
      <c r="D6" s="5"/>
    </row>
    <row r="8" spans="2:27" x14ac:dyDescent="0.25">
      <c r="B8" s="40" t="s">
        <v>100</v>
      </c>
      <c r="G8" s="160" t="s">
        <v>117</v>
      </c>
      <c r="H8" s="160" t="s">
        <v>118</v>
      </c>
      <c r="I8" s="160" t="s">
        <v>119</v>
      </c>
      <c r="J8" s="160" t="s">
        <v>120</v>
      </c>
      <c r="K8" s="160" t="s">
        <v>121</v>
      </c>
      <c r="L8" s="160" t="s">
        <v>122</v>
      </c>
      <c r="M8" s="160" t="s">
        <v>123</v>
      </c>
      <c r="N8" s="160" t="s">
        <v>124</v>
      </c>
      <c r="O8" s="160" t="s">
        <v>125</v>
      </c>
      <c r="P8" s="160" t="s">
        <v>126</v>
      </c>
      <c r="Q8" s="160" t="s">
        <v>127</v>
      </c>
      <c r="R8" s="160" t="s">
        <v>128</v>
      </c>
      <c r="S8" s="160" t="s">
        <v>129</v>
      </c>
      <c r="T8" s="160" t="s">
        <v>130</v>
      </c>
      <c r="U8" s="160" t="s">
        <v>131</v>
      </c>
      <c r="V8" s="160" t="s">
        <v>132</v>
      </c>
      <c r="W8" s="160" t="s">
        <v>133</v>
      </c>
      <c r="X8" s="160" t="s">
        <v>134</v>
      </c>
      <c r="Y8" s="160" t="s">
        <v>135</v>
      </c>
      <c r="Z8" s="160" t="s">
        <v>136</v>
      </c>
    </row>
    <row r="9" spans="2:27" x14ac:dyDescent="0.25">
      <c r="B9" s="41"/>
      <c r="C9" t="s">
        <v>5</v>
      </c>
      <c r="F9" s="32"/>
      <c r="G9" s="32">
        <f>'Demand Summary'!F29</f>
        <v>2.1967229508373691</v>
      </c>
      <c r="H9" s="32">
        <f>'Demand Summary'!G29</f>
        <v>1.2017495547038237</v>
      </c>
      <c r="I9" s="32">
        <f>'Demand Summary'!H29</f>
        <v>1.930999289539983</v>
      </c>
      <c r="J9" s="32">
        <f>'Demand Summary'!I29</f>
        <v>1.1524972436452003</v>
      </c>
      <c r="K9" s="32">
        <f>'Demand Summary'!J29</f>
        <v>0.54882303537475252</v>
      </c>
      <c r="L9" s="32">
        <f>'Demand Summary'!K29</f>
        <v>1.4122177723068035</v>
      </c>
      <c r="M9" s="32">
        <f>'Demand Summary'!L29</f>
        <v>1.4366859602019701</v>
      </c>
      <c r="N9" s="32">
        <f>'Demand Summary'!M29</f>
        <v>0.8943937811326208</v>
      </c>
      <c r="O9" s="32">
        <f>'Demand Summary'!N29</f>
        <v>1.2539761078890308</v>
      </c>
      <c r="P9" s="32">
        <f>'Demand Summary'!O29</f>
        <v>1.4160206904489598</v>
      </c>
      <c r="Q9" s="32">
        <f>'Demand Summary'!P29</f>
        <v>1.5481585734085854</v>
      </c>
      <c r="R9" s="32">
        <f>'Demand Summary'!Q29</f>
        <v>1.7878783688393156</v>
      </c>
      <c r="S9" s="32">
        <f>'Demand Summary'!R29</f>
        <v>1.9436709312111446</v>
      </c>
      <c r="T9" s="32">
        <f>'Demand Summary'!S29</f>
        <v>1.5313892607210562</v>
      </c>
      <c r="U9" s="32">
        <f>'Demand Summary'!T29</f>
        <v>2.4214584238556824</v>
      </c>
      <c r="V9" s="32">
        <f>'Demand Summary'!U29</f>
        <v>1.1315711076666872</v>
      </c>
      <c r="W9" s="32">
        <f>'Demand Summary'!V29</f>
        <v>1.9401310018973703</v>
      </c>
      <c r="X9" s="32">
        <f>'Demand Summary'!W29</f>
        <v>1.7660344844830007</v>
      </c>
      <c r="Y9" s="32">
        <f>'Demand Summary'!X29</f>
        <v>1.8389702951575657</v>
      </c>
      <c r="Z9" s="32">
        <f>'Demand Summary'!Y29</f>
        <v>0.99624763504255043</v>
      </c>
    </row>
    <row r="10" spans="2:27" x14ac:dyDescent="0.25">
      <c r="B10" s="41"/>
      <c r="C10" t="s">
        <v>7</v>
      </c>
      <c r="F10" s="32"/>
      <c r="G10" s="32">
        <f>'Demand Summary'!F30</f>
        <v>2.136538760403468</v>
      </c>
      <c r="H10" s="32">
        <f>'Demand Summary'!G30</f>
        <v>1.1688249093694623</v>
      </c>
      <c r="I10" s="32">
        <f>'Demand Summary'!H30</f>
        <v>1.8780951994156112</v>
      </c>
      <c r="J10" s="32">
        <f>'Demand Summary'!I30</f>
        <v>1.1209219766960103</v>
      </c>
      <c r="K10" s="32">
        <f>'Demand Summary'!J30</f>
        <v>0.5337867878302518</v>
      </c>
      <c r="L10" s="32">
        <f>'Demand Summary'!K30</f>
        <v>1.3735268744353704</v>
      </c>
      <c r="M10" s="32">
        <f>'Demand Summary'!L30</f>
        <v>1.3973247010183485</v>
      </c>
      <c r="N10" s="32">
        <f>'Demand Summary'!M30</f>
        <v>0.86988984192350927</v>
      </c>
      <c r="O10" s="32">
        <f>'Demand Summary'!N30</f>
        <v>1.2196205980838499</v>
      </c>
      <c r="P10" s="32">
        <f>'Demand Summary'!O30</f>
        <v>1.3772256030394061</v>
      </c>
      <c r="Q10" s="32">
        <f>'Demand Summary'!P30</f>
        <v>1.5057432700275371</v>
      </c>
      <c r="R10" s="32">
        <f>'Demand Summary'!Q30</f>
        <v>1.7388953998300138</v>
      </c>
      <c r="S10" s="32">
        <f>'Demand Summary'!R30</f>
        <v>1.8904196728218068</v>
      </c>
      <c r="T10" s="32">
        <f>'Demand Summary'!S30</f>
        <v>1.4894333905643009</v>
      </c>
      <c r="U10" s="32">
        <f>'Demand Summary'!T30</f>
        <v>2.3551170971747126</v>
      </c>
      <c r="V10" s="32">
        <f>'Demand Summary'!U30</f>
        <v>1.1005691595114371</v>
      </c>
      <c r="W10" s="32">
        <f>'Demand Summary'!V30</f>
        <v>1.8869767278727778</v>
      </c>
      <c r="X10" s="32">
        <f>'Demand Summary'!W30</f>
        <v>1.7176499780588017</v>
      </c>
      <c r="Y10" s="32">
        <f>'Demand Summary'!X30</f>
        <v>1.7885875473450454</v>
      </c>
      <c r="Z10" s="32">
        <f>'Demand Summary'!Y30</f>
        <v>0.96895317928795066</v>
      </c>
    </row>
    <row r="11" spans="2:27" x14ac:dyDescent="0.25">
      <c r="B11" s="41"/>
      <c r="C11" t="s">
        <v>90</v>
      </c>
      <c r="F11" s="32"/>
      <c r="G11" s="32">
        <f>'Demand Summary'!F31</f>
        <v>5.2962087581832122</v>
      </c>
      <c r="H11" s="32">
        <f>'Demand Summary'!G31</f>
        <v>2.8973687894229272</v>
      </c>
      <c r="I11" s="32">
        <f>'Demand Summary'!H31</f>
        <v>4.6555599309457421</v>
      </c>
      <c r="J11" s="32">
        <f>'Demand Summary'!I31</f>
        <v>2.7786234915281227</v>
      </c>
      <c r="K11" s="32">
        <f>'Demand Summary'!J31</f>
        <v>1.3231897839172291</v>
      </c>
      <c r="L11" s="32">
        <f>'Demand Summary'!K31</f>
        <v>3.4047990126848902</v>
      </c>
      <c r="M11" s="32">
        <f>'Demand Summary'!L31</f>
        <v>3.4637908081581656</v>
      </c>
      <c r="N11" s="32">
        <f>'Demand Summary'!M31</f>
        <v>2.1563466504019289</v>
      </c>
      <c r="O11" s="32">
        <f>'Demand Summary'!N31</f>
        <v>3.0232848628557463</v>
      </c>
      <c r="P11" s="32">
        <f>'Demand Summary'!O31</f>
        <v>3.4139676920413535</v>
      </c>
      <c r="Q11" s="32">
        <f>'Demand Summary'!P31</f>
        <v>3.7325466975330244</v>
      </c>
      <c r="R11" s="32">
        <f>'Demand Summary'!Q31</f>
        <v>4.3105012728180725</v>
      </c>
      <c r="S11" s="32">
        <f>'Demand Summary'!R31</f>
        <v>4.6861107382624994</v>
      </c>
      <c r="T11" s="32">
        <f>'Demand Summary'!S31</f>
        <v>3.6921165737932142</v>
      </c>
      <c r="U11" s="32">
        <f>'Demand Summary'!T31</f>
        <v>5.8380367479260542</v>
      </c>
      <c r="V11" s="32">
        <f>'Demand Summary'!U31</f>
        <v>2.7281714376621267</v>
      </c>
      <c r="W11" s="32">
        <f>'Demand Summary'!V31</f>
        <v>4.6775761141635144</v>
      </c>
      <c r="X11" s="32">
        <f>'Demand Summary'!W31</f>
        <v>4.257836565328887</v>
      </c>
      <c r="Y11" s="32">
        <f>'Demand Summary'!X31</f>
        <v>4.4336818075031772</v>
      </c>
      <c r="Z11" s="32">
        <f>'Demand Summary'!Y31</f>
        <v>2.4019121064039552</v>
      </c>
    </row>
    <row r="12" spans="2:27" x14ac:dyDescent="0.25">
      <c r="B12" s="41"/>
      <c r="C12" t="s">
        <v>11</v>
      </c>
      <c r="F12" s="32"/>
      <c r="G12" s="32">
        <f>'Demand Summary'!F32</f>
        <v>24.344505030512664</v>
      </c>
      <c r="H12" s="32">
        <f>'Demand Summary'!G32</f>
        <v>13.318019037745103</v>
      </c>
      <c r="I12" s="32">
        <f>'Demand Summary'!H32</f>
        <v>21.399704455313099</v>
      </c>
      <c r="J12" s="32">
        <f>'Demand Summary'!I32</f>
        <v>12.772195480944674</v>
      </c>
      <c r="K12" s="32">
        <f>'Demand Summary'!J32</f>
        <v>6.082162131755922</v>
      </c>
      <c r="L12" s="32">
        <f>'Demand Summary'!K32</f>
        <v>15.650468188989066</v>
      </c>
      <c r="M12" s="32">
        <f>'Demand Summary'!L32</f>
        <v>15.92162933977238</v>
      </c>
      <c r="N12" s="32">
        <f>'Demand Summary'!M32</f>
        <v>9.9118434100862487</v>
      </c>
      <c r="O12" s="32">
        <f>'Demand Summary'!N32</f>
        <v>13.896803716194768</v>
      </c>
      <c r="P12" s="32">
        <f>'Demand Summary'!O32</f>
        <v>15.692612857167319</v>
      </c>
      <c r="Q12" s="32">
        <f>'Demand Summary'!P32</f>
        <v>17.156990217637599</v>
      </c>
      <c r="R12" s="32">
        <f>'Demand Summary'!Q32</f>
        <v>19.81361096426042</v>
      </c>
      <c r="S12" s="32">
        <f>'Demand Summary'!R32</f>
        <v>21.540134018490676</v>
      </c>
      <c r="T12" s="32">
        <f>'Demand Summary'!S32</f>
        <v>16.971149478401799</v>
      </c>
      <c r="U12" s="32">
        <f>'Demand Summary'!T32</f>
        <v>26.835066642455558</v>
      </c>
      <c r="V12" s="32">
        <f>'Demand Summary'!U32</f>
        <v>12.540288028799068</v>
      </c>
      <c r="W12" s="32">
        <f>'Demand Summary'!V32</f>
        <v>21.500903842944808</v>
      </c>
      <c r="X12" s="32">
        <f>'Demand Summary'!W32</f>
        <v>19.571532848585548</v>
      </c>
      <c r="Y12" s="32">
        <f>'Demand Summary'!X32</f>
        <v>20.379821490171025</v>
      </c>
      <c r="Z12" s="32">
        <f>'Demand Summary'!Y32</f>
        <v>11.04060735273174</v>
      </c>
    </row>
    <row r="13" spans="2:27" x14ac:dyDescent="0.25">
      <c r="B13" s="41"/>
      <c r="C13" t="s">
        <v>91</v>
      </c>
      <c r="F13" s="32"/>
      <c r="G13" s="32">
        <f>'Demand Summary'!F33</f>
        <v>65.660951763385583</v>
      </c>
      <c r="H13" s="32">
        <f>'Demand Summary'!G33</f>
        <v>35.920788059777351</v>
      </c>
      <c r="I13" s="32">
        <f>'Demand Summary'!H33</f>
        <v>57.718362325701946</v>
      </c>
      <c r="J13" s="32">
        <f>'Demand Summary'!I33</f>
        <v>34.448616241559193</v>
      </c>
      <c r="K13" s="32">
        <f>'Demand Summary'!J33</f>
        <v>16.404546071064487</v>
      </c>
      <c r="L13" s="32">
        <f>'Demand Summary'!K33</f>
        <v>42.211769577718769</v>
      </c>
      <c r="M13" s="32">
        <f>'Demand Summary'!L33</f>
        <v>42.943133769324049</v>
      </c>
      <c r="N13" s="32">
        <f>'Demand Summary'!M33</f>
        <v>26.73379767714232</v>
      </c>
      <c r="O13" s="32">
        <f>'Demand Summary'!N33</f>
        <v>37.481861197450144</v>
      </c>
      <c r="P13" s="32">
        <f>'Demand Summary'!O33</f>
        <v>42.325440363830694</v>
      </c>
      <c r="Q13" s="32">
        <f>'Demand Summary'!P33</f>
        <v>46.275095988733483</v>
      </c>
      <c r="R13" s="32">
        <f>'Demand Summary'!Q33</f>
        <v>53.440419189142176</v>
      </c>
      <c r="S13" s="32">
        <f>'Demand Summary'!R33</f>
        <v>58.097122902777301</v>
      </c>
      <c r="T13" s="32">
        <f>'Demand Summary'!S33</f>
        <v>45.773854341004608</v>
      </c>
      <c r="U13" s="32">
        <f>'Demand Summary'!T33</f>
        <v>72.378387408946764</v>
      </c>
      <c r="V13" s="32">
        <f>'Demand Summary'!U33</f>
        <v>33.823125437379076</v>
      </c>
      <c r="W13" s="32">
        <f>'Demand Summary'!V33</f>
        <v>57.991312960823052</v>
      </c>
      <c r="X13" s="32">
        <f>'Demand Summary'!W33</f>
        <v>52.787496508793083</v>
      </c>
      <c r="Y13" s="32">
        <f>'Demand Summary'!X33</f>
        <v>54.96757786347689</v>
      </c>
      <c r="Z13" s="32">
        <f>'Demand Summary'!Y33</f>
        <v>29.778251228258341</v>
      </c>
    </row>
    <row r="14" spans="2:27" x14ac:dyDescent="0.25">
      <c r="C14" s="31"/>
      <c r="F14" s="32"/>
      <c r="G14" s="33">
        <f>SUM(G9:G13)</f>
        <v>99.634927263322297</v>
      </c>
      <c r="H14" s="33">
        <f t="shared" ref="H14:Y14" si="0">SUM(H9:H13)</f>
        <v>54.506750351018667</v>
      </c>
      <c r="I14" s="33">
        <f t="shared" si="0"/>
        <v>87.582721200916382</v>
      </c>
      <c r="J14" s="33">
        <f t="shared" si="0"/>
        <v>52.272854434373201</v>
      </c>
      <c r="K14" s="33">
        <f t="shared" si="0"/>
        <v>24.892507809942643</v>
      </c>
      <c r="L14" s="33">
        <f t="shared" si="0"/>
        <v>64.052781426134899</v>
      </c>
      <c r="M14" s="33">
        <f t="shared" si="0"/>
        <v>65.162564578474914</v>
      </c>
      <c r="N14" s="33">
        <f t="shared" si="0"/>
        <v>40.566271360686628</v>
      </c>
      <c r="O14" s="33">
        <f t="shared" si="0"/>
        <v>56.875546482473538</v>
      </c>
      <c r="P14" s="33">
        <f t="shared" si="0"/>
        <v>64.225267206527732</v>
      </c>
      <c r="Q14" s="33">
        <f t="shared" si="0"/>
        <v>70.218534747340229</v>
      </c>
      <c r="R14" s="33">
        <f t="shared" si="0"/>
        <v>81.091305194889998</v>
      </c>
      <c r="S14" s="33">
        <f t="shared" si="0"/>
        <v>88.157458263563427</v>
      </c>
      <c r="T14" s="33">
        <f t="shared" si="0"/>
        <v>69.457943044484978</v>
      </c>
      <c r="U14" s="33">
        <f t="shared" si="0"/>
        <v>109.82806632035877</v>
      </c>
      <c r="V14" s="33">
        <f t="shared" si="0"/>
        <v>51.323725171018395</v>
      </c>
      <c r="W14" s="33">
        <f t="shared" si="0"/>
        <v>87.996900647701523</v>
      </c>
      <c r="X14" s="33">
        <f t="shared" si="0"/>
        <v>80.100550385249321</v>
      </c>
      <c r="Y14" s="33">
        <f t="shared" si="0"/>
        <v>83.408639003653704</v>
      </c>
      <c r="Z14" s="33">
        <f t="shared" ref="Z14" si="1">SUM(Z9:Z13)</f>
        <v>45.185971501724538</v>
      </c>
      <c r="AA14" s="32"/>
    </row>
    <row r="16" spans="2:27" ht="30" x14ac:dyDescent="0.25">
      <c r="B16" s="41" t="s">
        <v>101</v>
      </c>
      <c r="C16" t="s">
        <v>5</v>
      </c>
      <c r="G16" s="236">
        <f>'Augmentation Capex'!D52/1000000</f>
        <v>8.6415629729628058</v>
      </c>
      <c r="H16" s="236">
        <f>'Augmentation Capex'!E52/1000000</f>
        <v>8.1798065008375875</v>
      </c>
      <c r="I16" s="236">
        <f>'Augmentation Capex'!F52/1000000</f>
        <v>15.86914384129282</v>
      </c>
      <c r="J16" s="236">
        <f>'Augmentation Capex'!G52/1000000</f>
        <v>20.022968202017722</v>
      </c>
      <c r="K16" s="236">
        <f>'Augmentation Capex'!H52/1000000</f>
        <v>5.2784437091944749</v>
      </c>
      <c r="L16" s="236">
        <f>'Augmentation Capex'!I52/1000000</f>
        <v>13.724</v>
      </c>
      <c r="M16" s="236">
        <f>'Augmentation Capex'!J52/1000000</f>
        <v>13.998480000000001</v>
      </c>
      <c r="N16" s="236">
        <f>'Augmentation Capex'!K52/1000000</f>
        <v>14.2784496</v>
      </c>
      <c r="O16" s="236">
        <f>'Augmentation Capex'!L52/1000000</f>
        <v>14.564018592</v>
      </c>
      <c r="P16" s="236">
        <f>'Augmentation Capex'!M52/1000000</f>
        <v>14.855298963840003</v>
      </c>
      <c r="Q16" s="236">
        <f>'Augmentation Capex'!N52/1000000</f>
        <v>14.284049431168</v>
      </c>
      <c r="R16" s="236">
        <f>'Augmentation Capex'!O52/1000000</f>
        <v>14.284049431168</v>
      </c>
      <c r="S16" s="236">
        <f>'Augmentation Capex'!P52/1000000</f>
        <v>14.284049431168</v>
      </c>
      <c r="T16" s="236">
        <f>'Augmentation Capex'!Q52/1000000</f>
        <v>14.284049431168</v>
      </c>
      <c r="U16" s="236">
        <f>'Augmentation Capex'!R52/1000000</f>
        <v>14.284049431168</v>
      </c>
      <c r="V16" s="236">
        <f>'Augmentation Capex'!S52/1000000</f>
        <v>14.284049431168</v>
      </c>
      <c r="W16" s="236">
        <f>'Augmentation Capex'!T52/1000000</f>
        <v>14.284049431168</v>
      </c>
      <c r="X16" s="236">
        <f>'Augmentation Capex'!U52/1000000</f>
        <v>14.284049431168</v>
      </c>
      <c r="Y16" s="236">
        <f>'Augmentation Capex'!V52/1000000</f>
        <v>14.284049431168</v>
      </c>
      <c r="Z16" s="236">
        <f>'Augmentation Capex'!W52/1000000</f>
        <v>14.284049431168</v>
      </c>
    </row>
    <row r="17" spans="2:26" x14ac:dyDescent="0.25">
      <c r="C17" t="s">
        <v>7</v>
      </c>
      <c r="G17" s="236">
        <f>'Augmentation Capex'!D53/1000000</f>
        <v>23.114696321157496</v>
      </c>
      <c r="H17" s="236">
        <f>'Augmentation Capex'!E53/1000000</f>
        <v>27.861514527699661</v>
      </c>
      <c r="I17" s="236">
        <f>'Augmentation Capex'!F53/1000000</f>
        <v>20.123184014796585</v>
      </c>
      <c r="J17" s="236">
        <f>'Augmentation Capex'!G53/1000000</f>
        <v>23.940648152089647</v>
      </c>
      <c r="K17" s="236">
        <f>'Augmentation Capex'!H53/1000000</f>
        <v>43.13154287101915</v>
      </c>
      <c r="L17" s="236">
        <f>'Augmentation Capex'!I53/1000000</f>
        <v>34.4345</v>
      </c>
      <c r="M17" s="236">
        <f>'Augmentation Capex'!J53/1000000</f>
        <v>35.123190000000001</v>
      </c>
      <c r="N17" s="236">
        <f>'Augmentation Capex'!K53/1000000</f>
        <v>35.825653799999998</v>
      </c>
      <c r="O17" s="236">
        <f>'Augmentation Capex'!L53/1000000</f>
        <v>36.54216687600001</v>
      </c>
      <c r="P17" s="236">
        <f>'Augmentation Capex'!M53/1000000</f>
        <v>37.273010213519996</v>
      </c>
      <c r="Q17" s="236">
        <f>'Augmentation Capex'!N53/1000000</f>
        <v>35.839704177903997</v>
      </c>
      <c r="R17" s="236">
        <f>'Augmentation Capex'!O53/1000000</f>
        <v>35.839704177903997</v>
      </c>
      <c r="S17" s="236">
        <f>'Augmentation Capex'!P53/1000000</f>
        <v>35.839704177903997</v>
      </c>
      <c r="T17" s="236">
        <f>'Augmentation Capex'!Q53/1000000</f>
        <v>35.839704177903997</v>
      </c>
      <c r="U17" s="236">
        <f>'Augmentation Capex'!R53/1000000</f>
        <v>35.839704177903997</v>
      </c>
      <c r="V17" s="236">
        <f>'Augmentation Capex'!S53/1000000</f>
        <v>35.839704177903997</v>
      </c>
      <c r="W17" s="236">
        <f>'Augmentation Capex'!T53/1000000</f>
        <v>35.839704177903997</v>
      </c>
      <c r="X17" s="236">
        <f>'Augmentation Capex'!U53/1000000</f>
        <v>35.839704177903997</v>
      </c>
      <c r="Y17" s="236">
        <f>'Augmentation Capex'!V53/1000000</f>
        <v>35.839704177903997</v>
      </c>
      <c r="Z17" s="236">
        <f>'Augmentation Capex'!W53/1000000</f>
        <v>35.839704177903997</v>
      </c>
    </row>
    <row r="18" spans="2:26" x14ac:dyDescent="0.25">
      <c r="C18" t="s">
        <v>90</v>
      </c>
      <c r="G18" s="236">
        <f>'Augmentation Capex'!D54/1000000</f>
        <v>27.664373140244134</v>
      </c>
      <c r="H18" s="236">
        <f>'Augmentation Capex'!E54/1000000</f>
        <v>27.830694721545818</v>
      </c>
      <c r="I18" s="236">
        <f>'Augmentation Capex'!F54/1000000</f>
        <v>28.831318298948272</v>
      </c>
      <c r="J18" s="236">
        <f>'Augmentation Capex'!G54/1000000</f>
        <v>32.537790167827197</v>
      </c>
      <c r="K18" s="236">
        <f>'Augmentation Capex'!H54/1000000</f>
        <v>32.824989295012699</v>
      </c>
      <c r="L18" s="236">
        <f>'Augmentation Capex'!I54/1000000</f>
        <v>31.510300000000004</v>
      </c>
      <c r="M18" s="236">
        <f>'Augmentation Capex'!J54/1000000</f>
        <v>31.568880000000004</v>
      </c>
      <c r="N18" s="236">
        <f>'Augmentation Capex'!K54/1000000</f>
        <v>31.628631600000006</v>
      </c>
      <c r="O18" s="236">
        <f>'Augmentation Capex'!L54/1000000</f>
        <v>31.689578232000006</v>
      </c>
      <c r="P18" s="236">
        <f>'Augmentation Capex'!M54/1000000</f>
        <v>31.75174379664</v>
      </c>
      <c r="Q18" s="236">
        <f>'Augmentation Capex'!N54/1000000</f>
        <v>31.629826725728005</v>
      </c>
      <c r="R18" s="236">
        <f>'Augmentation Capex'!O54/1000000</f>
        <v>31.629826725728005</v>
      </c>
      <c r="S18" s="236">
        <f>'Augmentation Capex'!P54/1000000</f>
        <v>31.629826725728005</v>
      </c>
      <c r="T18" s="236">
        <f>'Augmentation Capex'!Q54/1000000</f>
        <v>31.629826725728005</v>
      </c>
      <c r="U18" s="236">
        <f>'Augmentation Capex'!R54/1000000</f>
        <v>31.629826725728005</v>
      </c>
      <c r="V18" s="236">
        <f>'Augmentation Capex'!S54/1000000</f>
        <v>31.629826725728005</v>
      </c>
      <c r="W18" s="236">
        <f>'Augmentation Capex'!T54/1000000</f>
        <v>31.629826725728005</v>
      </c>
      <c r="X18" s="236">
        <f>'Augmentation Capex'!U54/1000000</f>
        <v>31.629826725728005</v>
      </c>
      <c r="Y18" s="236">
        <f>'Augmentation Capex'!V54/1000000</f>
        <v>31.629826725728005</v>
      </c>
      <c r="Z18" s="236">
        <f>'Augmentation Capex'!W54/1000000</f>
        <v>31.629826725728005</v>
      </c>
    </row>
    <row r="19" spans="2:26" x14ac:dyDescent="0.25">
      <c r="C19" t="s">
        <v>11</v>
      </c>
      <c r="G19" s="236">
        <f>'Augmentation Capex'!D55/1000000</f>
        <v>14.471255430143128</v>
      </c>
      <c r="H19" s="236">
        <f>'Augmentation Capex'!E55/1000000</f>
        <v>15.037883432412352</v>
      </c>
      <c r="I19" s="236">
        <f>'Augmentation Capex'!F55/1000000</f>
        <v>15.627948640921801</v>
      </c>
      <c r="J19" s="236">
        <f>'Augmentation Capex'!G55/1000000</f>
        <v>16.069025356117692</v>
      </c>
      <c r="K19" s="236">
        <f>'Augmentation Capex'!H55/1000000</f>
        <v>16.125549943291603</v>
      </c>
      <c r="L19" s="236">
        <f>'Augmentation Capex'!I55/1000000</f>
        <v>15.549899999999999</v>
      </c>
      <c r="M19" s="236">
        <f>'Augmentation Capex'!J55/1000000</f>
        <v>15.601068</v>
      </c>
      <c r="N19" s="236">
        <f>'Augmentation Capex'!K55/1000000</f>
        <v>15.65325936</v>
      </c>
      <c r="O19" s="236">
        <f>'Augmentation Capex'!L55/1000000</f>
        <v>15.7064945472</v>
      </c>
      <c r="P19" s="236">
        <f>'Augmentation Capex'!M55/1000000</f>
        <v>15.760794438143998</v>
      </c>
      <c r="Q19" s="236">
        <f>'Augmentation Capex'!N55/1000000</f>
        <v>15.654303269068802</v>
      </c>
      <c r="R19" s="236">
        <f>'Augmentation Capex'!O55/1000000</f>
        <v>15.654303269068802</v>
      </c>
      <c r="S19" s="236">
        <f>'Augmentation Capex'!P55/1000000</f>
        <v>15.654303269068802</v>
      </c>
      <c r="T19" s="236">
        <f>'Augmentation Capex'!Q55/1000000</f>
        <v>15.654303269068802</v>
      </c>
      <c r="U19" s="236">
        <f>'Augmentation Capex'!R55/1000000</f>
        <v>15.654303269068802</v>
      </c>
      <c r="V19" s="236">
        <f>'Augmentation Capex'!S55/1000000</f>
        <v>15.654303269068802</v>
      </c>
      <c r="W19" s="236">
        <f>'Augmentation Capex'!T55/1000000</f>
        <v>15.654303269068802</v>
      </c>
      <c r="X19" s="236">
        <f>'Augmentation Capex'!U55/1000000</f>
        <v>15.654303269068802</v>
      </c>
      <c r="Y19" s="236">
        <f>'Augmentation Capex'!V55/1000000</f>
        <v>15.654303269068802</v>
      </c>
      <c r="Z19" s="236">
        <f>'Augmentation Capex'!W55/1000000</f>
        <v>15.654303269068802</v>
      </c>
    </row>
    <row r="20" spans="2:26" x14ac:dyDescent="0.25">
      <c r="C20" t="s">
        <v>91</v>
      </c>
      <c r="G20" s="236">
        <f>'Augmentation Capex'!D56/1000000</f>
        <v>8.7923466682820042</v>
      </c>
      <c r="H20" s="236">
        <f>'Augmentation Capex'!E56/1000000</f>
        <v>9.4441427765512618</v>
      </c>
      <c r="I20" s="236">
        <f>'Augmentation Capex'!F56/1000000</f>
        <v>9.7510204943195333</v>
      </c>
      <c r="J20" s="236">
        <f>'Augmentation Capex'!G56/1000000</f>
        <v>9.9395763852840044</v>
      </c>
      <c r="K20" s="236">
        <f>'Augmentation Capex'!H56/1000000</f>
        <v>10.07882245390377</v>
      </c>
      <c r="L20" s="236">
        <f>'Augmentation Capex'!I56/1000000</f>
        <v>9.7667999999999999</v>
      </c>
      <c r="M20" s="236">
        <f>'Augmentation Capex'!J56/1000000</f>
        <v>9.8582040000000024</v>
      </c>
      <c r="N20" s="236">
        <f>'Augmentation Capex'!K56/1000000</f>
        <v>9.9514360800000006</v>
      </c>
      <c r="O20" s="236">
        <f>'Augmentation Capex'!L56/1000000</f>
        <v>10.0465328016</v>
      </c>
      <c r="P20" s="236">
        <f>'Augmentation Capex'!M56/1000000</f>
        <v>10.143531457632001</v>
      </c>
      <c r="Q20" s="236">
        <f>'Augmentation Capex'!N56/1000000</f>
        <v>9.9533008678463997</v>
      </c>
      <c r="R20" s="236">
        <f>'Augmentation Capex'!O56/1000000</f>
        <v>9.9533008678463997</v>
      </c>
      <c r="S20" s="236">
        <f>'Augmentation Capex'!P56/1000000</f>
        <v>9.9533008678463997</v>
      </c>
      <c r="T20" s="236">
        <f>'Augmentation Capex'!Q56/1000000</f>
        <v>9.9533008678463997</v>
      </c>
      <c r="U20" s="236">
        <f>'Augmentation Capex'!R56/1000000</f>
        <v>9.9533008678463997</v>
      </c>
      <c r="V20" s="236">
        <f>'Augmentation Capex'!S56/1000000</f>
        <v>9.9533008678463997</v>
      </c>
      <c r="W20" s="236">
        <f>'Augmentation Capex'!T56/1000000</f>
        <v>9.9533008678463997</v>
      </c>
      <c r="X20" s="236">
        <f>'Augmentation Capex'!U56/1000000</f>
        <v>9.9533008678463997</v>
      </c>
      <c r="Y20" s="236">
        <f>'Augmentation Capex'!V56/1000000</f>
        <v>9.9533008678463997</v>
      </c>
      <c r="Z20" s="236">
        <f>'Augmentation Capex'!W56/1000000</f>
        <v>9.9533008678463997</v>
      </c>
    </row>
    <row r="21" spans="2:26" x14ac:dyDescent="0.25">
      <c r="G21" s="237">
        <f>SUM(G16:G20)</f>
        <v>82.684234532789574</v>
      </c>
      <c r="H21" s="237">
        <f t="shared" ref="H21:Z21" si="2">SUM(H16:H20)</f>
        <v>88.354041959046683</v>
      </c>
      <c r="I21" s="237">
        <f t="shared" si="2"/>
        <v>90.202615290279013</v>
      </c>
      <c r="J21" s="237">
        <f t="shared" si="2"/>
        <v>102.51000826333626</v>
      </c>
      <c r="K21" s="237">
        <f t="shared" si="2"/>
        <v>107.4393482724217</v>
      </c>
      <c r="L21" s="237">
        <f t="shared" si="2"/>
        <v>104.9855</v>
      </c>
      <c r="M21" s="237">
        <f t="shared" si="2"/>
        <v>106.149822</v>
      </c>
      <c r="N21" s="237">
        <f t="shared" si="2"/>
        <v>107.33743044000002</v>
      </c>
      <c r="O21" s="237">
        <f t="shared" si="2"/>
        <v>108.5487910488</v>
      </c>
      <c r="P21" s="237">
        <f t="shared" si="2"/>
        <v>109.78437886977599</v>
      </c>
      <c r="Q21" s="237">
        <f t="shared" si="2"/>
        <v>107.36118447171521</v>
      </c>
      <c r="R21" s="237">
        <f t="shared" si="2"/>
        <v>107.36118447171521</v>
      </c>
      <c r="S21" s="237">
        <f t="shared" si="2"/>
        <v>107.36118447171521</v>
      </c>
      <c r="T21" s="237">
        <f t="shared" si="2"/>
        <v>107.36118447171521</v>
      </c>
      <c r="U21" s="237">
        <f t="shared" si="2"/>
        <v>107.36118447171521</v>
      </c>
      <c r="V21" s="237">
        <f t="shared" si="2"/>
        <v>107.36118447171521</v>
      </c>
      <c r="W21" s="237">
        <f t="shared" si="2"/>
        <v>107.36118447171521</v>
      </c>
      <c r="X21" s="237">
        <f t="shared" si="2"/>
        <v>107.36118447171521</v>
      </c>
      <c r="Y21" s="237">
        <f t="shared" si="2"/>
        <v>107.36118447171521</v>
      </c>
      <c r="Z21" s="237">
        <f t="shared" si="2"/>
        <v>107.36118447171521</v>
      </c>
    </row>
    <row r="23" spans="2:26" ht="30" x14ac:dyDescent="0.25">
      <c r="B23" s="41" t="s">
        <v>102</v>
      </c>
      <c r="C23" t="s">
        <v>5</v>
      </c>
      <c r="G23" s="236">
        <f>-PMT($D$4,$D$5,G16)</f>
        <v>0.37466591897020418</v>
      </c>
      <c r="H23" s="236">
        <f>-PMT($D$4,$D$5,H16)</f>
        <v>0.35464588167943628</v>
      </c>
      <c r="I23" s="236">
        <f>-PMT($D$4,$D$5,I16)</f>
        <v>0.68802685106509631</v>
      </c>
      <c r="J23" s="236">
        <f>-PMT($D$4,$D$5,J16)</f>
        <v>0.8681211726850464</v>
      </c>
      <c r="K23" s="236">
        <f t="shared" ref="K23:Y23" si="3">-PMT($D$4,$D$5,K16)</f>
        <v>0.22885361933083181</v>
      </c>
      <c r="L23" s="236">
        <f t="shared" si="3"/>
        <v>0.59502142008740688</v>
      </c>
      <c r="M23" s="236">
        <f t="shared" si="3"/>
        <v>0.60692184848915498</v>
      </c>
      <c r="N23" s="236">
        <f t="shared" si="3"/>
        <v>0.6190602854589381</v>
      </c>
      <c r="O23" s="236">
        <f t="shared" si="3"/>
        <v>0.63144149116811688</v>
      </c>
      <c r="P23" s="236">
        <f t="shared" si="3"/>
        <v>0.64407032099147943</v>
      </c>
      <c r="Q23" s="236">
        <f t="shared" si="3"/>
        <v>0.61930307323901912</v>
      </c>
      <c r="R23" s="236">
        <f t="shared" si="3"/>
        <v>0.61930307323901912</v>
      </c>
      <c r="S23" s="236">
        <f t="shared" si="3"/>
        <v>0.61930307323901912</v>
      </c>
      <c r="T23" s="236">
        <f t="shared" si="3"/>
        <v>0.61930307323901912</v>
      </c>
      <c r="U23" s="236">
        <f t="shared" si="3"/>
        <v>0.61930307323901912</v>
      </c>
      <c r="V23" s="236">
        <f t="shared" si="3"/>
        <v>0.61930307323901912</v>
      </c>
      <c r="W23" s="236">
        <f t="shared" si="3"/>
        <v>0.61930307323901912</v>
      </c>
      <c r="X23" s="236">
        <f t="shared" si="3"/>
        <v>0.61930307323901912</v>
      </c>
      <c r="Y23" s="236">
        <f t="shared" si="3"/>
        <v>0.61930307323901912</v>
      </c>
      <c r="Z23" s="236">
        <f t="shared" ref="Z23" si="4">-PMT($D$4,$D$5,Z16)</f>
        <v>0.61930307323901912</v>
      </c>
    </row>
    <row r="24" spans="2:26" x14ac:dyDescent="0.25">
      <c r="C24" t="s">
        <v>7</v>
      </c>
      <c r="G24" s="236">
        <f>-PMT($D$4,$D$5,G17)</f>
        <v>1.0021669651635305</v>
      </c>
      <c r="H24" s="236">
        <f t="shared" ref="H24:Y24" si="5">-PMT($D$4,$D$5,H17)</f>
        <v>1.2079712868010617</v>
      </c>
      <c r="I24" s="236">
        <f t="shared" si="5"/>
        <v>0.87246615630752478</v>
      </c>
      <c r="J24" s="236">
        <f t="shared" si="5"/>
        <v>1.0379771539834839</v>
      </c>
      <c r="K24" s="236">
        <f t="shared" si="5"/>
        <v>1.8700227258579629</v>
      </c>
      <c r="L24" s="236">
        <f t="shared" si="5"/>
        <v>1.4929514055668764</v>
      </c>
      <c r="M24" s="236">
        <f t="shared" si="5"/>
        <v>1.522810433678214</v>
      </c>
      <c r="N24" s="236">
        <f t="shared" si="5"/>
        <v>1.5532666423517782</v>
      </c>
      <c r="O24" s="236">
        <f t="shared" si="5"/>
        <v>1.5843319751988143</v>
      </c>
      <c r="P24" s="236">
        <f t="shared" si="5"/>
        <v>1.61601861470279</v>
      </c>
      <c r="Q24" s="236">
        <f t="shared" si="5"/>
        <v>1.5538758142996945</v>
      </c>
      <c r="R24" s="236">
        <f t="shared" si="5"/>
        <v>1.5538758142996945</v>
      </c>
      <c r="S24" s="236">
        <f t="shared" si="5"/>
        <v>1.5538758142996945</v>
      </c>
      <c r="T24" s="236">
        <f t="shared" si="5"/>
        <v>1.5538758142996945</v>
      </c>
      <c r="U24" s="236">
        <f t="shared" si="5"/>
        <v>1.5538758142996945</v>
      </c>
      <c r="V24" s="236">
        <f t="shared" si="5"/>
        <v>1.5538758142996945</v>
      </c>
      <c r="W24" s="236">
        <f t="shared" si="5"/>
        <v>1.5538758142996945</v>
      </c>
      <c r="X24" s="236">
        <f t="shared" si="5"/>
        <v>1.5538758142996945</v>
      </c>
      <c r="Y24" s="236">
        <f t="shared" si="5"/>
        <v>1.5538758142996945</v>
      </c>
      <c r="Z24" s="236">
        <f t="shared" ref="Z24" si="6">-PMT($D$4,$D$5,Z17)</f>
        <v>1.5538758142996945</v>
      </c>
    </row>
    <row r="25" spans="2:26" x14ac:dyDescent="0.25">
      <c r="C25" t="s">
        <v>90</v>
      </c>
      <c r="G25" s="236">
        <f>-PMT($D$4,$D$5,G18)</f>
        <v>1.1994239720005815</v>
      </c>
      <c r="H25" s="236">
        <f t="shared" ref="H25:Y25" si="7">-PMT($D$4,$D$5,H18)</f>
        <v>1.2066350550301144</v>
      </c>
      <c r="I25" s="236">
        <f t="shared" si="7"/>
        <v>1.2500183588773128</v>
      </c>
      <c r="J25" s="236">
        <f t="shared" si="7"/>
        <v>1.4107171460337076</v>
      </c>
      <c r="K25" s="236">
        <f t="shared" si="7"/>
        <v>1.4231690283206344</v>
      </c>
      <c r="L25" s="236">
        <f t="shared" si="7"/>
        <v>1.3661690070956152</v>
      </c>
      <c r="M25" s="236">
        <f t="shared" si="7"/>
        <v>1.3687088172667545</v>
      </c>
      <c r="N25" s="236">
        <f t="shared" si="7"/>
        <v>1.371299423641317</v>
      </c>
      <c r="O25" s="236">
        <f t="shared" si="7"/>
        <v>1.3739418421433709</v>
      </c>
      <c r="P25" s="236">
        <f t="shared" si="7"/>
        <v>1.3766371090154652</v>
      </c>
      <c r="Q25" s="236">
        <f t="shared" si="7"/>
        <v>1.3713512398325045</v>
      </c>
      <c r="R25" s="236">
        <f t="shared" si="7"/>
        <v>1.3713512398325045</v>
      </c>
      <c r="S25" s="236">
        <f t="shared" si="7"/>
        <v>1.3713512398325045</v>
      </c>
      <c r="T25" s="236">
        <f t="shared" si="7"/>
        <v>1.3713512398325045</v>
      </c>
      <c r="U25" s="236">
        <f t="shared" si="7"/>
        <v>1.3713512398325045</v>
      </c>
      <c r="V25" s="236">
        <f t="shared" si="7"/>
        <v>1.3713512398325045</v>
      </c>
      <c r="W25" s="236">
        <f t="shared" si="7"/>
        <v>1.3713512398325045</v>
      </c>
      <c r="X25" s="236">
        <f t="shared" si="7"/>
        <v>1.3713512398325045</v>
      </c>
      <c r="Y25" s="236">
        <f t="shared" si="7"/>
        <v>1.3713512398325045</v>
      </c>
      <c r="Z25" s="236">
        <f t="shared" ref="Z25" si="8">-PMT($D$4,$D$5,Z18)</f>
        <v>1.3713512398325045</v>
      </c>
    </row>
    <row r="26" spans="2:26" x14ac:dyDescent="0.25">
      <c r="C26" t="s">
        <v>11</v>
      </c>
      <c r="G26" s="236">
        <f>-PMT($D$4,$D$5,G19)</f>
        <v>0.62741962667526685</v>
      </c>
      <c r="H26" s="236">
        <f t="shared" ref="H26:Y26" si="9">-PMT($D$4,$D$5,H19)</f>
        <v>0.65198650211766884</v>
      </c>
      <c r="I26" s="236">
        <f t="shared" si="9"/>
        <v>0.67756952735167231</v>
      </c>
      <c r="J26" s="236">
        <f t="shared" si="9"/>
        <v>0.69669296756176757</v>
      </c>
      <c r="K26" s="236">
        <f t="shared" si="9"/>
        <v>0.69914366270385986</v>
      </c>
      <c r="L26" s="236">
        <f t="shared" si="9"/>
        <v>0.67418562956988981</v>
      </c>
      <c r="M26" s="236">
        <f t="shared" si="9"/>
        <v>0.67640408308366373</v>
      </c>
      <c r="N26" s="236">
        <f t="shared" si="9"/>
        <v>0.67866690566771304</v>
      </c>
      <c r="O26" s="236">
        <f t="shared" si="9"/>
        <v>0.68097498470344342</v>
      </c>
      <c r="P26" s="236">
        <f t="shared" si="9"/>
        <v>0.68332922531988827</v>
      </c>
      <c r="Q26" s="236">
        <f t="shared" si="9"/>
        <v>0.67871216566891968</v>
      </c>
      <c r="R26" s="236">
        <f t="shared" si="9"/>
        <v>0.67871216566891968</v>
      </c>
      <c r="S26" s="236">
        <f t="shared" si="9"/>
        <v>0.67871216566891968</v>
      </c>
      <c r="T26" s="236">
        <f t="shared" si="9"/>
        <v>0.67871216566891968</v>
      </c>
      <c r="U26" s="236">
        <f t="shared" si="9"/>
        <v>0.67871216566891968</v>
      </c>
      <c r="V26" s="236">
        <f t="shared" si="9"/>
        <v>0.67871216566891968</v>
      </c>
      <c r="W26" s="236">
        <f t="shared" si="9"/>
        <v>0.67871216566891968</v>
      </c>
      <c r="X26" s="236">
        <f t="shared" si="9"/>
        <v>0.67871216566891968</v>
      </c>
      <c r="Y26" s="236">
        <f t="shared" si="9"/>
        <v>0.67871216566891968</v>
      </c>
      <c r="Z26" s="236">
        <f t="shared" ref="Z26" si="10">-PMT($D$4,$D$5,Z19)</f>
        <v>0.67871216566891968</v>
      </c>
    </row>
    <row r="27" spans="2:26" x14ac:dyDescent="0.25">
      <c r="C27" t="s">
        <v>91</v>
      </c>
      <c r="G27" s="236">
        <f>-PMT($D$4,$D$5,G20)</f>
        <v>0.38120333725312872</v>
      </c>
      <c r="H27" s="236">
        <f t="shared" ref="H27:Y27" si="11">-PMT($D$4,$D$5,H20)</f>
        <v>0.40946278391225283</v>
      </c>
      <c r="I27" s="236">
        <f t="shared" si="11"/>
        <v>0.42276785644355996</v>
      </c>
      <c r="J27" s="236">
        <f t="shared" si="11"/>
        <v>0.43094293615847734</v>
      </c>
      <c r="K27" s="236">
        <f t="shared" si="11"/>
        <v>0.43698012600777214</v>
      </c>
      <c r="L27" s="236">
        <f t="shared" si="11"/>
        <v>0.42345199691851398</v>
      </c>
      <c r="M27" s="236">
        <f t="shared" si="11"/>
        <v>0.42741493322583474</v>
      </c>
      <c r="N27" s="236">
        <f t="shared" si="11"/>
        <v>0.43145712825930177</v>
      </c>
      <c r="O27" s="236">
        <f t="shared" si="11"/>
        <v>0.43558016719343823</v>
      </c>
      <c r="P27" s="236">
        <f t="shared" si="11"/>
        <v>0.43978566690625742</v>
      </c>
      <c r="Q27" s="236">
        <f t="shared" si="11"/>
        <v>0.43153797850066916</v>
      </c>
      <c r="R27" s="236">
        <f t="shared" si="11"/>
        <v>0.43153797850066916</v>
      </c>
      <c r="S27" s="236">
        <f t="shared" si="11"/>
        <v>0.43153797850066916</v>
      </c>
      <c r="T27" s="236">
        <f t="shared" si="11"/>
        <v>0.43153797850066916</v>
      </c>
      <c r="U27" s="236">
        <f t="shared" si="11"/>
        <v>0.43153797850066916</v>
      </c>
      <c r="V27" s="236">
        <f t="shared" si="11"/>
        <v>0.43153797850066916</v>
      </c>
      <c r="W27" s="236">
        <f t="shared" si="11"/>
        <v>0.43153797850066916</v>
      </c>
      <c r="X27" s="236">
        <f t="shared" si="11"/>
        <v>0.43153797850066916</v>
      </c>
      <c r="Y27" s="236">
        <f t="shared" si="11"/>
        <v>0.43153797850066916</v>
      </c>
      <c r="Z27" s="236">
        <f t="shared" ref="Z27" si="12">-PMT($D$4,$D$5,Z20)</f>
        <v>0.43153797850066916</v>
      </c>
    </row>
    <row r="28" spans="2:26" x14ac:dyDescent="0.25">
      <c r="C28" s="31"/>
      <c r="G28" s="237">
        <f>SUM(G23:G27)</f>
        <v>3.5848798200627119</v>
      </c>
      <c r="H28" s="237">
        <f>SUM(H23:H27)</f>
        <v>3.8307015095405341</v>
      </c>
      <c r="I28" s="237">
        <f t="shared" ref="I28:Z28" si="13">SUM(I23:I27)</f>
        <v>3.9108487500451661</v>
      </c>
      <c r="J28" s="237">
        <f t="shared" si="13"/>
        <v>4.4444513764224833</v>
      </c>
      <c r="K28" s="237">
        <f t="shared" si="13"/>
        <v>4.6581691622210615</v>
      </c>
      <c r="L28" s="237">
        <f t="shared" si="13"/>
        <v>4.5517794592383023</v>
      </c>
      <c r="M28" s="237">
        <f t="shared" si="13"/>
        <v>4.602260115743622</v>
      </c>
      <c r="N28" s="237">
        <f t="shared" si="13"/>
        <v>4.6537503853790483</v>
      </c>
      <c r="O28" s="237">
        <f t="shared" si="13"/>
        <v>4.7062704604071843</v>
      </c>
      <c r="P28" s="237">
        <f t="shared" si="13"/>
        <v>4.7598409369358805</v>
      </c>
      <c r="Q28" s="237">
        <f t="shared" si="13"/>
        <v>4.6547802715408073</v>
      </c>
      <c r="R28" s="237">
        <f t="shared" si="13"/>
        <v>4.6547802715408073</v>
      </c>
      <c r="S28" s="237">
        <f t="shared" si="13"/>
        <v>4.6547802715408073</v>
      </c>
      <c r="T28" s="237">
        <f t="shared" si="13"/>
        <v>4.6547802715408073</v>
      </c>
      <c r="U28" s="237">
        <f t="shared" si="13"/>
        <v>4.6547802715408073</v>
      </c>
      <c r="V28" s="237">
        <f t="shared" si="13"/>
        <v>4.6547802715408073</v>
      </c>
      <c r="W28" s="237">
        <f t="shared" si="13"/>
        <v>4.6547802715408073</v>
      </c>
      <c r="X28" s="237">
        <f t="shared" si="13"/>
        <v>4.6547802715408073</v>
      </c>
      <c r="Y28" s="237">
        <f t="shared" si="13"/>
        <v>4.6547802715408073</v>
      </c>
      <c r="Z28" s="237">
        <f t="shared" si="13"/>
        <v>4.6547802715408073</v>
      </c>
    </row>
    <row r="30" spans="2:26" ht="30" x14ac:dyDescent="0.25">
      <c r="B30" s="40" t="s">
        <v>103</v>
      </c>
      <c r="C30" t="s">
        <v>5</v>
      </c>
      <c r="G30" s="236">
        <f>Opex!G25</f>
        <v>0</v>
      </c>
      <c r="H30" s="236">
        <f>Opex!H25</f>
        <v>4.1479502270221472E-2</v>
      </c>
      <c r="I30" s="236">
        <f>Opex!I25</f>
        <v>3.9263071204020422E-2</v>
      </c>
      <c r="J30" s="236">
        <f>Opex!J25</f>
        <v>7.6171890438205547E-2</v>
      </c>
      <c r="K30" s="236">
        <f>Opex!K25</f>
        <v>0.15832950077501726</v>
      </c>
      <c r="L30" s="236">
        <f>Opex!L25</f>
        <v>8.4231136610164112E-2</v>
      </c>
      <c r="M30" s="236">
        <f>Opex!M25</f>
        <v>0.18013303565730829</v>
      </c>
      <c r="N30" s="236">
        <f>Opex!N25</f>
        <v>0.21135807505452761</v>
      </c>
      <c r="O30" s="236">
        <f>Opex!O25</f>
        <v>0.10654135278620024</v>
      </c>
      <c r="P30" s="236">
        <f>Opex!P25</f>
        <v>0.16872008924160001</v>
      </c>
      <c r="Q30" s="236">
        <f>Opex!Q25</f>
        <v>0.17209449102643204</v>
      </c>
      <c r="R30" s="236">
        <f>Opex!R25</f>
        <v>0.17136827438960639</v>
      </c>
      <c r="S30" s="236">
        <f>Opex!S25</f>
        <v>0.1734243711320064</v>
      </c>
      <c r="T30" s="236">
        <f>Opex!T25</f>
        <v>0.17552158980925442</v>
      </c>
      <c r="U30" s="236">
        <f>Opex!U25</f>
        <v>0.17140859317401602</v>
      </c>
      <c r="V30" s="236">
        <f>Opex!V25</f>
        <v>0.17140859317401602</v>
      </c>
      <c r="W30" s="236">
        <f>Opex!W25</f>
        <v>0.17140859317401602</v>
      </c>
      <c r="X30" s="236">
        <f>Opex!X25</f>
        <v>0.17140859317401602</v>
      </c>
      <c r="Y30" s="236">
        <f>Opex!Y25</f>
        <v>0.17140859317401602</v>
      </c>
      <c r="Z30" s="236">
        <f>Opex!Z25</f>
        <v>0.17140859317401602</v>
      </c>
    </row>
    <row r="31" spans="2:26" x14ac:dyDescent="0.25">
      <c r="C31" t="s">
        <v>7</v>
      </c>
      <c r="G31" s="236">
        <f>Opex!G26</f>
        <v>0</v>
      </c>
      <c r="H31" s="236">
        <f>Opex!H26</f>
        <v>0.1277180849502699</v>
      </c>
      <c r="I31" s="236">
        <f>Opex!I26</f>
        <v>0.15131483221604339</v>
      </c>
      <c r="J31" s="236">
        <f>Opex!J26</f>
        <v>0.11754000562717763</v>
      </c>
      <c r="K31" s="236">
        <f>Opex!K26</f>
        <v>0.31841369833280958</v>
      </c>
      <c r="L31" s="236">
        <f>Opex!L26</f>
        <v>0.44529517649359551</v>
      </c>
      <c r="M31" s="236">
        <f>Opex!M26</f>
        <v>0.35292360844076642</v>
      </c>
      <c r="N31" s="236">
        <f>Opex!N26</f>
        <v>0.3704007283611071</v>
      </c>
      <c r="O31" s="236">
        <f>Opex!O26</f>
        <v>0.51123318169429555</v>
      </c>
      <c r="P31" s="236">
        <f>Opex!P26</f>
        <v>0.45234416522880011</v>
      </c>
      <c r="Q31" s="236">
        <f>Opex!Q26</f>
        <v>0.46139104853337598</v>
      </c>
      <c r="R31" s="236">
        <f>Opex!R26</f>
        <v>0.45944403760043517</v>
      </c>
      <c r="S31" s="236">
        <f>Opex!S26</f>
        <v>0.4649565012836353</v>
      </c>
      <c r="T31" s="236">
        <f>Opex!T26</f>
        <v>0.47057921424049914</v>
      </c>
      <c r="U31" s="236">
        <f>Opex!U26</f>
        <v>0.45955213360108793</v>
      </c>
      <c r="V31" s="236">
        <f>Opex!V26</f>
        <v>0.45955213360108793</v>
      </c>
      <c r="W31" s="236">
        <f>Opex!W26</f>
        <v>0.45955213360108793</v>
      </c>
      <c r="X31" s="236">
        <f>Opex!X26</f>
        <v>0.45955213360108793</v>
      </c>
      <c r="Y31" s="236">
        <f>Opex!Y26</f>
        <v>0.45955213360108793</v>
      </c>
      <c r="Z31" s="236">
        <f>Opex!Z26</f>
        <v>0.45955213360108793</v>
      </c>
    </row>
    <row r="32" spans="2:26" x14ac:dyDescent="0.25">
      <c r="C32" t="s">
        <v>90</v>
      </c>
      <c r="G32" s="236">
        <f>Opex!G27</f>
        <v>0</v>
      </c>
      <c r="H32" s="236">
        <f>Opex!H27</f>
        <v>0.22240243663221879</v>
      </c>
      <c r="I32" s="236">
        <f>Opex!I27</f>
        <v>0.22828375123195474</v>
      </c>
      <c r="J32" s="236">
        <f>Opex!J27</f>
        <v>0.23950383419869081</v>
      </c>
      <c r="K32" s="236">
        <f>Opex!K27</f>
        <v>0.60169590323138999</v>
      </c>
      <c r="L32" s="236">
        <f>Opex!L27</f>
        <v>0.61726556524468512</v>
      </c>
      <c r="M32" s="236">
        <f>Opex!M27</f>
        <v>0.62325767129803622</v>
      </c>
      <c r="N32" s="236">
        <f>Opex!N27</f>
        <v>0.6677619244245927</v>
      </c>
      <c r="O32" s="236">
        <f>Opex!O27</f>
        <v>0.6795375242351297</v>
      </c>
      <c r="P32" s="236">
        <f>Opex!P27</f>
        <v>0.66496764257280006</v>
      </c>
      <c r="Q32" s="236">
        <f>Opex!Q27</f>
        <v>0.66912097942425608</v>
      </c>
      <c r="R32" s="236">
        <f>Opex!R27</f>
        <v>0.66822712548741126</v>
      </c>
      <c r="S32" s="236">
        <f>Opex!S27</f>
        <v>0.67075784438661123</v>
      </c>
      <c r="T32" s="236">
        <f>Opex!T27</f>
        <v>0.67333917766379525</v>
      </c>
      <c r="U32" s="236">
        <f>Opex!U27</f>
        <v>0.66827675131852804</v>
      </c>
      <c r="V32" s="236">
        <f>Opex!V27</f>
        <v>0.66827675131852804</v>
      </c>
      <c r="W32" s="236">
        <f>Opex!W27</f>
        <v>0.66827675131852804</v>
      </c>
      <c r="X32" s="236">
        <f>Opex!X27</f>
        <v>0.66827675131852804</v>
      </c>
      <c r="Y32" s="236">
        <f>Opex!Y27</f>
        <v>0.66827675131852804</v>
      </c>
      <c r="Z32" s="236">
        <f>Opex!Z27</f>
        <v>0.66827675131852804</v>
      </c>
    </row>
    <row r="33" spans="2:27" x14ac:dyDescent="0.25">
      <c r="C33" t="s">
        <v>11</v>
      </c>
      <c r="G33" s="236">
        <f>Opex!G28</f>
        <v>0</v>
      </c>
      <c r="H33" s="236">
        <f>Opex!H28</f>
        <v>9.7796405548023171E-2</v>
      </c>
      <c r="I33" s="236">
        <f>Opex!I28</f>
        <v>0.10169647031867401</v>
      </c>
      <c r="J33" s="236">
        <f>Opex!J28</f>
        <v>0.10574575848711373</v>
      </c>
      <c r="K33" s="236">
        <f>Opex!K28</f>
        <v>0.2555405096971714</v>
      </c>
      <c r="L33" s="236">
        <f>Opex!L28</f>
        <v>0.26203299285545628</v>
      </c>
      <c r="M33" s="236">
        <f>Opex!M28</f>
        <v>0.26428199773067057</v>
      </c>
      <c r="N33" s="236">
        <f>Opex!N28</f>
        <v>0.26938256726270493</v>
      </c>
      <c r="O33" s="236">
        <f>Opex!O28</f>
        <v>0.27080550857016783</v>
      </c>
      <c r="P33" s="236">
        <f>Opex!P28</f>
        <v>0.26553666705408002</v>
      </c>
      <c r="Q33" s="236">
        <f>Opex!Q28</f>
        <v>0.2666901203951616</v>
      </c>
      <c r="R33" s="236">
        <f>Opex!R28</f>
        <v>0.2664418817266484</v>
      </c>
      <c r="S33" s="236">
        <f>Opex!S28</f>
        <v>0.26714470605176838</v>
      </c>
      <c r="T33" s="236">
        <f>Opex!T28</f>
        <v>0.26786158686339068</v>
      </c>
      <c r="U33" s="236">
        <f>Opex!U28</f>
        <v>0.26645566367662082</v>
      </c>
      <c r="V33" s="236">
        <f>Opex!V28</f>
        <v>0.26645566367662082</v>
      </c>
      <c r="W33" s="236">
        <f>Opex!W28</f>
        <v>0.26645566367662082</v>
      </c>
      <c r="X33" s="236">
        <f>Opex!X28</f>
        <v>0.26645566367662082</v>
      </c>
      <c r="Y33" s="236">
        <f>Opex!Y28</f>
        <v>0.26645566367662082</v>
      </c>
      <c r="Z33" s="236">
        <f>Opex!Z28</f>
        <v>0.26645566367662082</v>
      </c>
    </row>
    <row r="34" spans="2:27" x14ac:dyDescent="0.25">
      <c r="C34" t="s">
        <v>91</v>
      </c>
      <c r="G34" s="236">
        <f>Opex!G29</f>
        <v>0</v>
      </c>
      <c r="H34" s="236">
        <f>Opex!H29</f>
        <v>5.6271018677004833E-2</v>
      </c>
      <c r="I34" s="236">
        <f>Opex!I29</f>
        <v>6.0442513769928076E-2</v>
      </c>
      <c r="J34" s="236">
        <f>Opex!J29</f>
        <v>6.2406531163645015E-2</v>
      </c>
      <c r="K34" s="236">
        <f>Opex!K29</f>
        <v>0.14801981688132487</v>
      </c>
      <c r="L34" s="236">
        <f>Opex!L29</f>
        <v>0.15516823435987623</v>
      </c>
      <c r="M34" s="236">
        <f>Opex!M29</f>
        <v>0.15611731674546753</v>
      </c>
      <c r="N34" s="236">
        <f>Opex!N29</f>
        <v>0.15851243889872646</v>
      </c>
      <c r="O34" s="236">
        <f>Opex!O29</f>
        <v>0.16044588646947619</v>
      </c>
      <c r="P34" s="236">
        <f>Opex!P29</f>
        <v>0.15805908993024001</v>
      </c>
      <c r="Q34" s="236">
        <f>Opex!Q29</f>
        <v>0.15955735972884483</v>
      </c>
      <c r="R34" s="236">
        <f>Opex!R29</f>
        <v>0.15923491192221695</v>
      </c>
      <c r="S34" s="236">
        <f>Opex!S29</f>
        <v>0.16014784044957697</v>
      </c>
      <c r="T34" s="236">
        <f>Opex!T29</f>
        <v>0.16107902754748415</v>
      </c>
      <c r="U34" s="236">
        <f>Opex!U29</f>
        <v>0.15925281388554241</v>
      </c>
      <c r="V34" s="236">
        <f>Opex!V29</f>
        <v>0.15925281388554241</v>
      </c>
      <c r="W34" s="236">
        <f>Opex!W29</f>
        <v>0.15925281388554241</v>
      </c>
      <c r="X34" s="236">
        <f>Opex!X29</f>
        <v>0.15925281388554241</v>
      </c>
      <c r="Y34" s="236">
        <f>Opex!Y29</f>
        <v>0.15925281388554241</v>
      </c>
      <c r="Z34" s="236">
        <f>Opex!Z29</f>
        <v>0.15925281388554241</v>
      </c>
    </row>
    <row r="35" spans="2:27" x14ac:dyDescent="0.25">
      <c r="G35" s="237">
        <f>SUM(G30:G34)</f>
        <v>0</v>
      </c>
      <c r="H35" s="237">
        <f>SUM(H30:H34)</f>
        <v>0.54566744807773815</v>
      </c>
      <c r="I35" s="237">
        <f t="shared" ref="I35:Y35" si="14">SUM(I30:I34)</f>
        <v>0.58100063874062058</v>
      </c>
      <c r="J35" s="237">
        <f t="shared" si="14"/>
        <v>0.6013680199148328</v>
      </c>
      <c r="K35" s="237">
        <f t="shared" si="14"/>
        <v>1.4819994289177132</v>
      </c>
      <c r="L35" s="237">
        <f t="shared" si="14"/>
        <v>1.5639931055637772</v>
      </c>
      <c r="M35" s="237">
        <f t="shared" si="14"/>
        <v>1.5767136298722491</v>
      </c>
      <c r="N35" s="237">
        <f t="shared" si="14"/>
        <v>1.6774157340016587</v>
      </c>
      <c r="O35" s="237">
        <f t="shared" si="14"/>
        <v>1.7285634537552697</v>
      </c>
      <c r="P35" s="237">
        <f t="shared" si="14"/>
        <v>1.7096276540275201</v>
      </c>
      <c r="Q35" s="237">
        <f t="shared" si="14"/>
        <v>1.7288539991080705</v>
      </c>
      <c r="R35" s="237">
        <f t="shared" si="14"/>
        <v>1.724716231126318</v>
      </c>
      <c r="S35" s="237">
        <f t="shared" si="14"/>
        <v>1.7364312633035985</v>
      </c>
      <c r="T35" s="237">
        <f t="shared" si="14"/>
        <v>1.7483805961244236</v>
      </c>
      <c r="U35" s="237">
        <f t="shared" si="14"/>
        <v>1.7249459556557953</v>
      </c>
      <c r="V35" s="237">
        <f t="shared" si="14"/>
        <v>1.7249459556557953</v>
      </c>
      <c r="W35" s="237">
        <f t="shared" si="14"/>
        <v>1.7249459556557953</v>
      </c>
      <c r="X35" s="237">
        <f t="shared" si="14"/>
        <v>1.7249459556557953</v>
      </c>
      <c r="Y35" s="237">
        <f t="shared" si="14"/>
        <v>1.7249459556557953</v>
      </c>
      <c r="Z35" s="237">
        <f>SUM(Z30:Z34)</f>
        <v>1.7249459556557953</v>
      </c>
    </row>
    <row r="37" spans="2:27" ht="30" x14ac:dyDescent="0.25">
      <c r="B37" s="40" t="s">
        <v>104</v>
      </c>
      <c r="C37" t="s">
        <v>5</v>
      </c>
      <c r="G37" s="236">
        <f>(G30+G23)</f>
        <v>0.37466591897020418</v>
      </c>
      <c r="H37" s="236">
        <f>(H30+H23)</f>
        <v>0.39612538394965774</v>
      </c>
      <c r="I37" s="236">
        <f>(I30+I23)</f>
        <v>0.72728992226911671</v>
      </c>
      <c r="J37" s="236">
        <f t="shared" ref="J37:Y37" si="15">(J30+J23)</f>
        <v>0.94429306312325201</v>
      </c>
      <c r="K37" s="236">
        <f t="shared" si="15"/>
        <v>0.3871831201058491</v>
      </c>
      <c r="L37" s="236">
        <f t="shared" si="15"/>
        <v>0.67925255669757101</v>
      </c>
      <c r="M37" s="236">
        <f t="shared" si="15"/>
        <v>0.7870548841464633</v>
      </c>
      <c r="N37" s="236">
        <f t="shared" si="15"/>
        <v>0.83041836051346574</v>
      </c>
      <c r="O37" s="236">
        <f t="shared" si="15"/>
        <v>0.73798284395431712</v>
      </c>
      <c r="P37" s="236">
        <f t="shared" si="15"/>
        <v>0.81279041023307941</v>
      </c>
      <c r="Q37" s="236">
        <f t="shared" si="15"/>
        <v>0.79139756426545116</v>
      </c>
      <c r="R37" s="236">
        <f t="shared" si="15"/>
        <v>0.79067134762862556</v>
      </c>
      <c r="S37" s="236">
        <f t="shared" si="15"/>
        <v>0.79272744437102549</v>
      </c>
      <c r="T37" s="236">
        <f t="shared" si="15"/>
        <v>0.79482466304827359</v>
      </c>
      <c r="U37" s="236">
        <f t="shared" si="15"/>
        <v>0.79071166641303514</v>
      </c>
      <c r="V37" s="236">
        <f t="shared" si="15"/>
        <v>0.79071166641303514</v>
      </c>
      <c r="W37" s="236">
        <f t="shared" si="15"/>
        <v>0.79071166641303514</v>
      </c>
      <c r="X37" s="236">
        <f t="shared" si="15"/>
        <v>0.79071166641303514</v>
      </c>
      <c r="Y37" s="236">
        <f t="shared" si="15"/>
        <v>0.79071166641303514</v>
      </c>
      <c r="Z37" s="236">
        <f t="shared" ref="Z37" si="16">(Z30+Z23)</f>
        <v>0.79071166641303514</v>
      </c>
    </row>
    <row r="38" spans="2:27" x14ac:dyDescent="0.25">
      <c r="C38" t="s">
        <v>7</v>
      </c>
      <c r="G38" s="236">
        <f>(G31+G24)</f>
        <v>1.0021669651635305</v>
      </c>
      <c r="H38" s="236">
        <f t="shared" ref="H38:Y38" si="17">(H31+H24)</f>
        <v>1.3356893717513316</v>
      </c>
      <c r="I38" s="236">
        <f t="shared" si="17"/>
        <v>1.0237809885235682</v>
      </c>
      <c r="J38" s="236">
        <f t="shared" si="17"/>
        <v>1.1555171596106615</v>
      </c>
      <c r="K38" s="236">
        <f t="shared" si="17"/>
        <v>2.1884364241907726</v>
      </c>
      <c r="L38" s="236">
        <f t="shared" si="17"/>
        <v>1.938246582060472</v>
      </c>
      <c r="M38" s="236">
        <f t="shared" si="17"/>
        <v>1.8757340421189803</v>
      </c>
      <c r="N38" s="236">
        <f t="shared" si="17"/>
        <v>1.9236673707128853</v>
      </c>
      <c r="O38" s="236">
        <f t="shared" si="17"/>
        <v>2.0955651568931097</v>
      </c>
      <c r="P38" s="236">
        <f t="shared" si="17"/>
        <v>2.06836277993159</v>
      </c>
      <c r="Q38" s="236">
        <f t="shared" si="17"/>
        <v>2.0152668628330703</v>
      </c>
      <c r="R38" s="236">
        <f t="shared" si="17"/>
        <v>2.0133198519001296</v>
      </c>
      <c r="S38" s="236">
        <f t="shared" si="17"/>
        <v>2.0188323155833299</v>
      </c>
      <c r="T38" s="236">
        <f t="shared" si="17"/>
        <v>2.0244550285401934</v>
      </c>
      <c r="U38" s="236">
        <f t="shared" si="17"/>
        <v>2.0134279479007824</v>
      </c>
      <c r="V38" s="236">
        <f t="shared" si="17"/>
        <v>2.0134279479007824</v>
      </c>
      <c r="W38" s="236">
        <f t="shared" si="17"/>
        <v>2.0134279479007824</v>
      </c>
      <c r="X38" s="236">
        <f t="shared" si="17"/>
        <v>2.0134279479007824</v>
      </c>
      <c r="Y38" s="236">
        <f t="shared" si="17"/>
        <v>2.0134279479007824</v>
      </c>
      <c r="Z38" s="236">
        <f t="shared" ref="Z38" si="18">(Z31+Z24)</f>
        <v>2.0134279479007824</v>
      </c>
    </row>
    <row r="39" spans="2:27" x14ac:dyDescent="0.25">
      <c r="C39" t="s">
        <v>90</v>
      </c>
      <c r="G39" s="236">
        <f>(G32+G25)</f>
        <v>1.1994239720005815</v>
      </c>
      <c r="H39" s="236">
        <f t="shared" ref="H39:Y39" si="19">(H32+H25)</f>
        <v>1.4290374916623332</v>
      </c>
      <c r="I39" s="236">
        <f t="shared" si="19"/>
        <v>1.4783021101092675</v>
      </c>
      <c r="J39" s="236">
        <f t="shared" si="19"/>
        <v>1.6502209802323984</v>
      </c>
      <c r="K39" s="236">
        <f t="shared" si="19"/>
        <v>2.0248649315520244</v>
      </c>
      <c r="L39" s="236">
        <f t="shared" si="19"/>
        <v>1.9834345723403004</v>
      </c>
      <c r="M39" s="236">
        <f t="shared" si="19"/>
        <v>1.9919664885647907</v>
      </c>
      <c r="N39" s="236">
        <f t="shared" si="19"/>
        <v>2.0390613480659097</v>
      </c>
      <c r="O39" s="236">
        <f t="shared" si="19"/>
        <v>2.0534793663785007</v>
      </c>
      <c r="P39" s="236">
        <f t="shared" si="19"/>
        <v>2.0416047515882654</v>
      </c>
      <c r="Q39" s="236">
        <f t="shared" si="19"/>
        <v>2.0404722192567606</v>
      </c>
      <c r="R39" s="236">
        <f t="shared" si="19"/>
        <v>2.0395783653199158</v>
      </c>
      <c r="S39" s="236">
        <f t="shared" si="19"/>
        <v>2.0421090842191156</v>
      </c>
      <c r="T39" s="236">
        <f t="shared" si="19"/>
        <v>2.0446904174962999</v>
      </c>
      <c r="U39" s="236">
        <f t="shared" si="19"/>
        <v>2.0396279911510327</v>
      </c>
      <c r="V39" s="236">
        <f t="shared" si="19"/>
        <v>2.0396279911510327</v>
      </c>
      <c r="W39" s="236">
        <f t="shared" si="19"/>
        <v>2.0396279911510327</v>
      </c>
      <c r="X39" s="236">
        <f t="shared" si="19"/>
        <v>2.0396279911510327</v>
      </c>
      <c r="Y39" s="236">
        <f t="shared" si="19"/>
        <v>2.0396279911510327</v>
      </c>
      <c r="Z39" s="236">
        <f t="shared" ref="Z39" si="20">(Z32+Z25)</f>
        <v>2.0396279911510327</v>
      </c>
    </row>
    <row r="40" spans="2:27" x14ac:dyDescent="0.25">
      <c r="C40" t="s">
        <v>11</v>
      </c>
      <c r="G40" s="236">
        <f>(G33+G26)</f>
        <v>0.62741962667526685</v>
      </c>
      <c r="H40" s="236">
        <f t="shared" ref="H40:Y40" si="21">(H33+H26)</f>
        <v>0.749782907665692</v>
      </c>
      <c r="I40" s="236">
        <f t="shared" si="21"/>
        <v>0.77926599767034632</v>
      </c>
      <c r="J40" s="236">
        <f t="shared" si="21"/>
        <v>0.80243872604888133</v>
      </c>
      <c r="K40" s="236">
        <f t="shared" si="21"/>
        <v>0.95468417240103132</v>
      </c>
      <c r="L40" s="236">
        <f t="shared" si="21"/>
        <v>0.93621862242534615</v>
      </c>
      <c r="M40" s="236">
        <f t="shared" si="21"/>
        <v>0.94068608081433425</v>
      </c>
      <c r="N40" s="236">
        <f t="shared" si="21"/>
        <v>0.94804947293041797</v>
      </c>
      <c r="O40" s="236">
        <f t="shared" si="21"/>
        <v>0.95178049327361125</v>
      </c>
      <c r="P40" s="236">
        <f t="shared" si="21"/>
        <v>0.94886589237396834</v>
      </c>
      <c r="Q40" s="236">
        <f t="shared" si="21"/>
        <v>0.94540228606408128</v>
      </c>
      <c r="R40" s="236">
        <f t="shared" si="21"/>
        <v>0.94515404739556808</v>
      </c>
      <c r="S40" s="236">
        <f t="shared" si="21"/>
        <v>0.94585687172068811</v>
      </c>
      <c r="T40" s="236">
        <f t="shared" si="21"/>
        <v>0.94657375253231035</v>
      </c>
      <c r="U40" s="236">
        <f t="shared" si="21"/>
        <v>0.94516782934554056</v>
      </c>
      <c r="V40" s="236">
        <f t="shared" si="21"/>
        <v>0.94516782934554056</v>
      </c>
      <c r="W40" s="236">
        <f t="shared" si="21"/>
        <v>0.94516782934554056</v>
      </c>
      <c r="X40" s="236">
        <f t="shared" si="21"/>
        <v>0.94516782934554056</v>
      </c>
      <c r="Y40" s="236">
        <f t="shared" si="21"/>
        <v>0.94516782934554056</v>
      </c>
      <c r="Z40" s="236">
        <f t="shared" ref="Z40" si="22">(Z33+Z26)</f>
        <v>0.94516782934554056</v>
      </c>
    </row>
    <row r="41" spans="2:27" x14ac:dyDescent="0.25">
      <c r="C41" t="s">
        <v>91</v>
      </c>
      <c r="G41" s="236">
        <f>(G34+G27)</f>
        <v>0.38120333725312872</v>
      </c>
      <c r="H41" s="236">
        <f t="shared" ref="H41:Y41" si="23">(H34+H27)</f>
        <v>0.46573380258925767</v>
      </c>
      <c r="I41" s="236">
        <f>(I34+I27)</f>
        <v>0.48321037021348806</v>
      </c>
      <c r="J41" s="236">
        <f t="shared" si="23"/>
        <v>0.49334946732212237</v>
      </c>
      <c r="K41" s="236">
        <f t="shared" si="23"/>
        <v>0.58499994288909707</v>
      </c>
      <c r="L41" s="236">
        <f t="shared" si="23"/>
        <v>0.57862023127839024</v>
      </c>
      <c r="M41" s="236">
        <f t="shared" si="23"/>
        <v>0.58353224997130226</v>
      </c>
      <c r="N41" s="236">
        <f t="shared" si="23"/>
        <v>0.58996956715802829</v>
      </c>
      <c r="O41" s="236">
        <f t="shared" si="23"/>
        <v>0.59602605366291439</v>
      </c>
      <c r="P41" s="236">
        <f t="shared" si="23"/>
        <v>0.5978447568364974</v>
      </c>
      <c r="Q41" s="236">
        <f t="shared" si="23"/>
        <v>0.59109533822951399</v>
      </c>
      <c r="R41" s="236">
        <f t="shared" si="23"/>
        <v>0.59077289042288617</v>
      </c>
      <c r="S41" s="236">
        <f t="shared" si="23"/>
        <v>0.59168581895024608</v>
      </c>
      <c r="T41" s="236">
        <f t="shared" si="23"/>
        <v>0.59261700604815326</v>
      </c>
      <c r="U41" s="236">
        <f t="shared" si="23"/>
        <v>0.59079079238621157</v>
      </c>
      <c r="V41" s="236">
        <f t="shared" si="23"/>
        <v>0.59079079238621157</v>
      </c>
      <c r="W41" s="236">
        <f t="shared" si="23"/>
        <v>0.59079079238621157</v>
      </c>
      <c r="X41" s="236">
        <f t="shared" si="23"/>
        <v>0.59079079238621157</v>
      </c>
      <c r="Y41" s="236">
        <f t="shared" si="23"/>
        <v>0.59079079238621157</v>
      </c>
      <c r="Z41" s="236">
        <f t="shared" ref="Z41" si="24">(Z34+Z27)</f>
        <v>0.59079079238621157</v>
      </c>
    </row>
    <row r="42" spans="2:27" x14ac:dyDescent="0.25">
      <c r="C42" s="31"/>
      <c r="G42" s="237">
        <f>SUM(G37:G41)</f>
        <v>3.5848798200627119</v>
      </c>
      <c r="H42" s="237">
        <f>SUM(H37:H41)</f>
        <v>4.376368957618272</v>
      </c>
      <c r="I42" s="237">
        <f t="shared" ref="I42:Y42" si="25">SUM(I37:I41)</f>
        <v>4.4918493887857869</v>
      </c>
      <c r="J42" s="237">
        <f t="shared" si="25"/>
        <v>5.0458193963373157</v>
      </c>
      <c r="K42" s="237">
        <f t="shared" si="25"/>
        <v>6.1401685911387744</v>
      </c>
      <c r="L42" s="237">
        <f t="shared" si="25"/>
        <v>6.1157725648020795</v>
      </c>
      <c r="M42" s="237">
        <f t="shared" si="25"/>
        <v>6.1789737456158713</v>
      </c>
      <c r="N42" s="237">
        <f t="shared" si="25"/>
        <v>6.3311661193807067</v>
      </c>
      <c r="O42" s="237">
        <f t="shared" si="25"/>
        <v>6.4348339141624535</v>
      </c>
      <c r="P42" s="237">
        <f t="shared" si="25"/>
        <v>6.4694685909634</v>
      </c>
      <c r="Q42" s="237">
        <f t="shared" si="25"/>
        <v>6.3836342706488773</v>
      </c>
      <c r="R42" s="237">
        <f t="shared" si="25"/>
        <v>6.3794965026671253</v>
      </c>
      <c r="S42" s="237">
        <f t="shared" si="25"/>
        <v>6.3912115348444054</v>
      </c>
      <c r="T42" s="237">
        <f t="shared" si="25"/>
        <v>6.4031608676652301</v>
      </c>
      <c r="U42" s="237">
        <f t="shared" si="25"/>
        <v>6.3797262271966027</v>
      </c>
      <c r="V42" s="237">
        <f t="shared" si="25"/>
        <v>6.3797262271966027</v>
      </c>
      <c r="W42" s="237">
        <f t="shared" si="25"/>
        <v>6.3797262271966027</v>
      </c>
      <c r="X42" s="237">
        <f t="shared" si="25"/>
        <v>6.3797262271966027</v>
      </c>
      <c r="Y42" s="237">
        <f t="shared" si="25"/>
        <v>6.3797262271966027</v>
      </c>
      <c r="Z42" s="237">
        <f>SUM(Z37:Z41)</f>
        <v>6.3797262271966027</v>
      </c>
      <c r="AA42" s="32"/>
    </row>
    <row r="45" spans="2:27" x14ac:dyDescent="0.25">
      <c r="C45" s="39" t="s">
        <v>26</v>
      </c>
    </row>
    <row r="46" spans="2:27" x14ac:dyDescent="0.25">
      <c r="C46" t="s">
        <v>5</v>
      </c>
      <c r="F46" s="35">
        <f>NPV($D$4,G9:Z9)</f>
        <v>21.168226667325367</v>
      </c>
    </row>
    <row r="47" spans="2:27" x14ac:dyDescent="0.25">
      <c r="C47" t="s">
        <v>7</v>
      </c>
      <c r="F47" s="35">
        <f t="shared" ref="F47:F49" si="26">NPV($D$4,G10:Z10)</f>
        <v>20.588275251782203</v>
      </c>
    </row>
    <row r="48" spans="2:27" x14ac:dyDescent="0.25">
      <c r="C48" t="s">
        <v>90</v>
      </c>
      <c r="F48" s="35">
        <f t="shared" si="26"/>
        <v>51.035724567798127</v>
      </c>
    </row>
    <row r="49" spans="3:17" x14ac:dyDescent="0.25">
      <c r="C49" t="s">
        <v>11</v>
      </c>
      <c r="F49" s="35">
        <f t="shared" si="26"/>
        <v>234.59034758720844</v>
      </c>
    </row>
    <row r="50" spans="3:17" x14ac:dyDescent="0.25">
      <c r="C50" t="s">
        <v>91</v>
      </c>
      <c r="F50" s="35">
        <f>NPV($D$4,G13:Z13)</f>
        <v>632.72699435758852</v>
      </c>
    </row>
    <row r="51" spans="3:17" x14ac:dyDescent="0.25">
      <c r="C51" s="31"/>
      <c r="F51" s="38">
        <f>NPV($D$4,G14:Z14)</f>
        <v>960.10956843170277</v>
      </c>
    </row>
    <row r="52" spans="3:17" x14ac:dyDescent="0.25">
      <c r="C52" s="39" t="s">
        <v>87</v>
      </c>
    </row>
    <row r="53" spans="3:17" x14ac:dyDescent="0.25">
      <c r="C53" t="s">
        <v>5</v>
      </c>
      <c r="F53" s="236">
        <f>NPV($D$4,G37:Z37)</f>
        <v>10.030327834564833</v>
      </c>
    </row>
    <row r="54" spans="3:17" x14ac:dyDescent="0.25">
      <c r="C54" t="s">
        <v>7</v>
      </c>
      <c r="F54" s="236">
        <f t="shared" ref="F54:F56" si="27">NPV($D$4,G38:Z38)</f>
        <v>25.152219482393129</v>
      </c>
    </row>
    <row r="55" spans="3:17" x14ac:dyDescent="0.25">
      <c r="C55" t="s">
        <v>90</v>
      </c>
      <c r="F55" s="236">
        <f t="shared" si="27"/>
        <v>26.442059055043554</v>
      </c>
    </row>
    <row r="56" spans="3:17" x14ac:dyDescent="0.25">
      <c r="C56" t="s">
        <v>11</v>
      </c>
      <c r="F56" s="236">
        <f t="shared" si="27"/>
        <v>12.566312532981881</v>
      </c>
    </row>
    <row r="57" spans="3:17" x14ac:dyDescent="0.25">
      <c r="C57" t="s">
        <v>91</v>
      </c>
      <c r="F57" s="236">
        <f>NPV($D$4,G41:Z41)</f>
        <v>7.8152852641997521</v>
      </c>
    </row>
    <row r="58" spans="3:17" x14ac:dyDescent="0.25">
      <c r="C58" s="31"/>
      <c r="F58" s="238">
        <f>SUM(F53:F57)</f>
        <v>82.006204169183164</v>
      </c>
    </row>
    <row r="59" spans="3:17" x14ac:dyDescent="0.25">
      <c r="E59" s="45"/>
      <c r="F59" s="45"/>
      <c r="G59" s="45"/>
      <c r="H59" s="45"/>
      <c r="I59" s="45"/>
    </row>
    <row r="60" spans="3:17" x14ac:dyDescent="0.25">
      <c r="E60" s="45"/>
      <c r="F60" s="45"/>
      <c r="G60" s="45"/>
      <c r="H60" s="45"/>
      <c r="I60" s="45"/>
      <c r="J60" s="45"/>
      <c r="K60" s="189"/>
    </row>
    <row r="61" spans="3:17" ht="15" customHeight="1" x14ac:dyDescent="0.25">
      <c r="C61" s="190" t="s">
        <v>97</v>
      </c>
      <c r="D61" s="191" t="s">
        <v>27</v>
      </c>
      <c r="E61" s="192">
        <f>SUM(D64:D$68)</f>
        <v>960.10956843170266</v>
      </c>
      <c r="F61" s="192">
        <f>SUM(D65:D$68)</f>
        <v>938.94134176437728</v>
      </c>
      <c r="G61" s="192">
        <f>SUM(D66:D$68)</f>
        <v>918.35306651259509</v>
      </c>
      <c r="H61" s="192">
        <f>SUM(D67:D$68)</f>
        <v>867.31734194479691</v>
      </c>
      <c r="I61" s="192">
        <f>SUM(D68:D$68)</f>
        <v>632.72699435758852</v>
      </c>
      <c r="J61" s="193"/>
      <c r="K61" s="134"/>
      <c r="L61" s="134"/>
      <c r="M61" s="176"/>
      <c r="O61" s="300" t="s">
        <v>28</v>
      </c>
      <c r="P61" s="301"/>
      <c r="Q61" s="302"/>
    </row>
    <row r="62" spans="3:17" x14ac:dyDescent="0.25">
      <c r="C62" s="194"/>
      <c r="D62" s="191" t="s">
        <v>95</v>
      </c>
      <c r="E62" s="192">
        <f>F53</f>
        <v>10.030327834564833</v>
      </c>
      <c r="F62" s="195">
        <f>F54</f>
        <v>25.152219482393129</v>
      </c>
      <c r="G62" s="192">
        <f>F55</f>
        <v>26.442059055043554</v>
      </c>
      <c r="H62" s="195">
        <f>F56</f>
        <v>12.566312532981881</v>
      </c>
      <c r="I62" s="192">
        <f>F57</f>
        <v>7.8152852641997521</v>
      </c>
      <c r="J62" s="196">
        <f>SUM(E62:I62)</f>
        <v>82.006204169183164</v>
      </c>
      <c r="K62" s="2"/>
      <c r="L62" s="2"/>
      <c r="M62" s="197"/>
      <c r="O62" s="303"/>
      <c r="P62" s="304"/>
      <c r="Q62" s="305"/>
    </row>
    <row r="63" spans="3:17" x14ac:dyDescent="0.25">
      <c r="C63" s="198"/>
      <c r="D63" s="199" t="s">
        <v>29</v>
      </c>
      <c r="E63" s="199" t="s">
        <v>5</v>
      </c>
      <c r="F63" s="200" t="s">
        <v>7</v>
      </c>
      <c r="G63" s="199" t="s">
        <v>73</v>
      </c>
      <c r="H63" s="201" t="s">
        <v>11</v>
      </c>
      <c r="I63" s="199" t="s">
        <v>75</v>
      </c>
      <c r="J63" s="199" t="s">
        <v>30</v>
      </c>
      <c r="K63" s="202" t="s">
        <v>19</v>
      </c>
      <c r="L63" s="203" t="s">
        <v>4</v>
      </c>
      <c r="M63" s="203" t="s">
        <v>20</v>
      </c>
      <c r="O63" s="204" t="s">
        <v>31</v>
      </c>
      <c r="P63" s="205" t="s">
        <v>32</v>
      </c>
      <c r="Q63" s="206" t="s">
        <v>33</v>
      </c>
    </row>
    <row r="64" spans="3:17" x14ac:dyDescent="0.25">
      <c r="C64" s="207" t="s">
        <v>5</v>
      </c>
      <c r="D64" s="208">
        <f>F46</f>
        <v>21.168226667325367</v>
      </c>
      <c r="E64" s="209">
        <f>E$62*D64/(SUM($D$64:$D$68))</f>
        <v>0.22114585681764809</v>
      </c>
      <c r="F64" s="210"/>
      <c r="G64" s="210"/>
      <c r="H64" s="210"/>
      <c r="I64" s="210"/>
      <c r="J64" s="211">
        <f>SUM(E64:I64)</f>
        <v>0.22114585681764809</v>
      </c>
      <c r="K64" s="212">
        <f>J64/D64*1000</f>
        <v>10.447065797864029</v>
      </c>
      <c r="L64" s="213">
        <f>Inputs!F9</f>
        <v>0.95</v>
      </c>
      <c r="M64" s="214">
        <f>L64*K64</f>
        <v>9.9247125079708276</v>
      </c>
      <c r="O64" s="317">
        <f>K64</f>
        <v>10.447065797864029</v>
      </c>
      <c r="P64" s="318">
        <f>M64</f>
        <v>9.9247125079708276</v>
      </c>
      <c r="Q64" s="319">
        <f>P64</f>
        <v>9.9247125079708276</v>
      </c>
    </row>
    <row r="65" spans="3:17" x14ac:dyDescent="0.25">
      <c r="C65" s="215" t="s">
        <v>7</v>
      </c>
      <c r="D65" s="216">
        <f>F47</f>
        <v>20.588275251782203</v>
      </c>
      <c r="E65" s="217">
        <f>E$62*D65/(SUM($D$64:$D$68))</f>
        <v>0.21508706621990428</v>
      </c>
      <c r="F65" s="217">
        <f>F$62*D65/(SUM($D$65:$D$68))</f>
        <v>0.55151562175723035</v>
      </c>
      <c r="G65" s="217"/>
      <c r="H65" s="217"/>
      <c r="I65" s="218"/>
      <c r="J65" s="219">
        <f>SUM(E65:I65)</f>
        <v>0.7666026879771346</v>
      </c>
      <c r="K65" s="220">
        <f>J65/D65*1000</f>
        <v>37.234915436191017</v>
      </c>
      <c r="L65" s="221">
        <f>Inputs!F10</f>
        <v>0.9</v>
      </c>
      <c r="M65" s="222">
        <f>L65*K65</f>
        <v>33.511423892571919</v>
      </c>
      <c r="O65" s="317">
        <f>K65-K64</f>
        <v>26.787849638326989</v>
      </c>
      <c r="P65" s="318">
        <f>M65-M64</f>
        <v>23.586711384601092</v>
      </c>
      <c r="Q65" s="319">
        <f>P65+Q64</f>
        <v>33.511423892571919</v>
      </c>
    </row>
    <row r="66" spans="3:17" x14ac:dyDescent="0.25">
      <c r="C66" s="215" t="s">
        <v>73</v>
      </c>
      <c r="D66" s="216">
        <f>F48</f>
        <v>51.035724567798127</v>
      </c>
      <c r="E66" s="217">
        <f>E$62*D66/(SUM($D$64:$D$68))</f>
        <v>0.53317357260145271</v>
      </c>
      <c r="F66" s="217">
        <f>F$62*D66/(SUM($D$65:$D$68))</f>
        <v>1.3671373159052467</v>
      </c>
      <c r="G66" s="217">
        <f>G$62*D66/(SUM($D$66:$D$68))</f>
        <v>1.4694671277826534</v>
      </c>
      <c r="H66" s="217"/>
      <c r="I66" s="218"/>
      <c r="J66" s="219">
        <f>SUM(E66:I66)</f>
        <v>3.3697780162893531</v>
      </c>
      <c r="K66" s="220">
        <f t="shared" ref="K66" si="28">J66/D66*1000</f>
        <v>66.027827464520271</v>
      </c>
      <c r="L66" s="221">
        <f>Inputs!F11</f>
        <v>0.9</v>
      </c>
      <c r="M66" s="222">
        <f t="shared" ref="M66:M67" si="29">L66*K66</f>
        <v>59.425044718068243</v>
      </c>
      <c r="O66" s="317">
        <f>K66-K65</f>
        <v>28.792912028329255</v>
      </c>
      <c r="P66" s="318">
        <f>M66-M65</f>
        <v>25.913620825496324</v>
      </c>
      <c r="Q66" s="319">
        <f t="shared" ref="Q66:Q68" si="30">P66+Q65</f>
        <v>59.425044718068243</v>
      </c>
    </row>
    <row r="67" spans="3:17" x14ac:dyDescent="0.25">
      <c r="C67" s="215" t="s">
        <v>11</v>
      </c>
      <c r="D67" s="216">
        <f>F49</f>
        <v>234.59034758720844</v>
      </c>
      <c r="E67" s="217">
        <f>E$62*D67/(SUM($D$64:$D$68))</f>
        <v>2.4507807967873592</v>
      </c>
      <c r="F67" s="217">
        <f>F$62*D67/(SUM($D$65:$D$68))</f>
        <v>6.2841709577690041</v>
      </c>
      <c r="G67" s="217">
        <f>G$62*D67/(SUM($D$66:$D$68))</f>
        <v>6.7545392407736742</v>
      </c>
      <c r="H67" s="217">
        <f>H$62*D67/(SUM($D$67:$D$68))</f>
        <v>3.3989123501111127</v>
      </c>
      <c r="I67" s="218"/>
      <c r="J67" s="219">
        <f>SUM(E67:I67)</f>
        <v>18.888403345441148</v>
      </c>
      <c r="K67" s="220">
        <f>J67/D67*1000</f>
        <v>80.516541024431646</v>
      </c>
      <c r="L67" s="221">
        <f>Inputs!F12</f>
        <v>0.9</v>
      </c>
      <c r="M67" s="222">
        <f t="shared" si="29"/>
        <v>72.46488692198848</v>
      </c>
      <c r="O67" s="317">
        <f>K67-K66</f>
        <v>14.488713559911375</v>
      </c>
      <c r="P67" s="318">
        <f>M67-M66</f>
        <v>13.039842203920237</v>
      </c>
      <c r="Q67" s="319">
        <f t="shared" si="30"/>
        <v>72.46488692198848</v>
      </c>
    </row>
    <row r="68" spans="3:17" x14ac:dyDescent="0.25">
      <c r="C68" s="223" t="s">
        <v>75</v>
      </c>
      <c r="D68" s="224">
        <f>F50</f>
        <v>632.72699435758852</v>
      </c>
      <c r="E68" s="225">
        <f>E$62*D68/(SUM($D$64:$D$68))</f>
        <v>6.6101405421384687</v>
      </c>
      <c r="F68" s="217">
        <f>F$62*D68/(SUM($D$65:$D$68))</f>
        <v>16.949395586961646</v>
      </c>
      <c r="G68" s="217">
        <f>G$62*D68/(SUM($D$66:$D$68))</f>
        <v>18.218052686487226</v>
      </c>
      <c r="H68" s="217">
        <f>H$62*D68/(SUM($D$67:$D$68))</f>
        <v>9.1674001828707681</v>
      </c>
      <c r="I68" s="226">
        <f>D68/D68*I62</f>
        <v>7.8152852641997521</v>
      </c>
      <c r="J68" s="227">
        <f>SUM(E68:I68)</f>
        <v>58.760274262657866</v>
      </c>
      <c r="K68" s="228">
        <f>J68/D68*1000</f>
        <v>92.868290410649422</v>
      </c>
      <c r="L68" s="221">
        <f>Inputs!F13</f>
        <v>0.9</v>
      </c>
      <c r="M68" s="229">
        <f>L68*K68</f>
        <v>83.581461369584488</v>
      </c>
      <c r="O68" s="320">
        <f>K68-K67</f>
        <v>12.351749386217776</v>
      </c>
      <c r="P68" s="321">
        <f>M68-M67</f>
        <v>11.116574447596008</v>
      </c>
      <c r="Q68" s="322">
        <f t="shared" si="30"/>
        <v>83.581461369584488</v>
      </c>
    </row>
    <row r="69" spans="3:17" x14ac:dyDescent="0.25">
      <c r="C69" s="230"/>
      <c r="D69" s="231">
        <f t="shared" ref="D69:J69" si="31">SUM(D64:D68)</f>
        <v>960.10956843170266</v>
      </c>
      <c r="E69" s="232">
        <f>SUM(E64:E68)</f>
        <v>10.030327834564833</v>
      </c>
      <c r="F69" s="232">
        <f>SUM(F64:F68)</f>
        <v>25.152219482393129</v>
      </c>
      <c r="G69" s="232">
        <f t="shared" si="31"/>
        <v>26.442059055043554</v>
      </c>
      <c r="H69" s="232">
        <f t="shared" si="31"/>
        <v>12.566312532981881</v>
      </c>
      <c r="I69" s="232">
        <f t="shared" si="31"/>
        <v>7.8152852641997521</v>
      </c>
      <c r="J69" s="232">
        <f t="shared" si="31"/>
        <v>82.00620416918315</v>
      </c>
      <c r="K69" s="233"/>
      <c r="L69" s="234"/>
      <c r="M69" s="235"/>
    </row>
  </sheetData>
  <mergeCells count="2">
    <mergeCell ref="O61:Q62"/>
    <mergeCell ref="B2:Z2"/>
  </mergeCells>
  <phoneticPr fontId="2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C5658-C890-4892-97A0-B79E104E698F}">
  <sheetPr>
    <tabColor theme="4"/>
    <pageSetUpPr fitToPage="1"/>
  </sheetPr>
  <dimension ref="B1:W58"/>
  <sheetViews>
    <sheetView zoomScaleNormal="100" workbookViewId="0">
      <selection activeCell="N7" sqref="N7"/>
    </sheetView>
  </sheetViews>
  <sheetFormatPr defaultColWidth="13.42578125" defaultRowHeight="15" x14ac:dyDescent="0.25"/>
  <cols>
    <col min="1" max="1" width="4" style="15" customWidth="1"/>
    <col min="2" max="2" width="5.140625" style="15" customWidth="1"/>
    <col min="3" max="3" width="34.28515625" style="114" bestFit="1" customWidth="1"/>
    <col min="4" max="6" width="15.28515625" style="15" bestFit="1" customWidth="1"/>
    <col min="7" max="14" width="16.28515625" style="15" bestFit="1" customWidth="1"/>
    <col min="15" max="15" width="17.28515625" style="15" customWidth="1"/>
    <col min="16" max="23" width="16.28515625" style="15" bestFit="1" customWidth="1"/>
    <col min="24" max="16384" width="13.42578125" style="15"/>
  </cols>
  <sheetData>
    <row r="1" spans="2:23" x14ac:dyDescent="0.25">
      <c r="C1" s="157" t="s">
        <v>105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</row>
    <row r="2" spans="2:23" ht="20.25" x14ac:dyDescent="0.25">
      <c r="B2" s="307"/>
      <c r="C2" s="308"/>
      <c r="D2" s="26"/>
      <c r="E2" s="26"/>
      <c r="F2" s="27"/>
      <c r="G2" s="27"/>
      <c r="H2" s="27"/>
      <c r="I2" s="27"/>
      <c r="J2" s="27"/>
      <c r="K2" s="27"/>
      <c r="L2" s="27"/>
      <c r="M2" s="27"/>
      <c r="N2" s="26"/>
      <c r="P2" s="309"/>
      <c r="Q2" s="309"/>
      <c r="R2" s="309"/>
      <c r="S2" s="309"/>
      <c r="T2" s="309"/>
      <c r="U2" s="309"/>
    </row>
    <row r="3" spans="2:23" x14ac:dyDescent="0.25">
      <c r="B3" s="85"/>
      <c r="C3" s="119"/>
      <c r="D3" s="1" t="s">
        <v>117</v>
      </c>
      <c r="E3" s="1" t="s">
        <v>118</v>
      </c>
      <c r="F3" s="1" t="s">
        <v>119</v>
      </c>
      <c r="G3" s="1" t="s">
        <v>120</v>
      </c>
      <c r="H3" s="1" t="s">
        <v>121</v>
      </c>
      <c r="I3" s="1" t="s">
        <v>122</v>
      </c>
      <c r="J3" s="1" t="s">
        <v>123</v>
      </c>
      <c r="K3" s="1" t="s">
        <v>124</v>
      </c>
      <c r="L3" s="1" t="s">
        <v>125</v>
      </c>
      <c r="M3" s="1" t="s">
        <v>126</v>
      </c>
      <c r="N3" s="26"/>
      <c r="P3" s="310"/>
      <c r="Q3" s="310"/>
      <c r="R3" s="310"/>
      <c r="S3" s="310"/>
      <c r="T3" s="310"/>
      <c r="U3" s="310"/>
    </row>
    <row r="4" spans="2:23" x14ac:dyDescent="0.25">
      <c r="B4" s="85"/>
      <c r="C4" s="120"/>
      <c r="D4" s="95"/>
      <c r="E4" s="95"/>
      <c r="F4" s="95"/>
      <c r="G4" s="95"/>
      <c r="H4" s="95"/>
      <c r="I4" s="95"/>
      <c r="J4" s="95"/>
      <c r="K4" s="95"/>
      <c r="L4" s="95"/>
      <c r="M4" s="16"/>
      <c r="N4" s="26"/>
      <c r="P4" s="28" t="s">
        <v>14</v>
      </c>
      <c r="Q4" s="29" t="s">
        <v>15</v>
      </c>
      <c r="R4" s="29" t="s">
        <v>16</v>
      </c>
      <c r="S4" s="29" t="s">
        <v>17</v>
      </c>
      <c r="T4" s="29" t="s">
        <v>18</v>
      </c>
      <c r="U4" s="30" t="s">
        <v>34</v>
      </c>
      <c r="V4" s="56"/>
    </row>
    <row r="5" spans="2:23" x14ac:dyDescent="0.25">
      <c r="B5" s="85"/>
      <c r="C5" s="121"/>
      <c r="D5" s="89"/>
      <c r="E5" s="89"/>
      <c r="F5" s="89"/>
      <c r="G5" s="89"/>
      <c r="H5" s="89"/>
      <c r="I5" s="89"/>
      <c r="J5" s="89"/>
      <c r="K5" s="89"/>
      <c r="L5" s="89"/>
      <c r="M5" s="90"/>
      <c r="N5" s="26"/>
      <c r="P5" s="17"/>
      <c r="U5" s="18"/>
    </row>
    <row r="6" spans="2:23" x14ac:dyDescent="0.25">
      <c r="B6" s="86"/>
      <c r="C6" s="94" t="s">
        <v>35</v>
      </c>
      <c r="D6" s="244">
        <v>8806.9762147595084</v>
      </c>
      <c r="E6" s="244">
        <v>11396.502881830596</v>
      </c>
      <c r="F6" s="244">
        <v>2465.276990522957</v>
      </c>
      <c r="G6" s="244">
        <v>14055.993558362234</v>
      </c>
      <c r="H6" s="244">
        <v>23094.597200695407</v>
      </c>
      <c r="I6" s="244">
        <v>18575</v>
      </c>
      <c r="J6" s="244">
        <v>18946.5</v>
      </c>
      <c r="K6" s="244">
        <v>19325.43</v>
      </c>
      <c r="L6" s="244">
        <v>19711.938600000001</v>
      </c>
      <c r="M6" s="245">
        <v>20106.177372000002</v>
      </c>
      <c r="N6" s="26"/>
      <c r="P6" s="47"/>
      <c r="Q6" s="48">
        <v>1</v>
      </c>
      <c r="R6" s="48"/>
      <c r="S6" s="48"/>
      <c r="T6" s="48"/>
      <c r="U6" s="49">
        <f t="shared" ref="U6:U14" si="0">1-SUM(P6:T6)</f>
        <v>0</v>
      </c>
      <c r="V6" s="55"/>
    </row>
    <row r="7" spans="2:23" ht="30" x14ac:dyDescent="0.25">
      <c r="B7" s="87"/>
      <c r="C7" s="94" t="s">
        <v>36</v>
      </c>
      <c r="D7" s="244">
        <v>5659.6352306731287</v>
      </c>
      <c r="E7" s="244">
        <v>6978.1762793273165</v>
      </c>
      <c r="F7" s="244">
        <v>7190.9753293683334</v>
      </c>
      <c r="G7" s="244">
        <v>7217.8835110746513</v>
      </c>
      <c r="H7" s="244">
        <v>7569.9753896636576</v>
      </c>
      <c r="I7" s="244">
        <v>7326</v>
      </c>
      <c r="J7" s="244">
        <v>7472.52</v>
      </c>
      <c r="K7" s="244">
        <v>7621.9704000000002</v>
      </c>
      <c r="L7" s="244">
        <v>7774.4098080000003</v>
      </c>
      <c r="M7" s="245">
        <v>7929.8980041600007</v>
      </c>
      <c r="N7" s="26"/>
      <c r="P7" s="50"/>
      <c r="Q7" s="51"/>
      <c r="R7" s="51"/>
      <c r="S7" s="48">
        <v>0.2</v>
      </c>
      <c r="T7" s="48">
        <v>0.4</v>
      </c>
      <c r="U7" s="49">
        <f t="shared" si="0"/>
        <v>0.39999999999999991</v>
      </c>
      <c r="V7" s="55"/>
    </row>
    <row r="8" spans="2:23" x14ac:dyDescent="0.25">
      <c r="B8" s="87"/>
      <c r="C8" s="94" t="s">
        <v>37</v>
      </c>
      <c r="D8" s="244">
        <v>703.37314024413013</v>
      </c>
      <c r="E8" s="244">
        <v>209.69472154581848</v>
      </c>
      <c r="F8" s="244">
        <v>11.318298948268529</v>
      </c>
      <c r="G8" s="244">
        <v>2766.2901678271955</v>
      </c>
      <c r="H8" s="244">
        <v>3091.9892950126923</v>
      </c>
      <c r="I8" s="244">
        <v>2929</v>
      </c>
      <c r="J8" s="244">
        <v>2987.58</v>
      </c>
      <c r="K8" s="244">
        <v>3047.3316</v>
      </c>
      <c r="L8" s="244">
        <v>3108.2782320000001</v>
      </c>
      <c r="M8" s="245">
        <v>3170.4437966400001</v>
      </c>
      <c r="N8" s="26"/>
      <c r="P8" s="50"/>
      <c r="Q8" s="51"/>
      <c r="R8" s="48">
        <v>1</v>
      </c>
      <c r="S8" s="48"/>
      <c r="T8" s="51"/>
      <c r="U8" s="49">
        <f t="shared" si="0"/>
        <v>0</v>
      </c>
      <c r="V8" s="55"/>
    </row>
    <row r="9" spans="2:23" x14ac:dyDescent="0.25">
      <c r="B9" s="87"/>
      <c r="C9" s="94" t="s">
        <v>38</v>
      </c>
      <c r="D9" s="244">
        <v>4776.5113537188827</v>
      </c>
      <c r="E9" s="244">
        <v>3192.9154403626717</v>
      </c>
      <c r="F9" s="244">
        <v>3200.2730296706495</v>
      </c>
      <c r="G9" s="244">
        <v>3209.6559992889779</v>
      </c>
      <c r="H9" s="244">
        <v>4830.3695094651885</v>
      </c>
      <c r="I9" s="244">
        <v>3747</v>
      </c>
      <c r="J9" s="244">
        <v>3821.94</v>
      </c>
      <c r="K9" s="244">
        <v>3898.3788</v>
      </c>
      <c r="L9" s="244">
        <v>3976.346376</v>
      </c>
      <c r="M9" s="245">
        <v>4055.8733035199998</v>
      </c>
      <c r="N9" s="26"/>
      <c r="P9" s="47">
        <v>0</v>
      </c>
      <c r="Q9" s="48">
        <v>1</v>
      </c>
      <c r="R9" s="48">
        <v>0</v>
      </c>
      <c r="S9" s="48"/>
      <c r="T9" s="48"/>
      <c r="U9" s="49">
        <f t="shared" si="0"/>
        <v>0</v>
      </c>
      <c r="V9" s="55"/>
    </row>
    <row r="10" spans="2:23" x14ac:dyDescent="0.25">
      <c r="B10" s="87"/>
      <c r="C10" s="94" t="s">
        <v>39</v>
      </c>
      <c r="D10" s="244">
        <v>9531.2087526791038</v>
      </c>
      <c r="E10" s="244">
        <v>11473.460186332994</v>
      </c>
      <c r="F10" s="244">
        <v>12652.363457388585</v>
      </c>
      <c r="G10" s="244">
        <v>6444.7996201794476</v>
      </c>
      <c r="H10" s="244">
        <v>14975.164954958842</v>
      </c>
      <c r="I10" s="244">
        <v>11357</v>
      </c>
      <c r="J10" s="244">
        <v>11584.14</v>
      </c>
      <c r="K10" s="244">
        <v>11815.8228</v>
      </c>
      <c r="L10" s="244">
        <v>12052.139256</v>
      </c>
      <c r="M10" s="245">
        <v>12293.182041120001</v>
      </c>
      <c r="N10" s="26"/>
      <c r="P10" s="50"/>
      <c r="Q10" s="48">
        <v>1</v>
      </c>
      <c r="R10" s="51"/>
      <c r="S10" s="51"/>
      <c r="T10" s="51"/>
      <c r="U10" s="49">
        <f t="shared" si="0"/>
        <v>0</v>
      </c>
    </row>
    <row r="11" spans="2:23" x14ac:dyDescent="0.25">
      <c r="B11" s="87"/>
      <c r="C11" s="94" t="s">
        <v>40</v>
      </c>
      <c r="D11" s="244">
        <v>8641.5629729628054</v>
      </c>
      <c r="E11" s="244">
        <v>8179.8065008375879</v>
      </c>
      <c r="F11" s="244">
        <v>15869.143841292818</v>
      </c>
      <c r="G11" s="244">
        <v>20022.968202017721</v>
      </c>
      <c r="H11" s="244">
        <v>5278.4437091944746</v>
      </c>
      <c r="I11" s="244">
        <v>13724</v>
      </c>
      <c r="J11" s="244">
        <v>13998.48</v>
      </c>
      <c r="K11" s="244">
        <v>14278.4496</v>
      </c>
      <c r="L11" s="244">
        <v>14564.018592</v>
      </c>
      <c r="M11" s="245">
        <v>14855.298963840001</v>
      </c>
      <c r="N11" s="26"/>
      <c r="P11" s="47">
        <v>1</v>
      </c>
      <c r="Q11" s="51"/>
      <c r="R11" s="51"/>
      <c r="S11" s="51"/>
      <c r="T11" s="51"/>
      <c r="U11" s="49">
        <f t="shared" si="0"/>
        <v>0</v>
      </c>
    </row>
    <row r="12" spans="2:23" x14ac:dyDescent="0.25">
      <c r="B12" s="87"/>
      <c r="C12" s="94" t="s">
        <v>41</v>
      </c>
      <c r="D12" s="244">
        <v>0</v>
      </c>
      <c r="E12" s="244">
        <v>247.29983164737723</v>
      </c>
      <c r="F12" s="244">
        <v>248.21203132374859</v>
      </c>
      <c r="G12" s="244">
        <v>0</v>
      </c>
      <c r="H12" s="244">
        <v>0</v>
      </c>
      <c r="I12" s="244">
        <v>83</v>
      </c>
      <c r="J12" s="244">
        <v>84.66</v>
      </c>
      <c r="K12" s="244">
        <v>86.353200000000001</v>
      </c>
      <c r="L12" s="244">
        <v>88.080264</v>
      </c>
      <c r="M12" s="245">
        <v>89.841869279999997</v>
      </c>
      <c r="N12" s="26"/>
      <c r="P12" s="50"/>
      <c r="Q12" s="48">
        <v>0.5</v>
      </c>
      <c r="R12" s="48"/>
      <c r="S12" s="48"/>
      <c r="T12" s="51"/>
      <c r="U12" s="49">
        <f t="shared" si="0"/>
        <v>0.5</v>
      </c>
      <c r="V12" s="55"/>
    </row>
    <row r="13" spans="2:23" x14ac:dyDescent="0.25">
      <c r="B13" s="87"/>
      <c r="C13" s="94" t="s">
        <v>42</v>
      </c>
      <c r="D13" s="244">
        <v>0</v>
      </c>
      <c r="E13" s="244">
        <v>1674.9861033497086</v>
      </c>
      <c r="F13" s="244">
        <v>1681.1645215525191</v>
      </c>
      <c r="G13" s="244">
        <v>230.19897425899137</v>
      </c>
      <c r="H13" s="244">
        <v>231.41120589971257</v>
      </c>
      <c r="I13" s="244">
        <v>714</v>
      </c>
      <c r="J13" s="244">
        <v>728.28</v>
      </c>
      <c r="K13" s="244">
        <v>742.84559999999999</v>
      </c>
      <c r="L13" s="244">
        <v>757.70251199999996</v>
      </c>
      <c r="M13" s="245">
        <v>772.85656224000002</v>
      </c>
      <c r="N13" s="26"/>
      <c r="P13" s="50"/>
      <c r="Q13" s="48">
        <v>1</v>
      </c>
      <c r="R13" s="51"/>
      <c r="S13" s="51"/>
      <c r="T13" s="51"/>
      <c r="U13" s="49">
        <f t="shared" si="0"/>
        <v>0</v>
      </c>
    </row>
    <row r="14" spans="2:23" x14ac:dyDescent="0.25">
      <c r="B14" s="87"/>
      <c r="C14" s="94" t="s">
        <v>43</v>
      </c>
      <c r="D14" s="244">
        <v>2710.8209600212531</v>
      </c>
      <c r="E14" s="244">
        <v>2718.1204413672253</v>
      </c>
      <c r="F14" s="244">
        <v>2724.3839376203318</v>
      </c>
      <c r="G14" s="244">
        <v>2732.3716347569061</v>
      </c>
      <c r="H14" s="244">
        <v>2741.3871633971762</v>
      </c>
      <c r="I14" s="244">
        <v>2733</v>
      </c>
      <c r="J14" s="244">
        <v>2787.66</v>
      </c>
      <c r="K14" s="244">
        <v>2843.4132</v>
      </c>
      <c r="L14" s="244">
        <v>2900.2814640000001</v>
      </c>
      <c r="M14" s="245">
        <v>2958.2870932800001</v>
      </c>
      <c r="N14" s="26"/>
      <c r="P14" s="50"/>
      <c r="Q14" s="51"/>
      <c r="R14" s="48"/>
      <c r="S14" s="48">
        <v>0.4</v>
      </c>
      <c r="T14" s="48">
        <v>0.6</v>
      </c>
      <c r="U14" s="49">
        <f t="shared" si="0"/>
        <v>0</v>
      </c>
    </row>
    <row r="15" spans="2:23" x14ac:dyDescent="0.25">
      <c r="B15" s="87"/>
      <c r="C15" s="94" t="s">
        <v>44</v>
      </c>
      <c r="D15" s="244">
        <v>49020</v>
      </c>
      <c r="E15" s="244">
        <v>50220</v>
      </c>
      <c r="F15" s="244">
        <v>52400</v>
      </c>
      <c r="G15" s="244">
        <v>54130</v>
      </c>
      <c r="H15" s="244">
        <v>54060</v>
      </c>
      <c r="I15" s="244">
        <v>51966</v>
      </c>
      <c r="J15" s="244">
        <v>51966</v>
      </c>
      <c r="K15" s="244">
        <v>51966</v>
      </c>
      <c r="L15" s="244">
        <v>51966</v>
      </c>
      <c r="M15" s="245">
        <v>51966</v>
      </c>
      <c r="N15" s="26"/>
      <c r="P15" s="50"/>
      <c r="Q15" s="51"/>
      <c r="R15" s="48">
        <v>0.55000000000000004</v>
      </c>
      <c r="S15" s="48">
        <v>0.25</v>
      </c>
      <c r="T15" s="48">
        <v>0.1</v>
      </c>
      <c r="U15" s="297">
        <v>9.9999999999999978E-2</v>
      </c>
      <c r="V15" s="57"/>
    </row>
    <row r="16" spans="2:23" x14ac:dyDescent="0.25">
      <c r="B16" s="87"/>
      <c r="C16" s="94"/>
      <c r="D16" s="91"/>
      <c r="E16" s="91"/>
      <c r="F16" s="91"/>
      <c r="G16" s="91"/>
      <c r="H16" s="91"/>
      <c r="I16" s="91"/>
      <c r="J16" s="91"/>
      <c r="K16" s="91"/>
      <c r="L16" s="91"/>
      <c r="M16" s="92"/>
      <c r="N16" s="26"/>
      <c r="P16" s="17"/>
      <c r="U16" s="20"/>
    </row>
    <row r="17" spans="2:22" hidden="1" x14ac:dyDescent="0.25">
      <c r="B17" s="87"/>
      <c r="C17" s="94"/>
      <c r="D17" s="93"/>
      <c r="E17" s="53"/>
      <c r="F17" s="53"/>
      <c r="G17" s="53"/>
      <c r="H17" s="53"/>
      <c r="I17" s="53"/>
      <c r="J17" s="53"/>
      <c r="K17" s="53"/>
      <c r="L17" s="53"/>
      <c r="M17" s="53"/>
      <c r="N17" s="26"/>
      <c r="P17" s="17"/>
      <c r="U17" s="18"/>
    </row>
    <row r="18" spans="2:22" hidden="1" x14ac:dyDescent="0.25">
      <c r="B18" s="87"/>
      <c r="C18" s="94"/>
      <c r="D18" s="93"/>
      <c r="E18" s="53"/>
      <c r="F18" s="53"/>
      <c r="G18" s="53"/>
      <c r="H18" s="53"/>
      <c r="I18" s="53"/>
      <c r="J18" s="53"/>
      <c r="K18" s="53"/>
      <c r="L18" s="53"/>
      <c r="M18" s="53"/>
      <c r="N18" s="26"/>
      <c r="P18" s="17"/>
      <c r="U18" s="18"/>
      <c r="V18" s="19"/>
    </row>
    <row r="19" spans="2:22" hidden="1" x14ac:dyDescent="0.25">
      <c r="B19" s="87"/>
      <c r="C19" s="94"/>
      <c r="D19" s="93"/>
      <c r="E19" s="53"/>
      <c r="F19" s="53"/>
      <c r="G19" s="53"/>
      <c r="H19" s="53"/>
      <c r="I19" s="52"/>
      <c r="J19" s="52"/>
      <c r="K19" s="52"/>
      <c r="L19" s="52"/>
      <c r="M19" s="52"/>
      <c r="N19" s="26"/>
      <c r="P19" s="17"/>
      <c r="U19" s="18"/>
    </row>
    <row r="20" spans="2:22" hidden="1" x14ac:dyDescent="0.25">
      <c r="B20" s="87"/>
      <c r="C20" s="94"/>
      <c r="D20" s="93"/>
      <c r="E20" s="53"/>
      <c r="F20" s="53"/>
      <c r="G20" s="53"/>
      <c r="H20" s="53"/>
      <c r="I20" s="52"/>
      <c r="J20" s="52"/>
      <c r="K20" s="52"/>
      <c r="L20" s="52"/>
      <c r="M20" s="52"/>
      <c r="N20" s="26"/>
      <c r="P20" s="17"/>
      <c r="U20" s="18"/>
    </row>
    <row r="21" spans="2:22" hidden="1" x14ac:dyDescent="0.25">
      <c r="B21" s="87"/>
      <c r="C21" s="94"/>
      <c r="D21" s="93"/>
      <c r="E21" s="53"/>
      <c r="F21" s="53"/>
      <c r="G21" s="53"/>
      <c r="H21" s="53"/>
      <c r="I21" s="52"/>
      <c r="J21" s="52"/>
      <c r="K21" s="52"/>
      <c r="L21" s="52"/>
      <c r="M21" s="52"/>
      <c r="N21" s="26"/>
      <c r="P21" s="17"/>
      <c r="U21" s="18"/>
    </row>
    <row r="22" spans="2:22" hidden="1" x14ac:dyDescent="0.25">
      <c r="B22" s="87"/>
      <c r="C22" s="94"/>
      <c r="D22" s="93"/>
      <c r="E22" s="53"/>
      <c r="F22" s="53"/>
      <c r="G22" s="53"/>
      <c r="H22" s="53"/>
      <c r="I22" s="52"/>
      <c r="J22" s="52"/>
      <c r="K22" s="52"/>
      <c r="L22" s="52"/>
      <c r="M22" s="52"/>
      <c r="N22" s="26"/>
      <c r="P22" s="17"/>
      <c r="U22" s="18"/>
    </row>
    <row r="23" spans="2:22" hidden="1" x14ac:dyDescent="0.25">
      <c r="B23" s="87"/>
      <c r="C23" s="94"/>
      <c r="D23" s="93"/>
      <c r="E23" s="53"/>
      <c r="F23" s="53"/>
      <c r="G23" s="53"/>
      <c r="H23" s="53"/>
      <c r="I23" s="52"/>
      <c r="J23" s="52"/>
      <c r="K23" s="52"/>
      <c r="L23" s="52"/>
      <c r="M23" s="52"/>
      <c r="N23" s="26"/>
      <c r="P23" s="17"/>
      <c r="U23" s="18"/>
    </row>
    <row r="24" spans="2:22" hidden="1" x14ac:dyDescent="0.25">
      <c r="B24" s="87"/>
      <c r="C24" s="94"/>
      <c r="D24" s="93"/>
      <c r="E24" s="53"/>
      <c r="F24" s="53"/>
      <c r="G24" s="53"/>
      <c r="H24" s="53"/>
      <c r="I24" s="52"/>
      <c r="J24" s="52"/>
      <c r="K24" s="52"/>
      <c r="L24" s="52"/>
      <c r="M24" s="52"/>
      <c r="N24" s="26"/>
      <c r="P24" s="17"/>
      <c r="U24" s="18"/>
    </row>
    <row r="25" spans="2:22" hidden="1" x14ac:dyDescent="0.25">
      <c r="B25" s="87"/>
      <c r="C25" s="94"/>
      <c r="D25" s="93"/>
      <c r="E25" s="53"/>
      <c r="F25" s="53"/>
      <c r="G25" s="53"/>
      <c r="H25" s="53"/>
      <c r="I25" s="52"/>
      <c r="J25" s="52"/>
      <c r="K25" s="52"/>
      <c r="L25" s="52"/>
      <c r="M25" s="52"/>
      <c r="N25" s="26"/>
      <c r="P25" s="17"/>
      <c r="U25" s="18"/>
    </row>
    <row r="26" spans="2:22" hidden="1" x14ac:dyDescent="0.25">
      <c r="B26" s="87"/>
      <c r="C26" s="94"/>
      <c r="D26" s="93"/>
      <c r="E26" s="53"/>
      <c r="F26" s="53"/>
      <c r="G26" s="53"/>
      <c r="H26" s="53"/>
      <c r="I26" s="52"/>
      <c r="J26" s="52"/>
      <c r="K26" s="52"/>
      <c r="L26" s="52"/>
      <c r="M26" s="52"/>
      <c r="N26" s="26"/>
      <c r="P26" s="17"/>
      <c r="U26" s="18"/>
    </row>
    <row r="27" spans="2:22" hidden="1" x14ac:dyDescent="0.25">
      <c r="B27" s="87"/>
      <c r="C27" s="94"/>
      <c r="D27" s="93"/>
      <c r="E27" s="53"/>
      <c r="F27" s="53"/>
      <c r="G27" s="53"/>
      <c r="H27" s="53"/>
      <c r="I27" s="52"/>
      <c r="J27" s="52"/>
      <c r="K27" s="52"/>
      <c r="L27" s="52"/>
      <c r="M27" s="52"/>
      <c r="N27" s="26"/>
      <c r="P27" s="17"/>
      <c r="U27" s="18"/>
    </row>
    <row r="28" spans="2:22" hidden="1" x14ac:dyDescent="0.25">
      <c r="B28" s="87"/>
      <c r="C28" s="94"/>
      <c r="D28" s="93"/>
      <c r="E28" s="53"/>
      <c r="F28" s="53"/>
      <c r="G28" s="53"/>
      <c r="H28" s="53"/>
      <c r="I28" s="52"/>
      <c r="J28" s="52"/>
      <c r="K28" s="52"/>
      <c r="L28" s="52"/>
      <c r="M28" s="52"/>
      <c r="N28" s="26"/>
      <c r="P28" s="17"/>
      <c r="U28" s="18"/>
    </row>
    <row r="29" spans="2:22" hidden="1" x14ac:dyDescent="0.25">
      <c r="B29" s="87"/>
      <c r="C29" s="94"/>
      <c r="D29" s="93"/>
      <c r="E29" s="53"/>
      <c r="F29" s="53"/>
      <c r="G29" s="53"/>
      <c r="H29" s="53"/>
      <c r="I29" s="52"/>
      <c r="J29" s="52"/>
      <c r="K29" s="52"/>
      <c r="L29" s="52"/>
      <c r="M29" s="52"/>
      <c r="N29" s="26"/>
      <c r="P29" s="17"/>
      <c r="U29" s="18"/>
    </row>
    <row r="30" spans="2:22" hidden="1" x14ac:dyDescent="0.25">
      <c r="B30" s="87"/>
      <c r="C30" s="94"/>
      <c r="D30" s="90"/>
      <c r="E30" s="52"/>
      <c r="F30" s="52"/>
      <c r="G30" s="52"/>
      <c r="H30" s="52"/>
      <c r="I30" s="52"/>
      <c r="J30" s="52"/>
      <c r="K30" s="52"/>
      <c r="L30" s="52"/>
      <c r="M30" s="52"/>
      <c r="N30" s="26"/>
      <c r="P30" s="17"/>
      <c r="U30" s="18"/>
    </row>
    <row r="31" spans="2:22" x14ac:dyDescent="0.25">
      <c r="B31" s="88"/>
      <c r="C31" s="155" t="s">
        <v>111</v>
      </c>
      <c r="D31" s="240">
        <f t="shared" ref="D31:M31" si="1">SUM(D6:D30)</f>
        <v>89850.088625058823</v>
      </c>
      <c r="E31" s="240">
        <f t="shared" si="1"/>
        <v>96290.962386601284</v>
      </c>
      <c r="F31" s="240">
        <f t="shared" si="1"/>
        <v>98443.111437688203</v>
      </c>
      <c r="G31" s="240">
        <f t="shared" si="1"/>
        <v>110810.16166776614</v>
      </c>
      <c r="H31" s="240">
        <f t="shared" si="1"/>
        <v>115873.33842828716</v>
      </c>
      <c r="I31" s="240">
        <f t="shared" si="1"/>
        <v>113154</v>
      </c>
      <c r="J31" s="240">
        <f t="shared" si="1"/>
        <v>114377.76000000001</v>
      </c>
      <c r="K31" s="240">
        <f t="shared" si="1"/>
        <v>115625.9952</v>
      </c>
      <c r="L31" s="240">
        <f t="shared" si="1"/>
        <v>116899.19510400001</v>
      </c>
      <c r="M31" s="241">
        <f t="shared" si="1"/>
        <v>118197.85900608001</v>
      </c>
      <c r="N31" s="26"/>
      <c r="P31" s="21"/>
      <c r="Q31" s="22"/>
      <c r="R31" s="22"/>
      <c r="S31" s="22"/>
      <c r="T31" s="22"/>
      <c r="U31" s="23"/>
    </row>
    <row r="32" spans="2:22" x14ac:dyDescent="0.25">
      <c r="N32" s="26"/>
    </row>
    <row r="33" spans="3:15" x14ac:dyDescent="0.25">
      <c r="C33" s="115" t="str">
        <f>P4</f>
        <v>Sub-Trans</v>
      </c>
      <c r="D33" s="246">
        <f t="shared" ref="D33:M33" si="2">SUMPRODUCT(D$6:D$18,$P$6:$P$18)</f>
        <v>8641.5629729628054</v>
      </c>
      <c r="E33" s="246">
        <f t="shared" si="2"/>
        <v>8179.8065008375879</v>
      </c>
      <c r="F33" s="246">
        <f t="shared" si="2"/>
        <v>15869.143841292818</v>
      </c>
      <c r="G33" s="246">
        <f t="shared" si="2"/>
        <v>20022.968202017721</v>
      </c>
      <c r="H33" s="246">
        <f t="shared" si="2"/>
        <v>5278.4437091944746</v>
      </c>
      <c r="I33" s="246">
        <f t="shared" si="2"/>
        <v>13724</v>
      </c>
      <c r="J33" s="246">
        <f t="shared" si="2"/>
        <v>13998.48</v>
      </c>
      <c r="K33" s="246">
        <f t="shared" si="2"/>
        <v>14278.4496</v>
      </c>
      <c r="L33" s="246">
        <f t="shared" si="2"/>
        <v>14564.018592</v>
      </c>
      <c r="M33" s="247">
        <f t="shared" si="2"/>
        <v>14855.298963840001</v>
      </c>
      <c r="N33" s="26"/>
      <c r="O33" s="24"/>
    </row>
    <row r="34" spans="3:15" x14ac:dyDescent="0.25">
      <c r="C34" s="116" t="str">
        <f>Q4</f>
        <v>Zone S/Stn</v>
      </c>
      <c r="D34" s="248">
        <f t="shared" ref="D34:M34" si="3">SUMPRODUCT(D$6:D$18,$Q$6:$Q$18)</f>
        <v>23114.696321157495</v>
      </c>
      <c r="E34" s="248">
        <f t="shared" si="3"/>
        <v>27861.514527699659</v>
      </c>
      <c r="F34" s="248">
        <f t="shared" si="3"/>
        <v>20123.184014796585</v>
      </c>
      <c r="G34" s="248">
        <f t="shared" si="3"/>
        <v>23940.648152089649</v>
      </c>
      <c r="H34" s="248">
        <f t="shared" si="3"/>
        <v>43131.542871019148</v>
      </c>
      <c r="I34" s="248">
        <f t="shared" si="3"/>
        <v>34434.5</v>
      </c>
      <c r="J34" s="248">
        <f t="shared" si="3"/>
        <v>35123.19</v>
      </c>
      <c r="K34" s="248">
        <f t="shared" si="3"/>
        <v>35825.6538</v>
      </c>
      <c r="L34" s="248">
        <f t="shared" si="3"/>
        <v>36542.16687600001</v>
      </c>
      <c r="M34" s="249">
        <f t="shared" si="3"/>
        <v>37273.01021352</v>
      </c>
      <c r="O34" s="24"/>
    </row>
    <row r="35" spans="3:15" x14ac:dyDescent="0.25">
      <c r="C35" s="116" t="str">
        <f>R4</f>
        <v>HV Feeder</v>
      </c>
      <c r="D35" s="248">
        <f t="shared" ref="D35:M35" si="4">SUMPRODUCT(D$6:D$18,$R$6:$R$18)</f>
        <v>27664.373140244134</v>
      </c>
      <c r="E35" s="248">
        <f t="shared" si="4"/>
        <v>27830.69472154582</v>
      </c>
      <c r="F35" s="248">
        <f t="shared" si="4"/>
        <v>28831.318298948274</v>
      </c>
      <c r="G35" s="248">
        <f t="shared" si="4"/>
        <v>32537.790167827199</v>
      </c>
      <c r="H35" s="248">
        <f t="shared" si="4"/>
        <v>32824.989295012696</v>
      </c>
      <c r="I35" s="248">
        <f t="shared" si="4"/>
        <v>31510.300000000003</v>
      </c>
      <c r="J35" s="248">
        <f t="shared" si="4"/>
        <v>31568.880000000005</v>
      </c>
      <c r="K35" s="248">
        <f t="shared" si="4"/>
        <v>31628.631600000004</v>
      </c>
      <c r="L35" s="248">
        <f t="shared" si="4"/>
        <v>31689.578232000003</v>
      </c>
      <c r="M35" s="249">
        <f t="shared" si="4"/>
        <v>31751.743796640003</v>
      </c>
      <c r="O35" s="24"/>
    </row>
    <row r="36" spans="3:15" x14ac:dyDescent="0.25">
      <c r="C36" s="116" t="str">
        <f>S4</f>
        <v>Dist T/F</v>
      </c>
      <c r="D36" s="248">
        <f t="shared" ref="D36:M36" si="5">SUMPRODUCT(D$6:D$18,$S$6:$S$18)</f>
        <v>14471.255430143126</v>
      </c>
      <c r="E36" s="248">
        <f t="shared" si="5"/>
        <v>15037.883432412353</v>
      </c>
      <c r="F36" s="248">
        <f t="shared" si="5"/>
        <v>15627.948640921801</v>
      </c>
      <c r="G36" s="248">
        <f t="shared" si="5"/>
        <v>16069.025356117692</v>
      </c>
      <c r="H36" s="248">
        <f t="shared" si="5"/>
        <v>16125.549943291602</v>
      </c>
      <c r="I36" s="248">
        <f t="shared" si="5"/>
        <v>15549.9</v>
      </c>
      <c r="J36" s="248">
        <f t="shared" si="5"/>
        <v>15601.067999999999</v>
      </c>
      <c r="K36" s="248">
        <f t="shared" si="5"/>
        <v>15653.25936</v>
      </c>
      <c r="L36" s="248">
        <f t="shared" si="5"/>
        <v>15706.4945472</v>
      </c>
      <c r="M36" s="249">
        <f t="shared" si="5"/>
        <v>15760.794438143999</v>
      </c>
      <c r="O36" s="24"/>
    </row>
    <row r="37" spans="3:15" x14ac:dyDescent="0.25">
      <c r="C37" s="116" t="str">
        <f>T4</f>
        <v>LV Feeder</v>
      </c>
      <c r="D37" s="250">
        <f t="shared" ref="D37:M37" si="6">SUMPRODUCT(D$6:D$18,$T$6:$T$18)</f>
        <v>8792.3466682820035</v>
      </c>
      <c r="E37" s="250">
        <f t="shared" si="6"/>
        <v>9444.1427765512617</v>
      </c>
      <c r="F37" s="250">
        <f t="shared" si="6"/>
        <v>9751.0204943195331</v>
      </c>
      <c r="G37" s="250">
        <f t="shared" si="6"/>
        <v>9939.5763852840046</v>
      </c>
      <c r="H37" s="250">
        <f t="shared" si="6"/>
        <v>10078.822453903769</v>
      </c>
      <c r="I37" s="250">
        <f t="shared" si="6"/>
        <v>9766.7999999999993</v>
      </c>
      <c r="J37" s="250">
        <f t="shared" si="6"/>
        <v>9858.2040000000015</v>
      </c>
      <c r="K37" s="250">
        <f t="shared" si="6"/>
        <v>9951.4360799999995</v>
      </c>
      <c r="L37" s="250">
        <f t="shared" si="6"/>
        <v>10046.5328016</v>
      </c>
      <c r="M37" s="251">
        <f t="shared" si="6"/>
        <v>10143.531457632002</v>
      </c>
      <c r="O37" s="24"/>
    </row>
    <row r="38" spans="3:15" x14ac:dyDescent="0.25">
      <c r="C38" s="243" t="s">
        <v>108</v>
      </c>
      <c r="D38" s="248">
        <f>SUM(D33:D37)</f>
        <v>82684.23453278956</v>
      </c>
      <c r="E38" s="248">
        <f>SUM(E33:E37)</f>
        <v>88354.041959046692</v>
      </c>
      <c r="F38" s="248">
        <f t="shared" ref="F38:L38" si="7">SUM(F33:F37)</f>
        <v>90202.615290279005</v>
      </c>
      <c r="G38" s="248">
        <f t="shared" si="7"/>
        <v>102510.00826333626</v>
      </c>
      <c r="H38" s="248">
        <f t="shared" si="7"/>
        <v>107439.34827242169</v>
      </c>
      <c r="I38" s="248">
        <f t="shared" si="7"/>
        <v>104985.5</v>
      </c>
      <c r="J38" s="248">
        <f t="shared" si="7"/>
        <v>106149.822</v>
      </c>
      <c r="K38" s="248">
        <f t="shared" si="7"/>
        <v>107337.43044</v>
      </c>
      <c r="L38" s="248">
        <f t="shared" si="7"/>
        <v>108548.79104880001</v>
      </c>
      <c r="M38" s="249">
        <f>SUM(M33:M37)</f>
        <v>109784.378869776</v>
      </c>
      <c r="O38" s="24"/>
    </row>
    <row r="39" spans="3:15" x14ac:dyDescent="0.25">
      <c r="C39" s="116"/>
      <c r="M39" s="18"/>
      <c r="O39" s="24"/>
    </row>
    <row r="40" spans="3:15" x14ac:dyDescent="0.25">
      <c r="C40" s="242" t="s">
        <v>109</v>
      </c>
      <c r="D40" s="250">
        <f>D31-D38</f>
        <v>7165.8540922692628</v>
      </c>
      <c r="E40" s="250">
        <f t="shared" ref="E40:M40" si="8">E31-E38</f>
        <v>7936.9204275545926</v>
      </c>
      <c r="F40" s="250">
        <f t="shared" si="8"/>
        <v>8240.4961474091979</v>
      </c>
      <c r="G40" s="250">
        <f>G31-G38</f>
        <v>8300.1534044298751</v>
      </c>
      <c r="H40" s="250">
        <f t="shared" si="8"/>
        <v>8433.9901558654674</v>
      </c>
      <c r="I40" s="250">
        <f t="shared" si="8"/>
        <v>8168.5</v>
      </c>
      <c r="J40" s="250">
        <f t="shared" si="8"/>
        <v>8227.9380000000092</v>
      </c>
      <c r="K40" s="250">
        <f t="shared" si="8"/>
        <v>8288.5647600000084</v>
      </c>
      <c r="L40" s="250">
        <f t="shared" si="8"/>
        <v>8350.4040552000079</v>
      </c>
      <c r="M40" s="251">
        <f t="shared" si="8"/>
        <v>8413.4801363040024</v>
      </c>
      <c r="O40" s="24"/>
    </row>
    <row r="41" spans="3:15" x14ac:dyDescent="0.25">
      <c r="D41" s="252">
        <f>D40+D38</f>
        <v>89850.088625058823</v>
      </c>
      <c r="E41" s="252">
        <f>E40+E38</f>
        <v>96290.962386601284</v>
      </c>
      <c r="F41" s="252">
        <f t="shared" ref="F41:M41" si="9">F40+F38</f>
        <v>98443.111437688203</v>
      </c>
      <c r="G41" s="252">
        <f t="shared" si="9"/>
        <v>110810.16166776614</v>
      </c>
      <c r="H41" s="252">
        <f t="shared" si="9"/>
        <v>115873.33842828716</v>
      </c>
      <c r="I41" s="252">
        <f t="shared" si="9"/>
        <v>113154</v>
      </c>
      <c r="J41" s="252">
        <f t="shared" si="9"/>
        <v>114377.76000000001</v>
      </c>
      <c r="K41" s="252">
        <f t="shared" si="9"/>
        <v>115625.9952</v>
      </c>
      <c r="L41" s="252">
        <f t="shared" si="9"/>
        <v>116899.19510400001</v>
      </c>
      <c r="M41" s="252">
        <f t="shared" si="9"/>
        <v>118197.85900608001</v>
      </c>
      <c r="O41" s="24"/>
    </row>
    <row r="42" spans="3:15" x14ac:dyDescent="0.25">
      <c r="C42" s="118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4"/>
    </row>
    <row r="43" spans="3:15" x14ac:dyDescent="0.25">
      <c r="C43" s="115" t="str">
        <f t="shared" ref="C43:M43" si="10">C33</f>
        <v>Sub-Trans</v>
      </c>
      <c r="D43" s="246">
        <f t="shared" si="10"/>
        <v>8641.5629729628054</v>
      </c>
      <c r="E43" s="246">
        <f t="shared" si="10"/>
        <v>8179.8065008375879</v>
      </c>
      <c r="F43" s="246">
        <f t="shared" si="10"/>
        <v>15869.143841292818</v>
      </c>
      <c r="G43" s="246">
        <f t="shared" si="10"/>
        <v>20022.968202017721</v>
      </c>
      <c r="H43" s="246">
        <f t="shared" si="10"/>
        <v>5278.4437091944746</v>
      </c>
      <c r="I43" s="246">
        <f t="shared" si="10"/>
        <v>13724</v>
      </c>
      <c r="J43" s="246">
        <f t="shared" si="10"/>
        <v>13998.48</v>
      </c>
      <c r="K43" s="246">
        <f t="shared" si="10"/>
        <v>14278.4496</v>
      </c>
      <c r="L43" s="246">
        <f t="shared" si="10"/>
        <v>14564.018592</v>
      </c>
      <c r="M43" s="247">
        <f t="shared" si="10"/>
        <v>14855.298963840001</v>
      </c>
    </row>
    <row r="44" spans="3:15" x14ac:dyDescent="0.25">
      <c r="C44" s="116" t="str">
        <f t="shared" ref="C44:M44" si="11">C34</f>
        <v>Zone S/Stn</v>
      </c>
      <c r="D44" s="248">
        <f t="shared" si="11"/>
        <v>23114.696321157495</v>
      </c>
      <c r="E44" s="248">
        <f t="shared" si="11"/>
        <v>27861.514527699659</v>
      </c>
      <c r="F44" s="248">
        <f t="shared" si="11"/>
        <v>20123.184014796585</v>
      </c>
      <c r="G44" s="248">
        <f t="shared" si="11"/>
        <v>23940.648152089649</v>
      </c>
      <c r="H44" s="248">
        <f t="shared" si="11"/>
        <v>43131.542871019148</v>
      </c>
      <c r="I44" s="248">
        <f t="shared" si="11"/>
        <v>34434.5</v>
      </c>
      <c r="J44" s="248">
        <f t="shared" si="11"/>
        <v>35123.19</v>
      </c>
      <c r="K44" s="248">
        <f t="shared" si="11"/>
        <v>35825.6538</v>
      </c>
      <c r="L44" s="248">
        <f t="shared" si="11"/>
        <v>36542.16687600001</v>
      </c>
      <c r="M44" s="249">
        <f t="shared" si="11"/>
        <v>37273.01021352</v>
      </c>
    </row>
    <row r="45" spans="3:15" x14ac:dyDescent="0.25">
      <c r="C45" s="116" t="str">
        <f t="shared" ref="C45:M45" si="12">C35</f>
        <v>HV Feeder</v>
      </c>
      <c r="D45" s="248">
        <f t="shared" si="12"/>
        <v>27664.373140244134</v>
      </c>
      <c r="E45" s="248">
        <f t="shared" si="12"/>
        <v>27830.69472154582</v>
      </c>
      <c r="F45" s="248">
        <f t="shared" si="12"/>
        <v>28831.318298948274</v>
      </c>
      <c r="G45" s="248">
        <f t="shared" si="12"/>
        <v>32537.790167827199</v>
      </c>
      <c r="H45" s="248">
        <f t="shared" si="12"/>
        <v>32824.989295012696</v>
      </c>
      <c r="I45" s="248">
        <f t="shared" si="12"/>
        <v>31510.300000000003</v>
      </c>
      <c r="J45" s="248">
        <f t="shared" si="12"/>
        <v>31568.880000000005</v>
      </c>
      <c r="K45" s="248">
        <f t="shared" si="12"/>
        <v>31628.631600000004</v>
      </c>
      <c r="L45" s="248">
        <f t="shared" si="12"/>
        <v>31689.578232000003</v>
      </c>
      <c r="M45" s="249">
        <f t="shared" si="12"/>
        <v>31751.743796640003</v>
      </c>
    </row>
    <row r="46" spans="3:15" x14ac:dyDescent="0.25">
      <c r="C46" s="116" t="str">
        <f t="shared" ref="C46:M46" si="13">C36</f>
        <v>Dist T/F</v>
      </c>
      <c r="D46" s="253">
        <f t="shared" si="13"/>
        <v>14471.255430143126</v>
      </c>
      <c r="E46" s="248">
        <f t="shared" si="13"/>
        <v>15037.883432412353</v>
      </c>
      <c r="F46" s="248">
        <f t="shared" si="13"/>
        <v>15627.948640921801</v>
      </c>
      <c r="G46" s="248">
        <f t="shared" si="13"/>
        <v>16069.025356117692</v>
      </c>
      <c r="H46" s="248">
        <f t="shared" si="13"/>
        <v>16125.549943291602</v>
      </c>
      <c r="I46" s="248">
        <f t="shared" si="13"/>
        <v>15549.9</v>
      </c>
      <c r="J46" s="248">
        <f t="shared" si="13"/>
        <v>15601.067999999999</v>
      </c>
      <c r="K46" s="248">
        <f t="shared" si="13"/>
        <v>15653.25936</v>
      </c>
      <c r="L46" s="248">
        <f t="shared" si="13"/>
        <v>15706.4945472</v>
      </c>
      <c r="M46" s="249">
        <f t="shared" si="13"/>
        <v>15760.794438143999</v>
      </c>
    </row>
    <row r="47" spans="3:15" x14ac:dyDescent="0.25">
      <c r="C47" s="116" t="str">
        <f t="shared" ref="C47:M47" si="14">C37</f>
        <v>LV Feeder</v>
      </c>
      <c r="D47" s="248">
        <f t="shared" si="14"/>
        <v>8792.3466682820035</v>
      </c>
      <c r="E47" s="248">
        <f t="shared" si="14"/>
        <v>9444.1427765512617</v>
      </c>
      <c r="F47" s="248">
        <f t="shared" si="14"/>
        <v>9751.0204943195331</v>
      </c>
      <c r="G47" s="248">
        <f t="shared" si="14"/>
        <v>9939.5763852840046</v>
      </c>
      <c r="H47" s="248">
        <f t="shared" si="14"/>
        <v>10078.822453903769</v>
      </c>
      <c r="I47" s="248">
        <f t="shared" si="14"/>
        <v>9766.7999999999993</v>
      </c>
      <c r="J47" s="248">
        <f t="shared" si="14"/>
        <v>9858.2040000000015</v>
      </c>
      <c r="K47" s="248">
        <f t="shared" si="14"/>
        <v>9951.4360799999995</v>
      </c>
      <c r="L47" s="248">
        <f t="shared" si="14"/>
        <v>10046.5328016</v>
      </c>
      <c r="M47" s="249">
        <f t="shared" si="14"/>
        <v>10143.531457632002</v>
      </c>
    </row>
    <row r="48" spans="3:15" x14ac:dyDescent="0.25">
      <c r="C48" s="117" t="s">
        <v>110</v>
      </c>
      <c r="D48" s="254">
        <f>SUM(D43:D47)</f>
        <v>82684.23453278956</v>
      </c>
      <c r="E48" s="254">
        <f t="shared" ref="E48:M48" si="15">SUM(E43:E47)</f>
        <v>88354.041959046692</v>
      </c>
      <c r="F48" s="254">
        <f t="shared" si="15"/>
        <v>90202.615290279005</v>
      </c>
      <c r="G48" s="254">
        <f t="shared" si="15"/>
        <v>102510.00826333626</v>
      </c>
      <c r="H48" s="254">
        <f t="shared" si="15"/>
        <v>107439.34827242169</v>
      </c>
      <c r="I48" s="254">
        <f t="shared" si="15"/>
        <v>104985.5</v>
      </c>
      <c r="J48" s="254">
        <f t="shared" si="15"/>
        <v>106149.822</v>
      </c>
      <c r="K48" s="254">
        <f t="shared" si="15"/>
        <v>107337.43044</v>
      </c>
      <c r="L48" s="254">
        <f t="shared" si="15"/>
        <v>108548.79104880001</v>
      </c>
      <c r="M48" s="255">
        <f t="shared" si="15"/>
        <v>109784.378869776</v>
      </c>
    </row>
    <row r="50" spans="3:23" s="294" customFormat="1" x14ac:dyDescent="0.25">
      <c r="C50" s="296"/>
      <c r="D50" s="127" t="s">
        <v>117</v>
      </c>
      <c r="E50" s="127" t="s">
        <v>118</v>
      </c>
      <c r="F50" s="127" t="s">
        <v>119</v>
      </c>
      <c r="G50" s="127" t="s">
        <v>120</v>
      </c>
      <c r="H50" s="295" t="s">
        <v>121</v>
      </c>
      <c r="I50" s="127" t="s">
        <v>122</v>
      </c>
      <c r="J50" s="127" t="s">
        <v>123</v>
      </c>
      <c r="K50" s="127" t="s">
        <v>124</v>
      </c>
      <c r="L50" s="127" t="s">
        <v>125</v>
      </c>
      <c r="M50" s="295" t="s">
        <v>126</v>
      </c>
      <c r="N50" s="127" t="s">
        <v>127</v>
      </c>
      <c r="O50" s="127" t="s">
        <v>128</v>
      </c>
      <c r="P50" s="127" t="s">
        <v>129</v>
      </c>
      <c r="Q50" s="127" t="s">
        <v>130</v>
      </c>
      <c r="R50" s="295" t="s">
        <v>131</v>
      </c>
      <c r="S50" s="127" t="s">
        <v>132</v>
      </c>
      <c r="T50" s="127" t="s">
        <v>133</v>
      </c>
      <c r="U50" s="127" t="s">
        <v>134</v>
      </c>
      <c r="V50" s="127" t="s">
        <v>135</v>
      </c>
      <c r="W50" s="295" t="s">
        <v>136</v>
      </c>
    </row>
    <row r="51" spans="3:23" x14ac:dyDescent="0.25">
      <c r="C51" s="116"/>
      <c r="H51" s="18"/>
      <c r="I51" s="17"/>
      <c r="M51" s="18"/>
      <c r="N51" s="17"/>
      <c r="R51" s="18"/>
      <c r="S51" s="17"/>
      <c r="W51" s="18"/>
    </row>
    <row r="52" spans="3:23" x14ac:dyDescent="0.25">
      <c r="C52" s="116" t="str">
        <f>C33</f>
        <v>Sub-Trans</v>
      </c>
      <c r="D52" s="248">
        <f t="shared" ref="D52:M52" si="16">D43*1000</f>
        <v>8641562.972962806</v>
      </c>
      <c r="E52" s="248">
        <f t="shared" si="16"/>
        <v>8179806.5008375878</v>
      </c>
      <c r="F52" s="248">
        <f t="shared" si="16"/>
        <v>15869143.841292819</v>
      </c>
      <c r="G52" s="248">
        <f t="shared" si="16"/>
        <v>20022968.202017721</v>
      </c>
      <c r="H52" s="249">
        <f t="shared" si="16"/>
        <v>5278443.7091944749</v>
      </c>
      <c r="I52" s="256">
        <f t="shared" si="16"/>
        <v>13724000</v>
      </c>
      <c r="J52" s="257">
        <f t="shared" si="16"/>
        <v>13998480</v>
      </c>
      <c r="K52" s="257">
        <f t="shared" si="16"/>
        <v>14278449.6</v>
      </c>
      <c r="L52" s="257">
        <f t="shared" si="16"/>
        <v>14564018.592</v>
      </c>
      <c r="M52" s="258">
        <f t="shared" si="16"/>
        <v>14855298.963840002</v>
      </c>
      <c r="N52" s="261">
        <f>AVERAGE(I52:M52)</f>
        <v>14284049.431168001</v>
      </c>
      <c r="O52" s="262">
        <f>N52</f>
        <v>14284049.431168001</v>
      </c>
      <c r="P52" s="262">
        <f>O52</f>
        <v>14284049.431168001</v>
      </c>
      <c r="Q52" s="262">
        <f t="shared" ref="Q52:W56" si="17">P52</f>
        <v>14284049.431168001</v>
      </c>
      <c r="R52" s="263">
        <f t="shared" si="17"/>
        <v>14284049.431168001</v>
      </c>
      <c r="S52" s="261">
        <f t="shared" si="17"/>
        <v>14284049.431168001</v>
      </c>
      <c r="T52" s="262">
        <f t="shared" si="17"/>
        <v>14284049.431168001</v>
      </c>
      <c r="U52" s="262">
        <f t="shared" si="17"/>
        <v>14284049.431168001</v>
      </c>
      <c r="V52" s="262">
        <f t="shared" si="17"/>
        <v>14284049.431168001</v>
      </c>
      <c r="W52" s="263">
        <f t="shared" si="17"/>
        <v>14284049.431168001</v>
      </c>
    </row>
    <row r="53" spans="3:23" x14ac:dyDescent="0.25">
      <c r="C53" s="116" t="str">
        <f>C34</f>
        <v>Zone S/Stn</v>
      </c>
      <c r="D53" s="248">
        <f t="shared" ref="D53:M53" si="18">D44*1000</f>
        <v>23114696.321157496</v>
      </c>
      <c r="E53" s="248">
        <f t="shared" si="18"/>
        <v>27861514.527699661</v>
      </c>
      <c r="F53" s="248">
        <f t="shared" si="18"/>
        <v>20123184.014796585</v>
      </c>
      <c r="G53" s="248">
        <f t="shared" si="18"/>
        <v>23940648.152089648</v>
      </c>
      <c r="H53" s="249">
        <f t="shared" si="18"/>
        <v>43131542.871019147</v>
      </c>
      <c r="I53" s="256">
        <f t="shared" si="18"/>
        <v>34434500</v>
      </c>
      <c r="J53" s="257">
        <f t="shared" si="18"/>
        <v>35123190</v>
      </c>
      <c r="K53" s="257">
        <f t="shared" si="18"/>
        <v>35825653.799999997</v>
      </c>
      <c r="L53" s="257">
        <f t="shared" si="18"/>
        <v>36542166.876000009</v>
      </c>
      <c r="M53" s="258">
        <f t="shared" si="18"/>
        <v>37273010.213519998</v>
      </c>
      <c r="N53" s="261">
        <f t="shared" ref="N53:N55" si="19">AVERAGE(I53:M53)</f>
        <v>35839704.177903995</v>
      </c>
      <c r="O53" s="262">
        <f t="shared" ref="O53:S56" si="20">N53</f>
        <v>35839704.177903995</v>
      </c>
      <c r="P53" s="262">
        <f t="shared" si="20"/>
        <v>35839704.177903995</v>
      </c>
      <c r="Q53" s="262">
        <f t="shared" si="20"/>
        <v>35839704.177903995</v>
      </c>
      <c r="R53" s="263">
        <f t="shared" si="20"/>
        <v>35839704.177903995</v>
      </c>
      <c r="S53" s="261">
        <f t="shared" si="20"/>
        <v>35839704.177903995</v>
      </c>
      <c r="T53" s="262">
        <f t="shared" si="17"/>
        <v>35839704.177903995</v>
      </c>
      <c r="U53" s="262">
        <f t="shared" si="17"/>
        <v>35839704.177903995</v>
      </c>
      <c r="V53" s="262">
        <f t="shared" si="17"/>
        <v>35839704.177903995</v>
      </c>
      <c r="W53" s="263">
        <f t="shared" si="17"/>
        <v>35839704.177903995</v>
      </c>
    </row>
    <row r="54" spans="3:23" x14ac:dyDescent="0.25">
      <c r="C54" s="116" t="str">
        <f>C35</f>
        <v>HV Feeder</v>
      </c>
      <c r="D54" s="248">
        <f t="shared" ref="D54:M54" si="21">D45*1000</f>
        <v>27664373.140244134</v>
      </c>
      <c r="E54" s="248">
        <f t="shared" si="21"/>
        <v>27830694.721545819</v>
      </c>
      <c r="F54" s="248">
        <f t="shared" si="21"/>
        <v>28831318.298948273</v>
      </c>
      <c r="G54" s="248">
        <f t="shared" si="21"/>
        <v>32537790.1678272</v>
      </c>
      <c r="H54" s="249">
        <f t="shared" si="21"/>
        <v>32824989.295012698</v>
      </c>
      <c r="I54" s="256">
        <f t="shared" si="21"/>
        <v>31510300.000000004</v>
      </c>
      <c r="J54" s="257">
        <f t="shared" si="21"/>
        <v>31568880.000000004</v>
      </c>
      <c r="K54" s="257">
        <f t="shared" si="21"/>
        <v>31628631.600000005</v>
      </c>
      <c r="L54" s="257">
        <f t="shared" si="21"/>
        <v>31689578.232000005</v>
      </c>
      <c r="M54" s="258">
        <f t="shared" si="21"/>
        <v>31751743.796640001</v>
      </c>
      <c r="N54" s="261">
        <f t="shared" si="19"/>
        <v>31629826.725728005</v>
      </c>
      <c r="O54" s="262">
        <f t="shared" si="20"/>
        <v>31629826.725728005</v>
      </c>
      <c r="P54" s="262">
        <f t="shared" si="20"/>
        <v>31629826.725728005</v>
      </c>
      <c r="Q54" s="262">
        <f t="shared" si="20"/>
        <v>31629826.725728005</v>
      </c>
      <c r="R54" s="263">
        <f t="shared" si="20"/>
        <v>31629826.725728005</v>
      </c>
      <c r="S54" s="261">
        <f t="shared" si="20"/>
        <v>31629826.725728005</v>
      </c>
      <c r="T54" s="262">
        <f t="shared" si="17"/>
        <v>31629826.725728005</v>
      </c>
      <c r="U54" s="262">
        <f t="shared" si="17"/>
        <v>31629826.725728005</v>
      </c>
      <c r="V54" s="262">
        <f t="shared" si="17"/>
        <v>31629826.725728005</v>
      </c>
      <c r="W54" s="263">
        <f t="shared" si="17"/>
        <v>31629826.725728005</v>
      </c>
    </row>
    <row r="55" spans="3:23" x14ac:dyDescent="0.25">
      <c r="C55" s="116" t="str">
        <f>C36</f>
        <v>Dist T/F</v>
      </c>
      <c r="D55" s="248">
        <f t="shared" ref="D55:M55" si="22">D46*1000</f>
        <v>14471255.430143127</v>
      </c>
      <c r="E55" s="248">
        <f t="shared" si="22"/>
        <v>15037883.432412352</v>
      </c>
      <c r="F55" s="248">
        <f t="shared" si="22"/>
        <v>15627948.640921801</v>
      </c>
      <c r="G55" s="248">
        <f t="shared" si="22"/>
        <v>16069025.356117692</v>
      </c>
      <c r="H55" s="249">
        <f t="shared" si="22"/>
        <v>16125549.943291603</v>
      </c>
      <c r="I55" s="256">
        <f t="shared" si="22"/>
        <v>15549900</v>
      </c>
      <c r="J55" s="257">
        <f t="shared" si="22"/>
        <v>15601068</v>
      </c>
      <c r="K55" s="257">
        <f t="shared" si="22"/>
        <v>15653259.359999999</v>
      </c>
      <c r="L55" s="257">
        <f t="shared" si="22"/>
        <v>15706494.5472</v>
      </c>
      <c r="M55" s="258">
        <f t="shared" si="22"/>
        <v>15760794.438143998</v>
      </c>
      <c r="N55" s="261">
        <f t="shared" si="19"/>
        <v>15654303.269068802</v>
      </c>
      <c r="O55" s="262">
        <f t="shared" si="20"/>
        <v>15654303.269068802</v>
      </c>
      <c r="P55" s="262">
        <f t="shared" si="20"/>
        <v>15654303.269068802</v>
      </c>
      <c r="Q55" s="262">
        <f t="shared" si="20"/>
        <v>15654303.269068802</v>
      </c>
      <c r="R55" s="263">
        <f t="shared" si="20"/>
        <v>15654303.269068802</v>
      </c>
      <c r="S55" s="261">
        <f t="shared" si="20"/>
        <v>15654303.269068802</v>
      </c>
      <c r="T55" s="262">
        <f t="shared" si="17"/>
        <v>15654303.269068802</v>
      </c>
      <c r="U55" s="262">
        <f t="shared" si="17"/>
        <v>15654303.269068802</v>
      </c>
      <c r="V55" s="262">
        <f t="shared" si="17"/>
        <v>15654303.269068802</v>
      </c>
      <c r="W55" s="263">
        <f t="shared" si="17"/>
        <v>15654303.269068802</v>
      </c>
    </row>
    <row r="56" spans="3:23" x14ac:dyDescent="0.25">
      <c r="C56" s="116" t="str">
        <f>C37</f>
        <v>LV Feeder</v>
      </c>
      <c r="D56" s="248">
        <f t="shared" ref="D56:M56" si="23">D47*1000</f>
        <v>8792346.6682820041</v>
      </c>
      <c r="E56" s="248">
        <f t="shared" si="23"/>
        <v>9444142.7765512615</v>
      </c>
      <c r="F56" s="248">
        <f t="shared" si="23"/>
        <v>9751020.4943195339</v>
      </c>
      <c r="G56" s="248">
        <f t="shared" si="23"/>
        <v>9939576.3852840047</v>
      </c>
      <c r="H56" s="249">
        <f t="shared" si="23"/>
        <v>10078822.45390377</v>
      </c>
      <c r="I56" s="256">
        <f t="shared" si="23"/>
        <v>9766800</v>
      </c>
      <c r="J56" s="257">
        <f t="shared" si="23"/>
        <v>9858204.0000000019</v>
      </c>
      <c r="K56" s="257">
        <f t="shared" si="23"/>
        <v>9951436.0800000001</v>
      </c>
      <c r="L56" s="257">
        <f t="shared" si="23"/>
        <v>10046532.8016</v>
      </c>
      <c r="M56" s="258">
        <f t="shared" si="23"/>
        <v>10143531.457632001</v>
      </c>
      <c r="N56" s="261">
        <f>AVERAGE(I56:M56)</f>
        <v>9953300.8678463995</v>
      </c>
      <c r="O56" s="262">
        <f t="shared" si="20"/>
        <v>9953300.8678463995</v>
      </c>
      <c r="P56" s="262">
        <f t="shared" si="20"/>
        <v>9953300.8678463995</v>
      </c>
      <c r="Q56" s="262">
        <f t="shared" si="20"/>
        <v>9953300.8678463995</v>
      </c>
      <c r="R56" s="263">
        <f t="shared" si="20"/>
        <v>9953300.8678463995</v>
      </c>
      <c r="S56" s="261">
        <f t="shared" si="20"/>
        <v>9953300.8678463995</v>
      </c>
      <c r="T56" s="262">
        <f t="shared" si="17"/>
        <v>9953300.8678463995</v>
      </c>
      <c r="U56" s="262">
        <f t="shared" si="17"/>
        <v>9953300.8678463995</v>
      </c>
      <c r="V56" s="262">
        <f t="shared" si="17"/>
        <v>9953300.8678463995</v>
      </c>
      <c r="W56" s="263">
        <f t="shared" si="17"/>
        <v>9953300.8678463995</v>
      </c>
    </row>
    <row r="57" spans="3:23" x14ac:dyDescent="0.25">
      <c r="C57" s="116"/>
      <c r="D57" s="248"/>
      <c r="E57" s="248"/>
      <c r="F57" s="248"/>
      <c r="G57" s="248"/>
      <c r="H57" s="249"/>
      <c r="I57" s="259"/>
      <c r="J57" s="248"/>
      <c r="K57" s="248"/>
      <c r="L57" s="248"/>
      <c r="M57" s="249"/>
      <c r="N57" s="259"/>
      <c r="O57" s="248"/>
      <c r="P57" s="248"/>
      <c r="Q57" s="248"/>
      <c r="R57" s="249"/>
      <c r="S57" s="259"/>
      <c r="T57" s="248"/>
      <c r="U57" s="248"/>
      <c r="V57" s="248"/>
      <c r="W57" s="249"/>
    </row>
    <row r="58" spans="3:23" x14ac:dyDescent="0.25">
      <c r="C58" s="117" t="s">
        <v>112</v>
      </c>
      <c r="D58" s="254">
        <f t="shared" ref="D58:W58" si="24">SUM(D52:D57)</f>
        <v>82684234.532789573</v>
      </c>
      <c r="E58" s="254">
        <f t="shared" si="24"/>
        <v>88354041.959046692</v>
      </c>
      <c r="F58" s="254">
        <f t="shared" si="24"/>
        <v>90202615.290279001</v>
      </c>
      <c r="G58" s="254">
        <f t="shared" si="24"/>
        <v>102510008.26333627</v>
      </c>
      <c r="H58" s="255">
        <f t="shared" si="24"/>
        <v>107439348.27242169</v>
      </c>
      <c r="I58" s="260">
        <f t="shared" si="24"/>
        <v>104985500</v>
      </c>
      <c r="J58" s="254">
        <f t="shared" si="24"/>
        <v>106149822</v>
      </c>
      <c r="K58" s="254">
        <f t="shared" si="24"/>
        <v>107337430.44</v>
      </c>
      <c r="L58" s="254">
        <f t="shared" si="24"/>
        <v>108548791.04880001</v>
      </c>
      <c r="M58" s="255">
        <f t="shared" si="24"/>
        <v>109784378.86977601</v>
      </c>
      <c r="N58" s="260">
        <f t="shared" si="24"/>
        <v>107361184.47171521</v>
      </c>
      <c r="O58" s="254">
        <f t="shared" si="24"/>
        <v>107361184.47171521</v>
      </c>
      <c r="P58" s="254">
        <f t="shared" si="24"/>
        <v>107361184.47171521</v>
      </c>
      <c r="Q58" s="254">
        <f t="shared" si="24"/>
        <v>107361184.47171521</v>
      </c>
      <c r="R58" s="255">
        <f t="shared" si="24"/>
        <v>107361184.47171521</v>
      </c>
      <c r="S58" s="260">
        <f t="shared" si="24"/>
        <v>107361184.47171521</v>
      </c>
      <c r="T58" s="254">
        <f t="shared" si="24"/>
        <v>107361184.47171521</v>
      </c>
      <c r="U58" s="254">
        <f t="shared" si="24"/>
        <v>107361184.47171521</v>
      </c>
      <c r="V58" s="254">
        <f t="shared" si="24"/>
        <v>107361184.47171521</v>
      </c>
      <c r="W58" s="255">
        <f t="shared" si="24"/>
        <v>107361184.47171521</v>
      </c>
    </row>
  </sheetData>
  <mergeCells count="2">
    <mergeCell ref="B2:C2"/>
    <mergeCell ref="P2:U3"/>
  </mergeCells>
  <pageMargins left="0.7" right="0.7" top="0.75" bottom="0.75" header="0.3" footer="0.3"/>
  <pageSetup paperSize="9" scale="38" orientation="landscape" r:id="rId1"/>
  <ignoredErrors>
    <ignoredError sqref="D31:E31 J31:M31 F31:I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1A9A7-1804-4FFF-B4C2-C299F8225F1D}">
  <sheetPr>
    <tabColor theme="4"/>
  </sheetPr>
  <dimension ref="B1:AB44"/>
  <sheetViews>
    <sheetView workbookViewId="0">
      <selection activeCell="A2" sqref="A2"/>
    </sheetView>
  </sheetViews>
  <sheetFormatPr defaultColWidth="9.140625" defaultRowHeight="15" x14ac:dyDescent="0.25"/>
  <cols>
    <col min="1" max="1" width="9.140625" style="96"/>
    <col min="2" max="2" width="45.28515625" style="96" customWidth="1"/>
    <col min="3" max="3" width="14.7109375" style="104" bestFit="1" customWidth="1"/>
    <col min="4" max="12" width="12.5703125" style="104" bestFit="1" customWidth="1"/>
    <col min="13" max="14" width="12.5703125" style="96" bestFit="1" customWidth="1"/>
    <col min="15" max="20" width="10.140625" style="96" customWidth="1"/>
    <col min="21" max="22" width="12.5703125" style="96" bestFit="1" customWidth="1"/>
    <col min="23" max="16384" width="9.140625" style="96"/>
  </cols>
  <sheetData>
    <row r="1" spans="2:28" x14ac:dyDescent="0.25">
      <c r="B1" s="306" t="s">
        <v>106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</row>
    <row r="2" spans="2:28" ht="15" customHeight="1" x14ac:dyDescent="0.25"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2:28" x14ac:dyDescent="0.25">
      <c r="C3" s="1" t="s">
        <v>117</v>
      </c>
      <c r="D3" s="1" t="s">
        <v>118</v>
      </c>
      <c r="E3" s="1" t="s">
        <v>119</v>
      </c>
      <c r="F3" s="1" t="s">
        <v>120</v>
      </c>
      <c r="G3" s="1" t="s">
        <v>121</v>
      </c>
      <c r="H3" s="1" t="s">
        <v>122</v>
      </c>
      <c r="I3" s="1" t="s">
        <v>123</v>
      </c>
      <c r="J3" s="1" t="s">
        <v>124</v>
      </c>
      <c r="K3" s="1" t="s">
        <v>125</v>
      </c>
      <c r="L3" s="1" t="s">
        <v>126</v>
      </c>
    </row>
    <row r="4" spans="2:28" x14ac:dyDescent="0.25">
      <c r="B4" s="106"/>
      <c r="C4" s="107"/>
      <c r="D4" s="107"/>
      <c r="E4" s="107"/>
      <c r="F4" s="107"/>
      <c r="G4" s="107"/>
      <c r="H4" s="107"/>
      <c r="I4" s="107"/>
      <c r="J4" s="107"/>
      <c r="K4" s="107"/>
      <c r="L4" s="108"/>
      <c r="O4" s="28" t="s">
        <v>14</v>
      </c>
      <c r="P4" s="29" t="s">
        <v>15</v>
      </c>
      <c r="Q4" s="29" t="s">
        <v>16</v>
      </c>
      <c r="R4" s="29" t="s">
        <v>17</v>
      </c>
      <c r="S4" s="29" t="s">
        <v>18</v>
      </c>
      <c r="T4" s="30" t="s">
        <v>45</v>
      </c>
    </row>
    <row r="5" spans="2:28" x14ac:dyDescent="0.25">
      <c r="B5" s="109" t="s">
        <v>46</v>
      </c>
      <c r="C5" s="110"/>
      <c r="D5" s="110"/>
      <c r="E5" s="110"/>
      <c r="F5" s="110"/>
      <c r="G5" s="110"/>
      <c r="H5" s="110"/>
      <c r="I5" s="110"/>
      <c r="J5" s="110"/>
      <c r="K5" s="110"/>
      <c r="L5" s="111"/>
      <c r="O5" s="98"/>
      <c r="T5" s="99"/>
    </row>
    <row r="6" spans="2:28" x14ac:dyDescent="0.25">
      <c r="B6" s="112" t="s">
        <v>47</v>
      </c>
      <c r="C6" s="244">
        <v>6.3615260089285703</v>
      </c>
      <c r="D6" s="244">
        <v>9.9119880351239225</v>
      </c>
      <c r="E6" s="244">
        <v>13.472788473100181</v>
      </c>
      <c r="F6" s="244">
        <v>17.053757080427978</v>
      </c>
      <c r="G6" s="244">
        <v>20.655994759305372</v>
      </c>
      <c r="H6" s="244">
        <v>18.899999999999999</v>
      </c>
      <c r="I6" s="244">
        <v>19.277999999999999</v>
      </c>
      <c r="J6" s="244">
        <v>19.66356</v>
      </c>
      <c r="K6" s="244">
        <v>20.056831200000001</v>
      </c>
      <c r="L6" s="245">
        <v>20.457967824000001</v>
      </c>
      <c r="N6" s="100"/>
      <c r="O6" s="122"/>
      <c r="P6" s="123"/>
      <c r="Q6" s="124">
        <v>0.1</v>
      </c>
      <c r="R6" s="123"/>
      <c r="S6" s="124"/>
      <c r="T6" s="125">
        <f t="shared" ref="T6:T16" si="0">1-SUM(O6:S6)</f>
        <v>0.9</v>
      </c>
      <c r="V6" s="101"/>
      <c r="W6" s="101"/>
      <c r="X6" s="101"/>
      <c r="Y6" s="101"/>
      <c r="Z6" s="101"/>
      <c r="AA6" s="101"/>
      <c r="AB6" s="101"/>
    </row>
    <row r="7" spans="2:28" x14ac:dyDescent="0.25">
      <c r="B7" s="112" t="s">
        <v>48</v>
      </c>
      <c r="C7" s="244">
        <v>8.6649368659685013</v>
      </c>
      <c r="D7" s="244">
        <v>12.484929023631794</v>
      </c>
      <c r="E7" s="244">
        <v>16.315514517177327</v>
      </c>
      <c r="F7" s="244">
        <v>20.168642924514579</v>
      </c>
      <c r="G7" s="244">
        <v>24.045148764833783</v>
      </c>
      <c r="H7" s="244">
        <v>22.1</v>
      </c>
      <c r="I7" s="244">
        <v>22.542000000000002</v>
      </c>
      <c r="J7" s="244">
        <v>22.992840000000001</v>
      </c>
      <c r="K7" s="244">
        <v>23.452696800000002</v>
      </c>
      <c r="L7" s="245">
        <v>23.921750736000003</v>
      </c>
      <c r="N7" s="100"/>
      <c r="O7" s="122"/>
      <c r="P7" s="123"/>
      <c r="Q7" s="124">
        <v>0.1</v>
      </c>
      <c r="R7" s="123"/>
      <c r="S7" s="124"/>
      <c r="T7" s="125">
        <f t="shared" si="0"/>
        <v>0.9</v>
      </c>
      <c r="V7" s="101"/>
      <c r="W7" s="101"/>
      <c r="X7" s="101"/>
      <c r="Y7" s="101"/>
      <c r="Z7" s="101"/>
      <c r="AA7" s="101"/>
      <c r="AB7" s="101"/>
    </row>
    <row r="8" spans="2:28" x14ac:dyDescent="0.25">
      <c r="B8" s="112" t="s">
        <v>49</v>
      </c>
      <c r="C8" s="244">
        <v>3.8132187595538602</v>
      </c>
      <c r="D8" s="244">
        <v>4.1031333583338343</v>
      </c>
      <c r="E8" s="244">
        <v>4.3929333930267758</v>
      </c>
      <c r="F8" s="244">
        <v>4.6859067534156624</v>
      </c>
      <c r="G8" s="244">
        <v>4.9815101629989726</v>
      </c>
      <c r="H8" s="244">
        <v>4.8</v>
      </c>
      <c r="I8" s="244">
        <v>4.8959999999999999</v>
      </c>
      <c r="J8" s="244">
        <v>4.9939200000000001</v>
      </c>
      <c r="K8" s="244">
        <v>5.0937983999999998</v>
      </c>
      <c r="L8" s="245">
        <v>5.1956743679999997</v>
      </c>
      <c r="N8" s="100"/>
      <c r="O8" s="122"/>
      <c r="P8" s="123"/>
      <c r="Q8" s="123"/>
      <c r="R8" s="124">
        <v>0.1</v>
      </c>
      <c r="S8" s="123"/>
      <c r="T8" s="125">
        <f t="shared" si="0"/>
        <v>0.9</v>
      </c>
      <c r="V8" s="101"/>
      <c r="W8" s="101"/>
      <c r="X8" s="101"/>
      <c r="Y8" s="101"/>
      <c r="Z8" s="101"/>
      <c r="AA8" s="101"/>
      <c r="AB8" s="101"/>
    </row>
    <row r="9" spans="2:28" ht="14.25" customHeight="1" x14ac:dyDescent="0.25">
      <c r="B9" s="112" t="s">
        <v>50</v>
      </c>
      <c r="C9" s="244">
        <v>55.83361296050343</v>
      </c>
      <c r="D9" s="244">
        <v>55.989497025715345</v>
      </c>
      <c r="E9" s="244">
        <v>56.123254955694108</v>
      </c>
      <c r="F9" s="244">
        <v>56.293836259069458</v>
      </c>
      <c r="G9" s="244">
        <v>56.486367270660509</v>
      </c>
      <c r="H9" s="244">
        <v>56.4</v>
      </c>
      <c r="I9" s="244">
        <v>57.527999999999999</v>
      </c>
      <c r="J9" s="244">
        <v>58.678559999999997</v>
      </c>
      <c r="K9" s="244">
        <v>59.852131199999995</v>
      </c>
      <c r="L9" s="245">
        <v>61.049173823999993</v>
      </c>
      <c r="N9" s="100"/>
      <c r="O9" s="126"/>
      <c r="P9" s="123"/>
      <c r="Q9" s="124">
        <v>0.1</v>
      </c>
      <c r="R9" s="123"/>
      <c r="S9" s="124"/>
      <c r="T9" s="125">
        <f t="shared" si="0"/>
        <v>0.9</v>
      </c>
      <c r="V9" s="101"/>
      <c r="W9" s="101"/>
      <c r="X9" s="101"/>
      <c r="Y9" s="101"/>
      <c r="Z9" s="101"/>
      <c r="AA9" s="101"/>
      <c r="AB9" s="101"/>
    </row>
    <row r="10" spans="2:28" x14ac:dyDescent="0.25">
      <c r="B10" s="112" t="s">
        <v>51</v>
      </c>
      <c r="C10" s="244">
        <v>4.2811106078010521</v>
      </c>
      <c r="D10" s="244">
        <v>4.4187671904707964</v>
      </c>
      <c r="E10" s="244">
        <v>4.5553278338703915</v>
      </c>
      <c r="F10" s="244">
        <v>4.6955605840583878</v>
      </c>
      <c r="G10" s="244">
        <v>4.8384394313431631</v>
      </c>
      <c r="H10" s="244">
        <v>4.8</v>
      </c>
      <c r="I10" s="244">
        <v>4.8959999999999999</v>
      </c>
      <c r="J10" s="244">
        <v>4.9939200000000001</v>
      </c>
      <c r="K10" s="244">
        <v>5.0937983999999998</v>
      </c>
      <c r="L10" s="245">
        <v>5.1956743679999997</v>
      </c>
      <c r="N10" s="100"/>
      <c r="O10" s="122"/>
      <c r="P10" s="123"/>
      <c r="Q10" s="123"/>
      <c r="R10" s="124">
        <v>0.1</v>
      </c>
      <c r="S10" s="123"/>
      <c r="T10" s="125">
        <f t="shared" si="0"/>
        <v>0.9</v>
      </c>
      <c r="V10" s="101"/>
      <c r="W10" s="101"/>
      <c r="X10" s="101"/>
      <c r="Y10" s="101"/>
      <c r="Z10" s="101"/>
      <c r="AA10" s="101"/>
      <c r="AB10" s="101"/>
    </row>
    <row r="11" spans="2:28" ht="15" customHeight="1" x14ac:dyDescent="0.25">
      <c r="B11" s="112" t="s">
        <v>52</v>
      </c>
      <c r="C11" s="244">
        <v>15.937096561376082</v>
      </c>
      <c r="D11" s="244">
        <v>15.980621734338667</v>
      </c>
      <c r="E11" s="244">
        <v>16.017969322246525</v>
      </c>
      <c r="F11" s="244">
        <v>16.065598177028829</v>
      </c>
      <c r="G11" s="244">
        <v>16.119355744813031</v>
      </c>
      <c r="H11" s="244">
        <v>16.100000000000001</v>
      </c>
      <c r="I11" s="244">
        <v>16.422000000000001</v>
      </c>
      <c r="J11" s="244">
        <v>16.750440000000001</v>
      </c>
      <c r="K11" s="244">
        <v>17.085448800000002</v>
      </c>
      <c r="L11" s="245">
        <v>17.427157776000001</v>
      </c>
      <c r="N11" s="100"/>
      <c r="O11" s="122"/>
      <c r="P11" s="124">
        <v>0.1</v>
      </c>
      <c r="Q11" s="123"/>
      <c r="R11" s="123"/>
      <c r="S11" s="123"/>
      <c r="T11" s="125">
        <f t="shared" si="0"/>
        <v>0.9</v>
      </c>
      <c r="V11" s="101"/>
      <c r="W11" s="101"/>
      <c r="X11" s="101"/>
      <c r="Y11" s="101"/>
      <c r="Z11" s="101"/>
      <c r="AA11" s="101"/>
      <c r="AB11" s="101"/>
    </row>
    <row r="12" spans="2:28" ht="15" customHeight="1" x14ac:dyDescent="0.25">
      <c r="B12" s="112" t="s">
        <v>53</v>
      </c>
      <c r="C12" s="244">
        <v>0.36084379029135705</v>
      </c>
      <c r="D12" s="244">
        <v>0.36182927646974722</v>
      </c>
      <c r="E12" s="244">
        <v>0.36267489129845903</v>
      </c>
      <c r="F12" s="244">
        <v>0.36375329202350298</v>
      </c>
      <c r="G12" s="244">
        <v>0.36497045754931817</v>
      </c>
      <c r="H12" s="244">
        <v>0.4</v>
      </c>
      <c r="I12" s="244">
        <v>0.40800000000000003</v>
      </c>
      <c r="J12" s="244">
        <v>0.41616000000000003</v>
      </c>
      <c r="K12" s="244">
        <v>0.42448320000000006</v>
      </c>
      <c r="L12" s="245">
        <v>0.43297286400000007</v>
      </c>
      <c r="N12" s="100"/>
      <c r="O12" s="122"/>
      <c r="P12" s="124">
        <v>0.1</v>
      </c>
      <c r="Q12" s="123"/>
      <c r="R12" s="123"/>
      <c r="S12" s="123"/>
      <c r="T12" s="125">
        <f t="shared" si="0"/>
        <v>0.9</v>
      </c>
      <c r="V12" s="101"/>
      <c r="W12" s="101"/>
      <c r="X12" s="101"/>
      <c r="Y12" s="101"/>
      <c r="Z12" s="101"/>
      <c r="AA12" s="101"/>
      <c r="AB12" s="101"/>
    </row>
    <row r="13" spans="2:28" ht="15" customHeight="1" x14ac:dyDescent="0.25">
      <c r="B13" s="112" t="s">
        <v>54</v>
      </c>
      <c r="C13" s="244">
        <v>4.9097752501347198</v>
      </c>
      <c r="D13" s="244">
        <v>4.9231841427863108</v>
      </c>
      <c r="E13" s="244">
        <v>4.9346898936648396</v>
      </c>
      <c r="F13" s="244">
        <v>4.9493630163068367</v>
      </c>
      <c r="G13" s="244">
        <v>4.9659242246045858</v>
      </c>
      <c r="H13" s="244">
        <v>5</v>
      </c>
      <c r="I13" s="244">
        <v>5.0999999999999996</v>
      </c>
      <c r="J13" s="244">
        <v>5.202</v>
      </c>
      <c r="K13" s="244">
        <v>5.3060400000000003</v>
      </c>
      <c r="L13" s="245">
        <v>5.4121608000000005</v>
      </c>
      <c r="N13" s="100"/>
      <c r="O13" s="122"/>
      <c r="P13" s="124">
        <v>0.1</v>
      </c>
      <c r="Q13" s="123"/>
      <c r="R13" s="123"/>
      <c r="S13" s="123"/>
      <c r="T13" s="125">
        <f t="shared" si="0"/>
        <v>0.9</v>
      </c>
      <c r="V13" s="101"/>
      <c r="W13" s="101"/>
      <c r="X13" s="101"/>
      <c r="Y13" s="101"/>
      <c r="Z13" s="101"/>
      <c r="AA13" s="101"/>
      <c r="AB13" s="101"/>
    </row>
    <row r="14" spans="2:28" ht="15" customHeight="1" x14ac:dyDescent="0.25">
      <c r="B14" s="112" t="s">
        <v>55</v>
      </c>
      <c r="C14" s="244">
        <v>2.0503069118274722</v>
      </c>
      <c r="D14" s="244">
        <v>2.055906423797548</v>
      </c>
      <c r="E14" s="244">
        <v>2.0607111896677095</v>
      </c>
      <c r="F14" s="244">
        <v>2.0668386401594918</v>
      </c>
      <c r="G14" s="244">
        <v>2.0737545493633118</v>
      </c>
      <c r="H14" s="244">
        <v>2.1</v>
      </c>
      <c r="I14" s="244">
        <v>2.1420000000000003</v>
      </c>
      <c r="J14" s="244">
        <v>2.1848400000000003</v>
      </c>
      <c r="K14" s="244">
        <v>2.2285368000000005</v>
      </c>
      <c r="L14" s="245">
        <v>2.2731075360000004</v>
      </c>
      <c r="N14" s="100"/>
      <c r="O14" s="122"/>
      <c r="P14" s="124">
        <v>0.1</v>
      </c>
      <c r="Q14" s="123"/>
      <c r="R14" s="123"/>
      <c r="S14" s="123"/>
      <c r="T14" s="125">
        <f t="shared" si="0"/>
        <v>0.9</v>
      </c>
      <c r="V14" s="101"/>
      <c r="W14" s="101"/>
      <c r="X14" s="101"/>
      <c r="Y14" s="101"/>
      <c r="Z14" s="101"/>
      <c r="AA14" s="101"/>
      <c r="AB14" s="101"/>
    </row>
    <row r="15" spans="2:28" ht="15" customHeight="1" x14ac:dyDescent="0.25">
      <c r="B15" s="112" t="s">
        <v>56</v>
      </c>
      <c r="C15" s="244">
        <v>11.674357921190962</v>
      </c>
      <c r="D15" s="244">
        <v>2.128407508645572</v>
      </c>
      <c r="E15" s="244">
        <v>0</v>
      </c>
      <c r="F15" s="244">
        <v>0</v>
      </c>
      <c r="G15" s="244">
        <v>0</v>
      </c>
      <c r="H15" s="244"/>
      <c r="I15" s="244"/>
      <c r="J15" s="244"/>
      <c r="K15" s="244"/>
      <c r="L15" s="245"/>
      <c r="N15" s="100"/>
      <c r="O15" s="122"/>
      <c r="P15" s="124">
        <v>0.1</v>
      </c>
      <c r="Q15" s="123"/>
      <c r="R15" s="123"/>
      <c r="S15" s="123"/>
      <c r="T15" s="125">
        <f t="shared" si="0"/>
        <v>0.9</v>
      </c>
      <c r="V15" s="101"/>
      <c r="W15" s="101"/>
      <c r="X15" s="101"/>
      <c r="Y15" s="101"/>
      <c r="Z15" s="101"/>
      <c r="AA15" s="101"/>
      <c r="AB15" s="101"/>
    </row>
    <row r="16" spans="2:28" ht="15" customHeight="1" x14ac:dyDescent="0.25">
      <c r="B16" s="112" t="s">
        <v>57</v>
      </c>
      <c r="C16" s="244">
        <v>0</v>
      </c>
      <c r="D16" s="244">
        <v>11.174139420389253</v>
      </c>
      <c r="E16" s="244">
        <v>20.267126278443303</v>
      </c>
      <c r="F16" s="244">
        <v>1.3908214106781003</v>
      </c>
      <c r="G16" s="244">
        <v>0</v>
      </c>
      <c r="H16" s="244"/>
      <c r="I16" s="244"/>
      <c r="J16" s="244"/>
      <c r="K16" s="244"/>
      <c r="L16" s="245"/>
      <c r="N16" s="100"/>
      <c r="O16" s="122"/>
      <c r="P16" s="124">
        <v>0.1</v>
      </c>
      <c r="Q16" s="123"/>
      <c r="R16" s="123"/>
      <c r="S16" s="123"/>
      <c r="T16" s="125">
        <f t="shared" si="0"/>
        <v>0.9</v>
      </c>
    </row>
    <row r="17" spans="2:20" x14ac:dyDescent="0.25">
      <c r="B17" s="113" t="s">
        <v>88</v>
      </c>
      <c r="C17" s="264">
        <f t="shared" ref="C17:L17" si="1">SUM(C6:C16)</f>
        <v>113.886785637576</v>
      </c>
      <c r="D17" s="264">
        <f t="shared" si="1"/>
        <v>123.53240313970281</v>
      </c>
      <c r="E17" s="264">
        <f t="shared" si="1"/>
        <v>138.50299074818963</v>
      </c>
      <c r="F17" s="264">
        <f t="shared" si="1"/>
        <v>127.73407813768283</v>
      </c>
      <c r="G17" s="264">
        <f t="shared" si="1"/>
        <v>134.53146536547206</v>
      </c>
      <c r="H17" s="264">
        <f t="shared" si="1"/>
        <v>130.6</v>
      </c>
      <c r="I17" s="264">
        <f t="shared" si="1"/>
        <v>133.21199999999999</v>
      </c>
      <c r="J17" s="264">
        <f t="shared" si="1"/>
        <v>135.87624</v>
      </c>
      <c r="K17" s="264">
        <f t="shared" si="1"/>
        <v>138.59376479999997</v>
      </c>
      <c r="L17" s="265">
        <f t="shared" si="1"/>
        <v>141.36564009599999</v>
      </c>
      <c r="N17" s="100"/>
      <c r="O17" s="102"/>
      <c r="P17" s="97"/>
      <c r="Q17" s="97"/>
      <c r="R17" s="97"/>
      <c r="S17" s="97"/>
      <c r="T17" s="103"/>
    </row>
    <row r="19" spans="2:20" x14ac:dyDescent="0.25">
      <c r="B19" s="105" t="str">
        <f>O4</f>
        <v>Sub-Trans</v>
      </c>
      <c r="C19" s="266">
        <f t="shared" ref="C19:L19" si="2">SUMPRODUCT(C$6:C$16,$O$6:$O$16)</f>
        <v>0</v>
      </c>
      <c r="D19" s="266">
        <f t="shared" si="2"/>
        <v>0</v>
      </c>
      <c r="E19" s="266">
        <f t="shared" si="2"/>
        <v>0</v>
      </c>
      <c r="F19" s="266">
        <f t="shared" si="2"/>
        <v>0</v>
      </c>
      <c r="G19" s="266">
        <f t="shared" si="2"/>
        <v>0</v>
      </c>
      <c r="H19" s="266">
        <f t="shared" si="2"/>
        <v>0</v>
      </c>
      <c r="I19" s="266">
        <f t="shared" si="2"/>
        <v>0</v>
      </c>
      <c r="J19" s="266">
        <f t="shared" si="2"/>
        <v>0</v>
      </c>
      <c r="K19" s="266">
        <f t="shared" si="2"/>
        <v>0</v>
      </c>
      <c r="L19" s="267">
        <f t="shared" si="2"/>
        <v>0</v>
      </c>
      <c r="N19" s="100"/>
    </row>
    <row r="20" spans="2:20" x14ac:dyDescent="0.25">
      <c r="B20" s="98" t="str">
        <f>P4</f>
        <v>Zone S/Stn</v>
      </c>
      <c r="C20" s="268">
        <f t="shared" ref="C20:L20" si="3">SUMPRODUCT(C$6:C$16,$P$6:$P$16)</f>
        <v>3.4932380434820596</v>
      </c>
      <c r="D20" s="268">
        <f t="shared" si="3"/>
        <v>3.6624088506427102</v>
      </c>
      <c r="E20" s="268">
        <f t="shared" si="3"/>
        <v>4.364317157532084</v>
      </c>
      <c r="F20" s="268">
        <f t="shared" si="3"/>
        <v>2.4836374536196759</v>
      </c>
      <c r="G20" s="268">
        <f t="shared" si="3"/>
        <v>2.3524004976330248</v>
      </c>
      <c r="H20" s="268">
        <f t="shared" si="3"/>
        <v>2.3600000000000003</v>
      </c>
      <c r="I20" s="268">
        <f t="shared" si="3"/>
        <v>2.4072</v>
      </c>
      <c r="J20" s="268">
        <f t="shared" si="3"/>
        <v>2.4553440000000002</v>
      </c>
      <c r="K20" s="268">
        <f t="shared" si="3"/>
        <v>2.5044508800000003</v>
      </c>
      <c r="L20" s="269">
        <f t="shared" si="3"/>
        <v>2.5545398976000002</v>
      </c>
      <c r="N20" s="100"/>
    </row>
    <row r="21" spans="2:20" x14ac:dyDescent="0.25">
      <c r="B21" s="98" t="str">
        <f>Q4</f>
        <v>HV Feeder</v>
      </c>
      <c r="C21" s="268">
        <f t="shared" ref="C21:L21" si="4">SUMPRODUCT(C$6:C$16,$Q$6:$Q$16)</f>
        <v>7.0860075835400504</v>
      </c>
      <c r="D21" s="268">
        <f t="shared" si="4"/>
        <v>7.8386414084471063</v>
      </c>
      <c r="E21" s="268">
        <f t="shared" si="4"/>
        <v>8.5911557945971619</v>
      </c>
      <c r="F21" s="268">
        <f t="shared" si="4"/>
        <v>9.3516236264012029</v>
      </c>
      <c r="G21" s="268">
        <f t="shared" si="4"/>
        <v>10.118751079479967</v>
      </c>
      <c r="H21" s="268">
        <f t="shared" si="4"/>
        <v>9.740000000000002</v>
      </c>
      <c r="I21" s="268">
        <f t="shared" si="4"/>
        <v>9.934800000000001</v>
      </c>
      <c r="J21" s="268">
        <f t="shared" si="4"/>
        <v>10.133496000000001</v>
      </c>
      <c r="K21" s="268">
        <f t="shared" si="4"/>
        <v>10.336165919999999</v>
      </c>
      <c r="L21" s="269">
        <f t="shared" si="4"/>
        <v>10.542889238400001</v>
      </c>
      <c r="N21" s="100"/>
    </row>
    <row r="22" spans="2:20" x14ac:dyDescent="0.25">
      <c r="B22" s="98" t="str">
        <f>R4</f>
        <v>Dist T/F</v>
      </c>
      <c r="C22" s="268">
        <f t="shared" ref="C22:L22" si="5">SUMPRODUCT(C$6:C$16,$R$6:$R$16)</f>
        <v>0.80943293673549133</v>
      </c>
      <c r="D22" s="268">
        <f t="shared" si="5"/>
        <v>0.85219005488046307</v>
      </c>
      <c r="E22" s="268">
        <f t="shared" si="5"/>
        <v>0.89482612268971673</v>
      </c>
      <c r="F22" s="268">
        <f t="shared" si="5"/>
        <v>0.93814673374740509</v>
      </c>
      <c r="G22" s="268">
        <f t="shared" si="5"/>
        <v>0.98199495943421367</v>
      </c>
      <c r="H22" s="268">
        <f t="shared" si="5"/>
        <v>0.96</v>
      </c>
      <c r="I22" s="268">
        <f t="shared" si="5"/>
        <v>0.97920000000000007</v>
      </c>
      <c r="J22" s="268">
        <f t="shared" si="5"/>
        <v>0.99878400000000012</v>
      </c>
      <c r="K22" s="268">
        <f t="shared" si="5"/>
        <v>1.0187596800000001</v>
      </c>
      <c r="L22" s="269">
        <f t="shared" si="5"/>
        <v>1.0391348735999999</v>
      </c>
      <c r="N22" s="100"/>
    </row>
    <row r="23" spans="2:20" x14ac:dyDescent="0.25">
      <c r="B23" s="98" t="str">
        <f>S4</f>
        <v>LV Feeder</v>
      </c>
      <c r="C23" s="270">
        <f t="shared" ref="C23:L23" si="6">SUMPRODUCT(C$6:C$16,$S$6:$S$16)</f>
        <v>0</v>
      </c>
      <c r="D23" s="270">
        <f t="shared" si="6"/>
        <v>0</v>
      </c>
      <c r="E23" s="270">
        <f t="shared" si="6"/>
        <v>0</v>
      </c>
      <c r="F23" s="270">
        <f t="shared" si="6"/>
        <v>0</v>
      </c>
      <c r="G23" s="270">
        <f t="shared" si="6"/>
        <v>0</v>
      </c>
      <c r="H23" s="270">
        <f t="shared" si="6"/>
        <v>0</v>
      </c>
      <c r="I23" s="270">
        <f t="shared" si="6"/>
        <v>0</v>
      </c>
      <c r="J23" s="270">
        <f t="shared" si="6"/>
        <v>0</v>
      </c>
      <c r="K23" s="270">
        <f t="shared" si="6"/>
        <v>0</v>
      </c>
      <c r="L23" s="271">
        <f t="shared" si="6"/>
        <v>0</v>
      </c>
      <c r="N23" s="100"/>
    </row>
    <row r="24" spans="2:20" x14ac:dyDescent="0.25">
      <c r="B24" s="98"/>
      <c r="C24" s="272">
        <f t="shared" ref="C24:L24" si="7">SUM(C19:C23)</f>
        <v>11.388678563757603</v>
      </c>
      <c r="D24" s="272">
        <f t="shared" si="7"/>
        <v>12.353240313970279</v>
      </c>
      <c r="E24" s="272">
        <f t="shared" si="7"/>
        <v>13.850299074818961</v>
      </c>
      <c r="F24" s="272">
        <f t="shared" si="7"/>
        <v>12.773407813768284</v>
      </c>
      <c r="G24" s="272">
        <f t="shared" si="7"/>
        <v>13.453146536547205</v>
      </c>
      <c r="H24" s="272">
        <f t="shared" si="7"/>
        <v>13.060000000000002</v>
      </c>
      <c r="I24" s="272">
        <f t="shared" si="7"/>
        <v>13.321200000000001</v>
      </c>
      <c r="J24" s="272">
        <f t="shared" si="7"/>
        <v>13.587624000000002</v>
      </c>
      <c r="K24" s="272">
        <f t="shared" si="7"/>
        <v>13.85937648</v>
      </c>
      <c r="L24" s="273">
        <f t="shared" si="7"/>
        <v>14.136564009600001</v>
      </c>
      <c r="N24" s="100"/>
    </row>
    <row r="25" spans="2:20" x14ac:dyDescent="0.25">
      <c r="B25" s="98"/>
      <c r="C25" s="268"/>
      <c r="D25" s="268"/>
      <c r="E25" s="268"/>
      <c r="F25" s="268"/>
      <c r="G25" s="268"/>
      <c r="H25" s="268"/>
      <c r="I25" s="268"/>
      <c r="J25" s="268"/>
      <c r="K25" s="268"/>
      <c r="L25" s="269"/>
    </row>
    <row r="26" spans="2:20" x14ac:dyDescent="0.25">
      <c r="B26" s="239" t="s">
        <v>98</v>
      </c>
      <c r="C26" s="274">
        <f t="shared" ref="C26:L26" si="8">SUMPRODUCT(C$6:C$16,$T$6:$T$16)</f>
        <v>102.4981070738184</v>
      </c>
      <c r="D26" s="274">
        <f t="shared" si="8"/>
        <v>111.1791628257325</v>
      </c>
      <c r="E26" s="274">
        <f t="shared" si="8"/>
        <v>124.65269167337067</v>
      </c>
      <c r="F26" s="274">
        <f t="shared" si="8"/>
        <v>114.96067032391457</v>
      </c>
      <c r="G26" s="274">
        <f t="shared" si="8"/>
        <v>121.07831882892484</v>
      </c>
      <c r="H26" s="274">
        <f t="shared" si="8"/>
        <v>117.53999999999999</v>
      </c>
      <c r="I26" s="274">
        <f t="shared" si="8"/>
        <v>119.89080000000003</v>
      </c>
      <c r="J26" s="274">
        <f t="shared" si="8"/>
        <v>122.288616</v>
      </c>
      <c r="K26" s="274">
        <f t="shared" si="8"/>
        <v>124.73438832000001</v>
      </c>
      <c r="L26" s="275">
        <f t="shared" si="8"/>
        <v>127.2290760864</v>
      </c>
    </row>
    <row r="29" spans="2:20" x14ac:dyDescent="0.25">
      <c r="B29" s="105" t="str">
        <f>B19</f>
        <v>Sub-Trans</v>
      </c>
      <c r="C29" s="266">
        <f>C19</f>
        <v>0</v>
      </c>
      <c r="D29" s="266">
        <f t="shared" ref="D29:L33" si="9">D19</f>
        <v>0</v>
      </c>
      <c r="E29" s="266">
        <f t="shared" si="9"/>
        <v>0</v>
      </c>
      <c r="F29" s="266">
        <f t="shared" si="9"/>
        <v>0</v>
      </c>
      <c r="G29" s="266">
        <f t="shared" si="9"/>
        <v>0</v>
      </c>
      <c r="H29" s="266">
        <f t="shared" si="9"/>
        <v>0</v>
      </c>
      <c r="I29" s="266">
        <f t="shared" si="9"/>
        <v>0</v>
      </c>
      <c r="J29" s="266">
        <f t="shared" si="9"/>
        <v>0</v>
      </c>
      <c r="K29" s="266">
        <f t="shared" si="9"/>
        <v>0</v>
      </c>
      <c r="L29" s="267">
        <f t="shared" si="9"/>
        <v>0</v>
      </c>
    </row>
    <row r="30" spans="2:20" x14ac:dyDescent="0.25">
      <c r="B30" s="98" t="str">
        <f>B20</f>
        <v>Zone S/Stn</v>
      </c>
      <c r="C30" s="268">
        <f t="shared" ref="C30:G33" si="10">C20</f>
        <v>3.4932380434820596</v>
      </c>
      <c r="D30" s="268">
        <f t="shared" si="10"/>
        <v>3.6624088506427102</v>
      </c>
      <c r="E30" s="268">
        <f t="shared" si="10"/>
        <v>4.364317157532084</v>
      </c>
      <c r="F30" s="268">
        <f t="shared" si="10"/>
        <v>2.4836374536196759</v>
      </c>
      <c r="G30" s="268">
        <f t="shared" si="10"/>
        <v>2.3524004976330248</v>
      </c>
      <c r="H30" s="268">
        <f t="shared" si="9"/>
        <v>2.3600000000000003</v>
      </c>
      <c r="I30" s="268">
        <f t="shared" si="9"/>
        <v>2.4072</v>
      </c>
      <c r="J30" s="268">
        <f t="shared" si="9"/>
        <v>2.4553440000000002</v>
      </c>
      <c r="K30" s="268">
        <f t="shared" si="9"/>
        <v>2.5044508800000003</v>
      </c>
      <c r="L30" s="269">
        <f t="shared" si="9"/>
        <v>2.5545398976000002</v>
      </c>
    </row>
    <row r="31" spans="2:20" x14ac:dyDescent="0.25">
      <c r="B31" s="98" t="str">
        <f>B21</f>
        <v>HV Feeder</v>
      </c>
      <c r="C31" s="268">
        <f t="shared" si="10"/>
        <v>7.0860075835400504</v>
      </c>
      <c r="D31" s="268">
        <f t="shared" si="10"/>
        <v>7.8386414084471063</v>
      </c>
      <c r="E31" s="268">
        <f t="shared" si="10"/>
        <v>8.5911557945971619</v>
      </c>
      <c r="F31" s="268">
        <f t="shared" si="10"/>
        <v>9.3516236264012029</v>
      </c>
      <c r="G31" s="268">
        <f t="shared" si="10"/>
        <v>10.118751079479967</v>
      </c>
      <c r="H31" s="268">
        <f t="shared" si="9"/>
        <v>9.740000000000002</v>
      </c>
      <c r="I31" s="268">
        <f t="shared" si="9"/>
        <v>9.934800000000001</v>
      </c>
      <c r="J31" s="268">
        <f t="shared" si="9"/>
        <v>10.133496000000001</v>
      </c>
      <c r="K31" s="268">
        <f t="shared" si="9"/>
        <v>10.336165919999999</v>
      </c>
      <c r="L31" s="269">
        <f t="shared" si="9"/>
        <v>10.542889238400001</v>
      </c>
    </row>
    <row r="32" spans="2:20" x14ac:dyDescent="0.25">
      <c r="B32" s="98" t="str">
        <f>B22</f>
        <v>Dist T/F</v>
      </c>
      <c r="C32" s="268">
        <f t="shared" si="10"/>
        <v>0.80943293673549133</v>
      </c>
      <c r="D32" s="268">
        <f t="shared" si="10"/>
        <v>0.85219005488046307</v>
      </c>
      <c r="E32" s="268">
        <f t="shared" si="10"/>
        <v>0.89482612268971673</v>
      </c>
      <c r="F32" s="268">
        <f t="shared" si="10"/>
        <v>0.93814673374740509</v>
      </c>
      <c r="G32" s="268">
        <f t="shared" si="10"/>
        <v>0.98199495943421367</v>
      </c>
      <c r="H32" s="268">
        <f t="shared" si="9"/>
        <v>0.96</v>
      </c>
      <c r="I32" s="268">
        <f t="shared" si="9"/>
        <v>0.97920000000000007</v>
      </c>
      <c r="J32" s="268">
        <f t="shared" si="9"/>
        <v>0.99878400000000012</v>
      </c>
      <c r="K32" s="268">
        <f t="shared" si="9"/>
        <v>1.0187596800000001</v>
      </c>
      <c r="L32" s="269">
        <f t="shared" si="9"/>
        <v>1.0391348735999999</v>
      </c>
    </row>
    <row r="33" spans="2:22" x14ac:dyDescent="0.25">
      <c r="B33" s="98" t="str">
        <f>B23</f>
        <v>LV Feeder</v>
      </c>
      <c r="C33" s="268">
        <f t="shared" si="10"/>
        <v>0</v>
      </c>
      <c r="D33" s="268">
        <f t="shared" si="10"/>
        <v>0</v>
      </c>
      <c r="E33" s="268">
        <f t="shared" si="10"/>
        <v>0</v>
      </c>
      <c r="F33" s="268">
        <f t="shared" si="10"/>
        <v>0</v>
      </c>
      <c r="G33" s="268">
        <f t="shared" si="10"/>
        <v>0</v>
      </c>
      <c r="H33" s="268">
        <f t="shared" si="9"/>
        <v>0</v>
      </c>
      <c r="I33" s="268">
        <f t="shared" si="9"/>
        <v>0</v>
      </c>
      <c r="J33" s="268">
        <f t="shared" si="9"/>
        <v>0</v>
      </c>
      <c r="K33" s="268">
        <f t="shared" si="9"/>
        <v>0</v>
      </c>
      <c r="L33" s="269">
        <f t="shared" si="9"/>
        <v>0</v>
      </c>
    </row>
    <row r="34" spans="2:22" x14ac:dyDescent="0.25">
      <c r="B34" s="239" t="s">
        <v>113</v>
      </c>
      <c r="C34" s="274">
        <f>SUM(C29:C33)</f>
        <v>11.388678563757603</v>
      </c>
      <c r="D34" s="274">
        <f t="shared" ref="D34:L34" si="11">SUM(D29:D33)</f>
        <v>12.353240313970279</v>
      </c>
      <c r="E34" s="274">
        <f t="shared" si="11"/>
        <v>13.850299074818961</v>
      </c>
      <c r="F34" s="274">
        <f t="shared" si="11"/>
        <v>12.773407813768284</v>
      </c>
      <c r="G34" s="274">
        <f t="shared" si="11"/>
        <v>13.453146536547205</v>
      </c>
      <c r="H34" s="274">
        <f t="shared" si="11"/>
        <v>13.060000000000002</v>
      </c>
      <c r="I34" s="274">
        <f t="shared" si="11"/>
        <v>13.321200000000001</v>
      </c>
      <c r="J34" s="274">
        <f t="shared" si="11"/>
        <v>13.587624000000002</v>
      </c>
      <c r="K34" s="274">
        <f t="shared" si="11"/>
        <v>13.85937648</v>
      </c>
      <c r="L34" s="275">
        <f t="shared" si="11"/>
        <v>14.136564009600001</v>
      </c>
    </row>
    <row r="36" spans="2:22" x14ac:dyDescent="0.25">
      <c r="B36" s="105" t="s">
        <v>58</v>
      </c>
      <c r="C36" s="127" t="s">
        <v>117</v>
      </c>
      <c r="D36" s="127" t="s">
        <v>118</v>
      </c>
      <c r="E36" s="127" t="s">
        <v>119</v>
      </c>
      <c r="F36" s="127" t="s">
        <v>120</v>
      </c>
      <c r="G36" s="127" t="s">
        <v>121</v>
      </c>
      <c r="H36" s="127" t="s">
        <v>122</v>
      </c>
      <c r="I36" s="127" t="s">
        <v>123</v>
      </c>
      <c r="J36" s="127" t="s">
        <v>124</v>
      </c>
      <c r="K36" s="127" t="s">
        <v>125</v>
      </c>
      <c r="L36" s="127" t="s">
        <v>126</v>
      </c>
      <c r="M36" s="127" t="s">
        <v>127</v>
      </c>
      <c r="N36" s="127" t="s">
        <v>128</v>
      </c>
      <c r="O36" s="127" t="s">
        <v>129</v>
      </c>
      <c r="P36" s="127" t="s">
        <v>130</v>
      </c>
      <c r="Q36" s="127" t="s">
        <v>131</v>
      </c>
      <c r="R36" s="127" t="s">
        <v>132</v>
      </c>
      <c r="S36" s="127" t="s">
        <v>133</v>
      </c>
      <c r="T36" s="127" t="s">
        <v>134</v>
      </c>
      <c r="U36" s="127" t="s">
        <v>135</v>
      </c>
      <c r="V36" s="295" t="s">
        <v>136</v>
      </c>
    </row>
    <row r="37" spans="2:22" x14ac:dyDescent="0.25">
      <c r="B37" s="98"/>
      <c r="C37" s="276"/>
      <c r="D37" s="268"/>
      <c r="E37" s="268"/>
      <c r="F37" s="268"/>
      <c r="G37" s="269"/>
      <c r="H37" s="261"/>
      <c r="I37" s="262"/>
      <c r="J37" s="262"/>
      <c r="K37" s="262"/>
      <c r="L37" s="263"/>
      <c r="M37" s="261"/>
      <c r="N37" s="262"/>
      <c r="O37" s="262"/>
      <c r="P37" s="262"/>
      <c r="Q37" s="263"/>
      <c r="R37" s="261"/>
      <c r="S37" s="262"/>
      <c r="T37" s="262"/>
      <c r="U37" s="262"/>
      <c r="V37" s="263"/>
    </row>
    <row r="38" spans="2:22" x14ac:dyDescent="0.25">
      <c r="B38" s="98" t="str">
        <f>B19</f>
        <v>Sub-Trans</v>
      </c>
      <c r="C38" s="276">
        <f>C29*1000</f>
        <v>0</v>
      </c>
      <c r="D38" s="268">
        <f t="shared" ref="C38:L42" si="12">D29*1000</f>
        <v>0</v>
      </c>
      <c r="E38" s="268">
        <f t="shared" si="12"/>
        <v>0</v>
      </c>
      <c r="F38" s="268">
        <f t="shared" si="12"/>
        <v>0</v>
      </c>
      <c r="G38" s="269">
        <f t="shared" si="12"/>
        <v>0</v>
      </c>
      <c r="H38" s="261">
        <f t="shared" si="12"/>
        <v>0</v>
      </c>
      <c r="I38" s="262">
        <f t="shared" si="12"/>
        <v>0</v>
      </c>
      <c r="J38" s="262">
        <f t="shared" si="12"/>
        <v>0</v>
      </c>
      <c r="K38" s="262">
        <f t="shared" si="12"/>
        <v>0</v>
      </c>
      <c r="L38" s="263">
        <f t="shared" si="12"/>
        <v>0</v>
      </c>
      <c r="M38" s="261">
        <f>AVERAGE(H38:L38)</f>
        <v>0</v>
      </c>
      <c r="N38" s="262">
        <f>M38</f>
        <v>0</v>
      </c>
      <c r="O38" s="262">
        <f>N38</f>
        <v>0</v>
      </c>
      <c r="P38" s="262">
        <f t="shared" ref="P38:V42" si="13">O38</f>
        <v>0</v>
      </c>
      <c r="Q38" s="263">
        <f t="shared" si="13"/>
        <v>0</v>
      </c>
      <c r="R38" s="261">
        <f t="shared" si="13"/>
        <v>0</v>
      </c>
      <c r="S38" s="262">
        <f t="shared" si="13"/>
        <v>0</v>
      </c>
      <c r="T38" s="262">
        <f t="shared" si="13"/>
        <v>0</v>
      </c>
      <c r="U38" s="262">
        <f t="shared" si="13"/>
        <v>0</v>
      </c>
      <c r="V38" s="263">
        <f t="shared" si="13"/>
        <v>0</v>
      </c>
    </row>
    <row r="39" spans="2:22" x14ac:dyDescent="0.25">
      <c r="B39" s="98" t="str">
        <f>B20</f>
        <v>Zone S/Stn</v>
      </c>
      <c r="C39" s="276">
        <f>C30*1000</f>
        <v>3493.2380434820598</v>
      </c>
      <c r="D39" s="268">
        <f t="shared" si="12"/>
        <v>3662.4088506427101</v>
      </c>
      <c r="E39" s="268">
        <f t="shared" si="12"/>
        <v>4364.3171575320839</v>
      </c>
      <c r="F39" s="268">
        <f t="shared" si="12"/>
        <v>2483.6374536196759</v>
      </c>
      <c r="G39" s="269">
        <f t="shared" si="12"/>
        <v>2352.4004976330248</v>
      </c>
      <c r="H39" s="261">
        <f t="shared" si="12"/>
        <v>2360.0000000000005</v>
      </c>
      <c r="I39" s="262">
        <f t="shared" si="12"/>
        <v>2407.1999999999998</v>
      </c>
      <c r="J39" s="262">
        <f t="shared" si="12"/>
        <v>2455.3440000000001</v>
      </c>
      <c r="K39" s="262">
        <f t="shared" si="12"/>
        <v>2504.4508800000003</v>
      </c>
      <c r="L39" s="263">
        <f t="shared" si="12"/>
        <v>2554.5398976000001</v>
      </c>
      <c r="M39" s="261">
        <f>AVERAGE(H39:L39)</f>
        <v>2456.3069555200004</v>
      </c>
      <c r="N39" s="262">
        <f t="shared" ref="N39:R42" si="14">M39</f>
        <v>2456.3069555200004</v>
      </c>
      <c r="O39" s="262">
        <f t="shared" si="14"/>
        <v>2456.3069555200004</v>
      </c>
      <c r="P39" s="262">
        <f t="shared" si="14"/>
        <v>2456.3069555200004</v>
      </c>
      <c r="Q39" s="263">
        <f t="shared" si="14"/>
        <v>2456.3069555200004</v>
      </c>
      <c r="R39" s="261">
        <f t="shared" si="14"/>
        <v>2456.3069555200004</v>
      </c>
      <c r="S39" s="262">
        <f t="shared" si="13"/>
        <v>2456.3069555200004</v>
      </c>
      <c r="T39" s="262">
        <f t="shared" si="13"/>
        <v>2456.3069555200004</v>
      </c>
      <c r="U39" s="262">
        <f t="shared" si="13"/>
        <v>2456.3069555200004</v>
      </c>
      <c r="V39" s="263">
        <f t="shared" si="13"/>
        <v>2456.3069555200004</v>
      </c>
    </row>
    <row r="40" spans="2:22" x14ac:dyDescent="0.25">
      <c r="B40" s="98" t="str">
        <f>B21</f>
        <v>HV Feeder</v>
      </c>
      <c r="C40" s="276">
        <f t="shared" si="12"/>
        <v>7086.0075835400503</v>
      </c>
      <c r="D40" s="268">
        <f t="shared" si="12"/>
        <v>7838.6414084471062</v>
      </c>
      <c r="E40" s="268">
        <f t="shared" si="12"/>
        <v>8591.1557945971617</v>
      </c>
      <c r="F40" s="268">
        <f t="shared" si="12"/>
        <v>9351.6236264012023</v>
      </c>
      <c r="G40" s="269">
        <f t="shared" si="12"/>
        <v>10118.751079479967</v>
      </c>
      <c r="H40" s="261">
        <f t="shared" si="12"/>
        <v>9740.0000000000018</v>
      </c>
      <c r="I40" s="262">
        <f t="shared" si="12"/>
        <v>9934.8000000000011</v>
      </c>
      <c r="J40" s="262">
        <f t="shared" si="12"/>
        <v>10133.496000000001</v>
      </c>
      <c r="K40" s="262">
        <f t="shared" si="12"/>
        <v>10336.165919999999</v>
      </c>
      <c r="L40" s="263">
        <f t="shared" si="12"/>
        <v>10542.889238400001</v>
      </c>
      <c r="M40" s="261">
        <f t="shared" ref="M40:M42" si="15">AVERAGE(H40:L40)</f>
        <v>10137.470231679999</v>
      </c>
      <c r="N40" s="262">
        <f t="shared" si="14"/>
        <v>10137.470231679999</v>
      </c>
      <c r="O40" s="262">
        <f t="shared" si="14"/>
        <v>10137.470231679999</v>
      </c>
      <c r="P40" s="262">
        <f t="shared" si="14"/>
        <v>10137.470231679999</v>
      </c>
      <c r="Q40" s="263">
        <f t="shared" si="14"/>
        <v>10137.470231679999</v>
      </c>
      <c r="R40" s="261">
        <f t="shared" si="14"/>
        <v>10137.470231679999</v>
      </c>
      <c r="S40" s="262">
        <f t="shared" si="13"/>
        <v>10137.470231679999</v>
      </c>
      <c r="T40" s="262">
        <f t="shared" si="13"/>
        <v>10137.470231679999</v>
      </c>
      <c r="U40" s="262">
        <f t="shared" si="13"/>
        <v>10137.470231679999</v>
      </c>
      <c r="V40" s="263">
        <f t="shared" si="13"/>
        <v>10137.470231679999</v>
      </c>
    </row>
    <row r="41" spans="2:22" x14ac:dyDescent="0.25">
      <c r="B41" s="98" t="str">
        <f>B22</f>
        <v>Dist T/F</v>
      </c>
      <c r="C41" s="276">
        <f t="shared" si="12"/>
        <v>809.43293673549135</v>
      </c>
      <c r="D41" s="268">
        <f t="shared" si="12"/>
        <v>852.19005488046309</v>
      </c>
      <c r="E41" s="268">
        <f t="shared" si="12"/>
        <v>894.82612268971673</v>
      </c>
      <c r="F41" s="268">
        <f t="shared" si="12"/>
        <v>938.14673374740505</v>
      </c>
      <c r="G41" s="269">
        <f t="shared" si="12"/>
        <v>981.99495943421368</v>
      </c>
      <c r="H41" s="261">
        <f t="shared" si="12"/>
        <v>960</v>
      </c>
      <c r="I41" s="262">
        <f t="shared" si="12"/>
        <v>979.2</v>
      </c>
      <c r="J41" s="262">
        <f t="shared" si="12"/>
        <v>998.78400000000011</v>
      </c>
      <c r="K41" s="262">
        <f t="shared" si="12"/>
        <v>1018.75968</v>
      </c>
      <c r="L41" s="263">
        <f t="shared" si="12"/>
        <v>1039.1348736</v>
      </c>
      <c r="M41" s="261">
        <f t="shared" si="15"/>
        <v>999.1757107200001</v>
      </c>
      <c r="N41" s="262">
        <f t="shared" si="14"/>
        <v>999.1757107200001</v>
      </c>
      <c r="O41" s="262">
        <f t="shared" si="14"/>
        <v>999.1757107200001</v>
      </c>
      <c r="P41" s="262">
        <f t="shared" si="14"/>
        <v>999.1757107200001</v>
      </c>
      <c r="Q41" s="263">
        <f t="shared" si="14"/>
        <v>999.1757107200001</v>
      </c>
      <c r="R41" s="261">
        <f t="shared" si="14"/>
        <v>999.1757107200001</v>
      </c>
      <c r="S41" s="262">
        <f t="shared" si="13"/>
        <v>999.1757107200001</v>
      </c>
      <c r="T41" s="262">
        <f t="shared" si="13"/>
        <v>999.1757107200001</v>
      </c>
      <c r="U41" s="262">
        <f t="shared" si="13"/>
        <v>999.1757107200001</v>
      </c>
      <c r="V41" s="263">
        <f t="shared" si="13"/>
        <v>999.1757107200001</v>
      </c>
    </row>
    <row r="42" spans="2:22" x14ac:dyDescent="0.25">
      <c r="B42" s="98" t="str">
        <f>B23</f>
        <v>LV Feeder</v>
      </c>
      <c r="C42" s="276">
        <f t="shared" si="12"/>
        <v>0</v>
      </c>
      <c r="D42" s="268">
        <f t="shared" si="12"/>
        <v>0</v>
      </c>
      <c r="E42" s="268">
        <f t="shared" si="12"/>
        <v>0</v>
      </c>
      <c r="F42" s="268">
        <f t="shared" si="12"/>
        <v>0</v>
      </c>
      <c r="G42" s="269">
        <f t="shared" si="12"/>
        <v>0</v>
      </c>
      <c r="H42" s="261">
        <f t="shared" si="12"/>
        <v>0</v>
      </c>
      <c r="I42" s="262">
        <f t="shared" si="12"/>
        <v>0</v>
      </c>
      <c r="J42" s="262">
        <f t="shared" si="12"/>
        <v>0</v>
      </c>
      <c r="K42" s="262">
        <f t="shared" si="12"/>
        <v>0</v>
      </c>
      <c r="L42" s="263">
        <f t="shared" si="12"/>
        <v>0</v>
      </c>
      <c r="M42" s="261">
        <f t="shared" si="15"/>
        <v>0</v>
      </c>
      <c r="N42" s="262">
        <f t="shared" si="14"/>
        <v>0</v>
      </c>
      <c r="O42" s="262">
        <f t="shared" si="14"/>
        <v>0</v>
      </c>
      <c r="P42" s="262">
        <f t="shared" si="14"/>
        <v>0</v>
      </c>
      <c r="Q42" s="263">
        <f t="shared" si="14"/>
        <v>0</v>
      </c>
      <c r="R42" s="261">
        <f t="shared" si="14"/>
        <v>0</v>
      </c>
      <c r="S42" s="262">
        <f t="shared" si="13"/>
        <v>0</v>
      </c>
      <c r="T42" s="262">
        <f t="shared" si="13"/>
        <v>0</v>
      </c>
      <c r="U42" s="262">
        <f t="shared" si="13"/>
        <v>0</v>
      </c>
      <c r="V42" s="263">
        <f t="shared" si="13"/>
        <v>0</v>
      </c>
    </row>
    <row r="43" spans="2:22" x14ac:dyDescent="0.25">
      <c r="B43" s="98"/>
      <c r="C43" s="276"/>
      <c r="D43" s="268"/>
      <c r="E43" s="268"/>
      <c r="F43" s="268"/>
      <c r="G43" s="269"/>
      <c r="H43" s="277"/>
      <c r="I43" s="268"/>
      <c r="J43" s="268"/>
      <c r="K43" s="268"/>
      <c r="L43" s="269"/>
      <c r="M43" s="277"/>
      <c r="N43" s="268"/>
      <c r="O43" s="268"/>
      <c r="P43" s="268"/>
      <c r="Q43" s="269"/>
      <c r="R43" s="277"/>
      <c r="S43" s="268"/>
      <c r="T43" s="268"/>
      <c r="U43" s="268"/>
      <c r="V43" s="269"/>
    </row>
    <row r="44" spans="2:22" x14ac:dyDescent="0.25">
      <c r="B44" s="239" t="s">
        <v>114</v>
      </c>
      <c r="C44" s="274">
        <f>SUM(C38:C43)</f>
        <v>11388.678563757601</v>
      </c>
      <c r="D44" s="274">
        <f t="shared" ref="D44:V44" si="16">SUM(D38:D43)</f>
        <v>12353.240313970278</v>
      </c>
      <c r="E44" s="274">
        <f t="shared" si="16"/>
        <v>13850.299074818964</v>
      </c>
      <c r="F44" s="274">
        <f t="shared" si="16"/>
        <v>12773.407813768285</v>
      </c>
      <c r="G44" s="275">
        <f t="shared" si="16"/>
        <v>13453.146536547207</v>
      </c>
      <c r="H44" s="278">
        <f t="shared" si="16"/>
        <v>13060.000000000002</v>
      </c>
      <c r="I44" s="274">
        <f t="shared" si="16"/>
        <v>13321.2</v>
      </c>
      <c r="J44" s="274">
        <f t="shared" si="16"/>
        <v>13587.624</v>
      </c>
      <c r="K44" s="274">
        <f t="shared" si="16"/>
        <v>13859.376479999999</v>
      </c>
      <c r="L44" s="275">
        <f t="shared" si="16"/>
        <v>14136.564009600001</v>
      </c>
      <c r="M44" s="278">
        <f t="shared" si="16"/>
        <v>13592.95289792</v>
      </c>
      <c r="N44" s="274">
        <f t="shared" si="16"/>
        <v>13592.95289792</v>
      </c>
      <c r="O44" s="274">
        <f t="shared" si="16"/>
        <v>13592.95289792</v>
      </c>
      <c r="P44" s="274">
        <f t="shared" si="16"/>
        <v>13592.95289792</v>
      </c>
      <c r="Q44" s="275">
        <f t="shared" si="16"/>
        <v>13592.95289792</v>
      </c>
      <c r="R44" s="278">
        <f t="shared" si="16"/>
        <v>13592.95289792</v>
      </c>
      <c r="S44" s="274">
        <f t="shared" si="16"/>
        <v>13592.95289792</v>
      </c>
      <c r="T44" s="274">
        <f t="shared" si="16"/>
        <v>13592.95289792</v>
      </c>
      <c r="U44" s="274">
        <f t="shared" si="16"/>
        <v>13592.95289792</v>
      </c>
      <c r="V44" s="275">
        <f t="shared" si="16"/>
        <v>13592.95289792</v>
      </c>
    </row>
  </sheetData>
  <mergeCells count="1">
    <mergeCell ref="B1:V1"/>
  </mergeCells>
  <phoneticPr fontId="2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03F64-5808-491F-A804-073C6B1CE172}">
  <sheetPr>
    <tabColor theme="4"/>
  </sheetPr>
  <dimension ref="B1:Z32"/>
  <sheetViews>
    <sheetView showGridLines="0" workbookViewId="0"/>
  </sheetViews>
  <sheetFormatPr defaultRowHeight="15" x14ac:dyDescent="0.25"/>
  <cols>
    <col min="2" max="2" width="21.7109375" customWidth="1"/>
    <col min="3" max="3" width="13" customWidth="1"/>
    <col min="5" max="5" width="17.42578125" customWidth="1"/>
    <col min="6" max="6" width="10.140625" bestFit="1" customWidth="1"/>
    <col min="7" max="7" width="14.85546875" bestFit="1" customWidth="1"/>
    <col min="8" max="25" width="11.5703125" bestFit="1" customWidth="1"/>
    <col min="26" max="26" width="12.5703125" customWidth="1"/>
  </cols>
  <sheetData>
    <row r="1" spans="2:26" x14ac:dyDescent="0.25">
      <c r="B1" s="306" t="s">
        <v>107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</row>
    <row r="4" spans="2:26" x14ac:dyDescent="0.25">
      <c r="B4" s="172" t="s">
        <v>59</v>
      </c>
    </row>
    <row r="6" spans="2:26" x14ac:dyDescent="0.25">
      <c r="B6" s="167" t="s">
        <v>60</v>
      </c>
      <c r="C6" s="173" t="s">
        <v>99</v>
      </c>
      <c r="E6" s="172" t="s">
        <v>61</v>
      </c>
    </row>
    <row r="7" spans="2:26" x14ac:dyDescent="0.25">
      <c r="B7" s="169" t="s">
        <v>5</v>
      </c>
      <c r="C7" s="174">
        <v>1.2E-2</v>
      </c>
    </row>
    <row r="8" spans="2:26" x14ac:dyDescent="0.25">
      <c r="B8" s="169" t="s">
        <v>21</v>
      </c>
      <c r="C8" s="174">
        <v>1.2E-2</v>
      </c>
      <c r="E8" s="175" t="s">
        <v>62</v>
      </c>
      <c r="F8" s="134">
        <v>0</v>
      </c>
      <c r="G8" s="134">
        <v>1</v>
      </c>
      <c r="H8" s="134">
        <v>2</v>
      </c>
      <c r="I8" s="134">
        <v>3</v>
      </c>
      <c r="J8" s="176">
        <v>4</v>
      </c>
      <c r="K8" s="311"/>
      <c r="L8" s="312"/>
      <c r="M8" s="312"/>
    </row>
    <row r="9" spans="2:26" x14ac:dyDescent="0.25">
      <c r="B9" s="169" t="s">
        <v>22</v>
      </c>
      <c r="C9" s="174">
        <v>1.6E-2</v>
      </c>
      <c r="E9" s="177" t="s">
        <v>99</v>
      </c>
      <c r="F9" s="178">
        <v>0</v>
      </c>
      <c r="G9" s="178">
        <v>0.4</v>
      </c>
      <c r="H9" s="178">
        <f>G9</f>
        <v>0.4</v>
      </c>
      <c r="I9" s="178">
        <f>H9</f>
        <v>0.4</v>
      </c>
      <c r="J9" s="179">
        <v>1</v>
      </c>
      <c r="K9" s="311"/>
      <c r="L9" s="312"/>
      <c r="M9" s="312"/>
    </row>
    <row r="10" spans="2:26" x14ac:dyDescent="0.25">
      <c r="B10" s="169" t="s">
        <v>23</v>
      </c>
      <c r="C10" s="174">
        <v>1.6E-2</v>
      </c>
      <c r="E10" s="175" t="s">
        <v>63</v>
      </c>
      <c r="F10" s="134">
        <v>-4</v>
      </c>
      <c r="G10" s="134">
        <v>-3</v>
      </c>
      <c r="H10" s="134">
        <v>-2</v>
      </c>
      <c r="I10" s="134">
        <v>-1</v>
      </c>
      <c r="J10" s="176">
        <v>0</v>
      </c>
    </row>
    <row r="11" spans="2:26" x14ac:dyDescent="0.25">
      <c r="B11" s="180" t="s">
        <v>24</v>
      </c>
      <c r="C11" s="181">
        <v>1.6E-2</v>
      </c>
      <c r="E11" s="177" t="s">
        <v>138</v>
      </c>
      <c r="F11" s="178">
        <v>0.6</v>
      </c>
      <c r="G11" s="178">
        <v>0</v>
      </c>
      <c r="H11" s="178">
        <v>0</v>
      </c>
      <c r="I11" s="178">
        <v>0.4</v>
      </c>
      <c r="J11" s="179">
        <v>0</v>
      </c>
    </row>
    <row r="15" spans="2:26" x14ac:dyDescent="0.25">
      <c r="B15" s="167"/>
      <c r="C15" s="163"/>
      <c r="D15" s="163"/>
      <c r="E15" s="163"/>
      <c r="F15" s="163"/>
      <c r="G15" s="127" t="s">
        <v>117</v>
      </c>
      <c r="H15" s="127" t="s">
        <v>118</v>
      </c>
      <c r="I15" s="127" t="s">
        <v>119</v>
      </c>
      <c r="J15" s="127" t="s">
        <v>120</v>
      </c>
      <c r="K15" s="127" t="s">
        <v>121</v>
      </c>
      <c r="L15" s="127" t="s">
        <v>122</v>
      </c>
      <c r="M15" s="127" t="s">
        <v>123</v>
      </c>
      <c r="N15" s="127" t="s">
        <v>124</v>
      </c>
      <c r="O15" s="127" t="s">
        <v>125</v>
      </c>
      <c r="P15" s="127" t="s">
        <v>126</v>
      </c>
      <c r="Q15" s="127" t="s">
        <v>127</v>
      </c>
      <c r="R15" s="127" t="s">
        <v>128</v>
      </c>
      <c r="S15" s="127" t="s">
        <v>129</v>
      </c>
      <c r="T15" s="127" t="s">
        <v>130</v>
      </c>
      <c r="U15" s="127" t="s">
        <v>131</v>
      </c>
      <c r="V15" s="127" t="s">
        <v>132</v>
      </c>
      <c r="W15" s="127" t="s">
        <v>133</v>
      </c>
      <c r="X15" s="127" t="s">
        <v>134</v>
      </c>
      <c r="Y15" s="127" t="s">
        <v>135</v>
      </c>
      <c r="Z15" s="295" t="s">
        <v>136</v>
      </c>
    </row>
    <row r="16" spans="2:26" x14ac:dyDescent="0.25">
      <c r="B16" s="168" t="s">
        <v>115</v>
      </c>
      <c r="Z16" s="162"/>
    </row>
    <row r="17" spans="2:26" x14ac:dyDescent="0.25">
      <c r="B17" s="169" t="s">
        <v>5</v>
      </c>
      <c r="F17" s="164"/>
      <c r="G17" s="288">
        <f>('Augmentation Capex'!D52+('Replacement Capex'!C38*1000))/1000000</f>
        <v>8.6415629729628058</v>
      </c>
      <c r="H17" s="288">
        <f>('Augmentation Capex'!E52+('Replacement Capex'!D38*1000))/1000000</f>
        <v>8.1798065008375875</v>
      </c>
      <c r="I17" s="288">
        <f>('Augmentation Capex'!F52+('Replacement Capex'!E38*1000))/1000000</f>
        <v>15.86914384129282</v>
      </c>
      <c r="J17" s="288">
        <f>('Augmentation Capex'!G52+('Replacement Capex'!F38*1000))/1000000</f>
        <v>20.022968202017722</v>
      </c>
      <c r="K17" s="288">
        <f>('Augmentation Capex'!H52+('Replacement Capex'!G38*1000))/1000000</f>
        <v>5.2784437091944749</v>
      </c>
      <c r="L17" s="288">
        <f>('Augmentation Capex'!I52+('Replacement Capex'!H38*1000))/1000000</f>
        <v>13.724</v>
      </c>
      <c r="M17" s="288">
        <f>('Augmentation Capex'!J52+('Replacement Capex'!I38*1000))/1000000</f>
        <v>13.998480000000001</v>
      </c>
      <c r="N17" s="288">
        <f>('Augmentation Capex'!K52+('Replacement Capex'!J38*1000))/1000000</f>
        <v>14.2784496</v>
      </c>
      <c r="O17" s="288">
        <f>('Augmentation Capex'!L52+('Replacement Capex'!K38*1000))/1000000</f>
        <v>14.564018592</v>
      </c>
      <c r="P17" s="288">
        <f>('Augmentation Capex'!M52+('Replacement Capex'!L38*1000))/1000000</f>
        <v>14.855298963840003</v>
      </c>
      <c r="Q17" s="288">
        <f>('Augmentation Capex'!N52+('Replacement Capex'!M38*1000))/1000000</f>
        <v>14.284049431168</v>
      </c>
      <c r="R17" s="288">
        <f>('Augmentation Capex'!O52+('Replacement Capex'!N38*1000))/1000000</f>
        <v>14.284049431168</v>
      </c>
      <c r="S17" s="288">
        <f>('Augmentation Capex'!P52+('Replacement Capex'!O38*1000))/1000000</f>
        <v>14.284049431168</v>
      </c>
      <c r="T17" s="288">
        <f>('Augmentation Capex'!Q52+('Replacement Capex'!P38*1000))/1000000</f>
        <v>14.284049431168</v>
      </c>
      <c r="U17" s="288">
        <f>('Augmentation Capex'!R52+('Replacement Capex'!Q38*1000))/1000000</f>
        <v>14.284049431168</v>
      </c>
      <c r="V17" s="288">
        <f>('Augmentation Capex'!S52+('Replacement Capex'!R38*1000))/1000000</f>
        <v>14.284049431168</v>
      </c>
      <c r="W17" s="288">
        <f>('Augmentation Capex'!T52+('Replacement Capex'!S38*1000))/1000000</f>
        <v>14.284049431168</v>
      </c>
      <c r="X17" s="288">
        <f>('Augmentation Capex'!U52+('Replacement Capex'!T38*1000))/1000000</f>
        <v>14.284049431168</v>
      </c>
      <c r="Y17" s="288">
        <f>('Augmentation Capex'!V52+('Replacement Capex'!U38*1000))/1000000</f>
        <v>14.284049431168</v>
      </c>
      <c r="Z17" s="289">
        <f>('Augmentation Capex'!W52+('Replacement Capex'!V38*1000))/1000000</f>
        <v>14.284049431168</v>
      </c>
    </row>
    <row r="18" spans="2:26" x14ac:dyDescent="0.25">
      <c r="B18" s="169" t="s">
        <v>7</v>
      </c>
      <c r="F18" s="164"/>
      <c r="G18" s="288">
        <f>('Augmentation Capex'!D53+('Replacement Capex'!C39*1000))/1000000</f>
        <v>26.607934364639558</v>
      </c>
      <c r="H18" s="288">
        <f>('Augmentation Capex'!E53+('Replacement Capex'!D39*1000))/1000000</f>
        <v>31.523923378342371</v>
      </c>
      <c r="I18" s="288">
        <f>('Augmentation Capex'!F53+('Replacement Capex'!E39*1000))/1000000</f>
        <v>24.48750117232867</v>
      </c>
      <c r="J18" s="288">
        <f>('Augmentation Capex'!G53+('Replacement Capex'!F39*1000))/1000000</f>
        <v>26.424285605709322</v>
      </c>
      <c r="K18" s="288">
        <f>('Augmentation Capex'!H53+('Replacement Capex'!G39*1000))/1000000</f>
        <v>45.48394336865217</v>
      </c>
      <c r="L18" s="288">
        <f>('Augmentation Capex'!I53+('Replacement Capex'!H39*1000))/1000000</f>
        <v>36.794499999999999</v>
      </c>
      <c r="M18" s="288">
        <f>('Augmentation Capex'!J53+('Replacement Capex'!I39*1000))/1000000</f>
        <v>37.530389999999997</v>
      </c>
      <c r="N18" s="288">
        <f>('Augmentation Capex'!K53+('Replacement Capex'!J39*1000))/1000000</f>
        <v>38.280997799999994</v>
      </c>
      <c r="O18" s="288">
        <f>('Augmentation Capex'!L53+('Replacement Capex'!K39*1000))/1000000</f>
        <v>39.046617756000011</v>
      </c>
      <c r="P18" s="288">
        <f>('Augmentation Capex'!M53+('Replacement Capex'!L39*1000))/1000000</f>
        <v>39.827550111119997</v>
      </c>
      <c r="Q18" s="288">
        <f>('Augmentation Capex'!N53+('Replacement Capex'!M39*1000))/1000000</f>
        <v>38.296011133423995</v>
      </c>
      <c r="R18" s="288">
        <f>('Augmentation Capex'!O53+('Replacement Capex'!N39*1000))/1000000</f>
        <v>38.296011133423995</v>
      </c>
      <c r="S18" s="288">
        <f>('Augmentation Capex'!P53+('Replacement Capex'!O39*1000))/1000000</f>
        <v>38.296011133423995</v>
      </c>
      <c r="T18" s="288">
        <f>('Augmentation Capex'!Q53+('Replacement Capex'!P39*1000))/1000000</f>
        <v>38.296011133423995</v>
      </c>
      <c r="U18" s="288">
        <f>('Augmentation Capex'!R53+('Replacement Capex'!Q39*1000))/1000000</f>
        <v>38.296011133423995</v>
      </c>
      <c r="V18" s="288">
        <f>('Augmentation Capex'!S53+('Replacement Capex'!R39*1000))/1000000</f>
        <v>38.296011133423995</v>
      </c>
      <c r="W18" s="288">
        <f>('Augmentation Capex'!T53+('Replacement Capex'!S39*1000))/1000000</f>
        <v>38.296011133423995</v>
      </c>
      <c r="X18" s="288">
        <f>('Augmentation Capex'!U53+('Replacement Capex'!T39*1000))/1000000</f>
        <v>38.296011133423995</v>
      </c>
      <c r="Y18" s="288">
        <f>('Augmentation Capex'!V53+('Replacement Capex'!U39*1000))/1000000</f>
        <v>38.296011133423995</v>
      </c>
      <c r="Z18" s="289">
        <f>('Augmentation Capex'!W53+('Replacement Capex'!V39*1000))/1000000</f>
        <v>38.296011133423995</v>
      </c>
    </row>
    <row r="19" spans="2:26" x14ac:dyDescent="0.25">
      <c r="B19" s="169" t="s">
        <v>73</v>
      </c>
      <c r="F19" s="164"/>
      <c r="G19" s="288">
        <f>('Augmentation Capex'!D54+('Replacement Capex'!C40*1000))/1000000</f>
        <v>34.750380723784183</v>
      </c>
      <c r="H19" s="288">
        <f>('Augmentation Capex'!E54+('Replacement Capex'!D40*1000))/1000000</f>
        <v>35.669336129992928</v>
      </c>
      <c r="I19" s="288">
        <f>('Augmentation Capex'!F54+('Replacement Capex'!E40*1000))/1000000</f>
        <v>37.422474093545439</v>
      </c>
      <c r="J19" s="288">
        <f>('Augmentation Capex'!G54+('Replacement Capex'!F40*1000))/1000000</f>
        <v>41.889413794228403</v>
      </c>
      <c r="K19" s="288">
        <f>('Augmentation Capex'!H54+('Replacement Capex'!G40*1000))/1000000</f>
        <v>42.94374037449267</v>
      </c>
      <c r="L19" s="288">
        <f>('Augmentation Capex'!I54+('Replacement Capex'!H40*1000))/1000000</f>
        <v>41.25030000000001</v>
      </c>
      <c r="M19" s="288">
        <f>('Augmentation Capex'!J54+('Replacement Capex'!I40*1000))/1000000</f>
        <v>41.50368000000001</v>
      </c>
      <c r="N19" s="288">
        <f>('Augmentation Capex'!K54+('Replacement Capex'!J40*1000))/1000000</f>
        <v>41.762127600000007</v>
      </c>
      <c r="O19" s="288">
        <f>('Augmentation Capex'!L54+('Replacement Capex'!K40*1000))/1000000</f>
        <v>42.025744152000001</v>
      </c>
      <c r="P19" s="288">
        <f>('Augmentation Capex'!M54+('Replacement Capex'!L40*1000))/1000000</f>
        <v>42.294633035040007</v>
      </c>
      <c r="Q19" s="288">
        <f>('Augmentation Capex'!N54+('Replacement Capex'!M40*1000))/1000000</f>
        <v>41.767296957408</v>
      </c>
      <c r="R19" s="288">
        <f>('Augmentation Capex'!O54+('Replacement Capex'!N40*1000))/1000000</f>
        <v>41.767296957408</v>
      </c>
      <c r="S19" s="288">
        <f>('Augmentation Capex'!P54+('Replacement Capex'!O40*1000))/1000000</f>
        <v>41.767296957408</v>
      </c>
      <c r="T19" s="288">
        <f>('Augmentation Capex'!Q54+('Replacement Capex'!P40*1000))/1000000</f>
        <v>41.767296957408</v>
      </c>
      <c r="U19" s="288">
        <f>('Augmentation Capex'!R54+('Replacement Capex'!Q40*1000))/1000000</f>
        <v>41.767296957408</v>
      </c>
      <c r="V19" s="288">
        <f>('Augmentation Capex'!S54+('Replacement Capex'!R40*1000))/1000000</f>
        <v>41.767296957408</v>
      </c>
      <c r="W19" s="288">
        <f>('Augmentation Capex'!T54+('Replacement Capex'!S40*1000))/1000000</f>
        <v>41.767296957408</v>
      </c>
      <c r="X19" s="288">
        <f>('Augmentation Capex'!U54+('Replacement Capex'!T40*1000))/1000000</f>
        <v>41.767296957408</v>
      </c>
      <c r="Y19" s="288">
        <f>('Augmentation Capex'!V54+('Replacement Capex'!U40*1000))/1000000</f>
        <v>41.767296957408</v>
      </c>
      <c r="Z19" s="289">
        <f>('Augmentation Capex'!W54+('Replacement Capex'!V40*1000))/1000000</f>
        <v>41.767296957408</v>
      </c>
    </row>
    <row r="20" spans="2:26" x14ac:dyDescent="0.25">
      <c r="B20" s="169" t="s">
        <v>11</v>
      </c>
      <c r="F20" s="164"/>
      <c r="G20" s="288">
        <f>('Augmentation Capex'!D55+('Replacement Capex'!C41*1000))/1000000</f>
        <v>15.28068836687862</v>
      </c>
      <c r="H20" s="288">
        <f>('Augmentation Capex'!E55+('Replacement Capex'!D41*1000))/1000000</f>
        <v>15.890073487292815</v>
      </c>
      <c r="I20" s="288">
        <f>('Augmentation Capex'!F55+('Replacement Capex'!E41*1000))/1000000</f>
        <v>16.522774763611519</v>
      </c>
      <c r="J20" s="288">
        <f>('Augmentation Capex'!G55+('Replacement Capex'!F41*1000))/1000000</f>
        <v>17.007172089865097</v>
      </c>
      <c r="K20" s="288">
        <f>('Augmentation Capex'!H55+('Replacement Capex'!G41*1000))/1000000</f>
        <v>17.107544902725817</v>
      </c>
      <c r="L20" s="288">
        <f>('Augmentation Capex'!I55+('Replacement Capex'!H41*1000))/1000000</f>
        <v>16.509899999999998</v>
      </c>
      <c r="M20" s="288">
        <f>('Augmentation Capex'!J55+('Replacement Capex'!I41*1000))/1000000</f>
        <v>16.580268</v>
      </c>
      <c r="N20" s="288">
        <f>('Augmentation Capex'!K55+('Replacement Capex'!J41*1000))/1000000</f>
        <v>16.65204336</v>
      </c>
      <c r="O20" s="288">
        <f>('Augmentation Capex'!L55+('Replacement Capex'!K41*1000))/1000000</f>
        <v>16.725254227200001</v>
      </c>
      <c r="P20" s="288">
        <f>('Augmentation Capex'!M55+('Replacement Capex'!L41*1000))/1000000</f>
        <v>16.799929311743998</v>
      </c>
      <c r="Q20" s="288">
        <f>('Augmentation Capex'!N55+('Replacement Capex'!M41*1000))/1000000</f>
        <v>16.653478979788801</v>
      </c>
      <c r="R20" s="288">
        <f>('Augmentation Capex'!O55+('Replacement Capex'!N41*1000))/1000000</f>
        <v>16.653478979788801</v>
      </c>
      <c r="S20" s="288">
        <f>('Augmentation Capex'!P55+('Replacement Capex'!O41*1000))/1000000</f>
        <v>16.653478979788801</v>
      </c>
      <c r="T20" s="288">
        <f>('Augmentation Capex'!Q55+('Replacement Capex'!P41*1000))/1000000</f>
        <v>16.653478979788801</v>
      </c>
      <c r="U20" s="288">
        <f>('Augmentation Capex'!R55+('Replacement Capex'!Q41*1000))/1000000</f>
        <v>16.653478979788801</v>
      </c>
      <c r="V20" s="288">
        <f>('Augmentation Capex'!S55+('Replacement Capex'!R41*1000))/1000000</f>
        <v>16.653478979788801</v>
      </c>
      <c r="W20" s="288">
        <f>('Augmentation Capex'!T55+('Replacement Capex'!S41*1000))/1000000</f>
        <v>16.653478979788801</v>
      </c>
      <c r="X20" s="288">
        <f>('Augmentation Capex'!U55+('Replacement Capex'!T41*1000))/1000000</f>
        <v>16.653478979788801</v>
      </c>
      <c r="Y20" s="288">
        <f>('Augmentation Capex'!V55+('Replacement Capex'!U41*1000))/1000000</f>
        <v>16.653478979788801</v>
      </c>
      <c r="Z20" s="289">
        <f>('Augmentation Capex'!W55+('Replacement Capex'!V41*1000))/1000000</f>
        <v>16.653478979788801</v>
      </c>
    </row>
    <row r="21" spans="2:26" x14ac:dyDescent="0.25">
      <c r="B21" s="169" t="s">
        <v>75</v>
      </c>
      <c r="F21" s="164"/>
      <c r="G21" s="288">
        <f>('Augmentation Capex'!D56+('Replacement Capex'!C42*1000))/1000000</f>
        <v>8.7923466682820042</v>
      </c>
      <c r="H21" s="288">
        <f>('Augmentation Capex'!E56+('Replacement Capex'!D42*1000))/1000000</f>
        <v>9.4441427765512618</v>
      </c>
      <c r="I21" s="288">
        <f>('Augmentation Capex'!F56+('Replacement Capex'!E42*1000))/1000000</f>
        <v>9.7510204943195333</v>
      </c>
      <c r="J21" s="288">
        <f>('Augmentation Capex'!G56+('Replacement Capex'!F42*1000))/1000000</f>
        <v>9.9395763852840044</v>
      </c>
      <c r="K21" s="288">
        <f>('Augmentation Capex'!H56+('Replacement Capex'!G42*1000))/1000000</f>
        <v>10.07882245390377</v>
      </c>
      <c r="L21" s="288">
        <f>('Augmentation Capex'!I56+('Replacement Capex'!H42*1000))/1000000</f>
        <v>9.7667999999999999</v>
      </c>
      <c r="M21" s="288">
        <f>('Augmentation Capex'!J56+('Replacement Capex'!I42*1000))/1000000</f>
        <v>9.8582040000000024</v>
      </c>
      <c r="N21" s="288">
        <f>('Augmentation Capex'!K56+('Replacement Capex'!J42*1000))/1000000</f>
        <v>9.9514360800000006</v>
      </c>
      <c r="O21" s="288">
        <f>('Augmentation Capex'!L56+('Replacement Capex'!K42*1000))/1000000</f>
        <v>10.0465328016</v>
      </c>
      <c r="P21" s="288">
        <f>('Augmentation Capex'!M56+('Replacement Capex'!L42*1000))/1000000</f>
        <v>10.143531457632001</v>
      </c>
      <c r="Q21" s="288">
        <f>('Augmentation Capex'!N56+('Replacement Capex'!M42*1000))/1000000</f>
        <v>9.9533008678463997</v>
      </c>
      <c r="R21" s="288">
        <f>('Augmentation Capex'!O56+('Replacement Capex'!N42*1000))/1000000</f>
        <v>9.9533008678463997</v>
      </c>
      <c r="S21" s="288">
        <f>('Augmentation Capex'!P56+('Replacement Capex'!O42*1000))/1000000</f>
        <v>9.9533008678463997</v>
      </c>
      <c r="T21" s="288">
        <f>('Augmentation Capex'!Q56+('Replacement Capex'!P42*1000))/1000000</f>
        <v>9.9533008678463997</v>
      </c>
      <c r="U21" s="288">
        <f>('Augmentation Capex'!R56+('Replacement Capex'!Q42*1000))/1000000</f>
        <v>9.9533008678463997</v>
      </c>
      <c r="V21" s="288">
        <f>('Augmentation Capex'!S56+('Replacement Capex'!R42*1000))/1000000</f>
        <v>9.9533008678463997</v>
      </c>
      <c r="W21" s="288">
        <f>('Augmentation Capex'!T56+('Replacement Capex'!S42*1000))/1000000</f>
        <v>9.9533008678463997</v>
      </c>
      <c r="X21" s="288">
        <f>('Augmentation Capex'!U56+('Replacement Capex'!T42*1000))/1000000</f>
        <v>9.9533008678463997</v>
      </c>
      <c r="Y21" s="288">
        <f>('Augmentation Capex'!V56+('Replacement Capex'!U42*1000))/1000000</f>
        <v>9.9533008678463997</v>
      </c>
      <c r="Z21" s="289">
        <f>('Augmentation Capex'!W56+('Replacement Capex'!V42*1000))/1000000</f>
        <v>9.9533008678463997</v>
      </c>
    </row>
    <row r="22" spans="2:26" x14ac:dyDescent="0.25">
      <c r="B22" s="170" t="s">
        <v>33</v>
      </c>
      <c r="C22" s="165"/>
      <c r="D22" s="165"/>
      <c r="E22" s="165"/>
      <c r="F22" s="166"/>
      <c r="G22" s="290">
        <f>SUM(G17:G21)</f>
        <v>94.072913096547168</v>
      </c>
      <c r="H22" s="290">
        <f t="shared" ref="H22:Z22" si="0">SUM(H17:H21)</f>
        <v>100.70728227301696</v>
      </c>
      <c r="I22" s="290">
        <f t="shared" si="0"/>
        <v>104.05291436509799</v>
      </c>
      <c r="J22" s="290">
        <f t="shared" si="0"/>
        <v>115.28341607710453</v>
      </c>
      <c r="K22" s="290">
        <f t="shared" si="0"/>
        <v>120.89249480896891</v>
      </c>
      <c r="L22" s="290">
        <f t="shared" si="0"/>
        <v>118.04550000000002</v>
      </c>
      <c r="M22" s="290">
        <f t="shared" si="0"/>
        <v>119.47102200000002</v>
      </c>
      <c r="N22" s="290">
        <f t="shared" si="0"/>
        <v>120.92505444</v>
      </c>
      <c r="O22" s="290">
        <f t="shared" si="0"/>
        <v>122.40816752880001</v>
      </c>
      <c r="P22" s="290">
        <f t="shared" si="0"/>
        <v>123.92094287937601</v>
      </c>
      <c r="Q22" s="290">
        <f t="shared" si="0"/>
        <v>120.95413736963519</v>
      </c>
      <c r="R22" s="290">
        <f t="shared" si="0"/>
        <v>120.95413736963519</v>
      </c>
      <c r="S22" s="290">
        <f t="shared" si="0"/>
        <v>120.95413736963519</v>
      </c>
      <c r="T22" s="290">
        <f t="shared" si="0"/>
        <v>120.95413736963519</v>
      </c>
      <c r="U22" s="290">
        <f t="shared" si="0"/>
        <v>120.95413736963519</v>
      </c>
      <c r="V22" s="290">
        <f t="shared" si="0"/>
        <v>120.95413736963519</v>
      </c>
      <c r="W22" s="290">
        <f t="shared" si="0"/>
        <v>120.95413736963519</v>
      </c>
      <c r="X22" s="290">
        <f t="shared" si="0"/>
        <v>120.95413736963519</v>
      </c>
      <c r="Y22" s="290">
        <f t="shared" si="0"/>
        <v>120.95413736963519</v>
      </c>
      <c r="Z22" s="291">
        <f t="shared" si="0"/>
        <v>120.95413736963519</v>
      </c>
    </row>
    <row r="23" spans="2:26" x14ac:dyDescent="0.25">
      <c r="F23" s="164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  <c r="T23" s="279"/>
      <c r="U23" s="279"/>
      <c r="V23" s="279"/>
      <c r="W23" s="279"/>
      <c r="X23" s="279"/>
      <c r="Y23" s="279"/>
      <c r="Z23" s="279"/>
    </row>
    <row r="24" spans="2:26" x14ac:dyDescent="0.25">
      <c r="B24" s="171" t="s">
        <v>116</v>
      </c>
      <c r="C24" s="163"/>
      <c r="D24" s="163"/>
      <c r="E24" s="163"/>
      <c r="F24" s="163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0"/>
      <c r="Z24" s="281"/>
    </row>
    <row r="25" spans="2:26" x14ac:dyDescent="0.25">
      <c r="B25" s="169" t="s">
        <v>5</v>
      </c>
      <c r="G25" s="292">
        <f>SUMPRODUCT(G17,$J$11)*$C7</f>
        <v>0</v>
      </c>
      <c r="H25" s="292">
        <f>SUMPRODUCT(G17:H17,$I$11:$J$11)*$C7</f>
        <v>4.1479502270221472E-2</v>
      </c>
      <c r="I25" s="292">
        <f>SUMPRODUCT(G17:I17,$H$11:$J$11)*$C7</f>
        <v>3.9263071204020422E-2</v>
      </c>
      <c r="J25" s="292">
        <f>SUMPRODUCT(G17:J17,$G$11:$J$11)*$C7</f>
        <v>7.6171890438205547E-2</v>
      </c>
      <c r="K25" s="292">
        <f>SUMPRODUCT(G17:K17,$F$11:$J$11)*$C7</f>
        <v>0.15832950077501726</v>
      </c>
      <c r="L25" s="292">
        <f>SUMPRODUCT(H17:L17,$F$11:$J$11)*$C7</f>
        <v>8.4231136610164112E-2</v>
      </c>
      <c r="M25" s="292">
        <f>SUMPRODUCT(I17:M17,$F$11:$J$11)*$C7</f>
        <v>0.18013303565730829</v>
      </c>
      <c r="N25" s="292">
        <f t="shared" ref="K25:Z29" si="1">SUMPRODUCT(J17:N17,$F$11:$J$11)*$C7</f>
        <v>0.21135807505452761</v>
      </c>
      <c r="O25" s="292">
        <f t="shared" si="1"/>
        <v>0.10654135278620024</v>
      </c>
      <c r="P25" s="292">
        <f t="shared" si="1"/>
        <v>0.16872008924160001</v>
      </c>
      <c r="Q25" s="292">
        <f t="shared" si="1"/>
        <v>0.17209449102643204</v>
      </c>
      <c r="R25" s="292">
        <f t="shared" si="1"/>
        <v>0.17136827438960639</v>
      </c>
      <c r="S25" s="292">
        <f t="shared" si="1"/>
        <v>0.1734243711320064</v>
      </c>
      <c r="T25" s="292">
        <f t="shared" si="1"/>
        <v>0.17552158980925442</v>
      </c>
      <c r="U25" s="292">
        <f t="shared" si="1"/>
        <v>0.17140859317401602</v>
      </c>
      <c r="V25" s="292">
        <f t="shared" si="1"/>
        <v>0.17140859317401602</v>
      </c>
      <c r="W25" s="292">
        <f t="shared" si="1"/>
        <v>0.17140859317401602</v>
      </c>
      <c r="X25" s="292">
        <f t="shared" si="1"/>
        <v>0.17140859317401602</v>
      </c>
      <c r="Y25" s="292">
        <f t="shared" si="1"/>
        <v>0.17140859317401602</v>
      </c>
      <c r="Z25" s="293">
        <f t="shared" si="1"/>
        <v>0.17140859317401602</v>
      </c>
    </row>
    <row r="26" spans="2:26" x14ac:dyDescent="0.25">
      <c r="B26" s="169" t="s">
        <v>7</v>
      </c>
      <c r="G26" s="292">
        <f>SUMPRODUCT(G18,$J$11)*$C8</f>
        <v>0</v>
      </c>
      <c r="H26" s="292">
        <f>SUMPRODUCT(G18:H18,$I$11:$J$11)*$C8</f>
        <v>0.1277180849502699</v>
      </c>
      <c r="I26" s="292">
        <f>SUMPRODUCT(G18:I18,$H$11:$J$11)*$C8</f>
        <v>0.15131483221604339</v>
      </c>
      <c r="J26" s="292">
        <f>SUMPRODUCT(G18:J18,$G$11:$J$11)*$C8</f>
        <v>0.11754000562717763</v>
      </c>
      <c r="K26" s="292">
        <f>SUMPRODUCT(G18:K18,$F$11:$J$11)*$C8</f>
        <v>0.31841369833280958</v>
      </c>
      <c r="L26" s="292">
        <f>SUMPRODUCT(H18:L18,$F$11:$J$11)*$C8</f>
        <v>0.44529517649359551</v>
      </c>
      <c r="M26" s="292">
        <f t="shared" si="1"/>
        <v>0.35292360844076642</v>
      </c>
      <c r="N26" s="292">
        <f t="shared" si="1"/>
        <v>0.3704007283611071</v>
      </c>
      <c r="O26" s="292">
        <f t="shared" si="1"/>
        <v>0.51123318169429555</v>
      </c>
      <c r="P26" s="292">
        <f t="shared" si="1"/>
        <v>0.45234416522880011</v>
      </c>
      <c r="Q26" s="292">
        <f t="shared" si="1"/>
        <v>0.46139104853337598</v>
      </c>
      <c r="R26" s="292">
        <f t="shared" si="1"/>
        <v>0.45944403760043517</v>
      </c>
      <c r="S26" s="292">
        <f t="shared" si="1"/>
        <v>0.4649565012836353</v>
      </c>
      <c r="T26" s="292">
        <f t="shared" si="1"/>
        <v>0.47057921424049914</v>
      </c>
      <c r="U26" s="292">
        <f t="shared" si="1"/>
        <v>0.45955213360108793</v>
      </c>
      <c r="V26" s="292">
        <f t="shared" si="1"/>
        <v>0.45955213360108793</v>
      </c>
      <c r="W26" s="292">
        <f t="shared" si="1"/>
        <v>0.45955213360108793</v>
      </c>
      <c r="X26" s="292">
        <f t="shared" si="1"/>
        <v>0.45955213360108793</v>
      </c>
      <c r="Y26" s="292">
        <f t="shared" si="1"/>
        <v>0.45955213360108793</v>
      </c>
      <c r="Z26" s="293">
        <f t="shared" si="1"/>
        <v>0.45955213360108793</v>
      </c>
    </row>
    <row r="27" spans="2:26" x14ac:dyDescent="0.25">
      <c r="B27" s="169" t="s">
        <v>73</v>
      </c>
      <c r="G27" s="292">
        <f>SUMPRODUCT(G19,$J$11)*$C9</f>
        <v>0</v>
      </c>
      <c r="H27" s="292">
        <f>SUMPRODUCT(G19:H19,$I$11:$J$11)*$C9</f>
        <v>0.22240243663221879</v>
      </c>
      <c r="I27" s="292">
        <f>SUMPRODUCT(G19:I19,$H$11:$J$11)*$C9</f>
        <v>0.22828375123195474</v>
      </c>
      <c r="J27" s="292">
        <f>SUMPRODUCT(G19:J19,$G$11:$J$11)*$C9</f>
        <v>0.23950383419869081</v>
      </c>
      <c r="K27" s="292">
        <f t="shared" si="1"/>
        <v>0.60169590323138999</v>
      </c>
      <c r="L27" s="292">
        <f t="shared" si="1"/>
        <v>0.61726556524468512</v>
      </c>
      <c r="M27" s="292">
        <f t="shared" si="1"/>
        <v>0.62325767129803622</v>
      </c>
      <c r="N27" s="292">
        <f t="shared" si="1"/>
        <v>0.6677619244245927</v>
      </c>
      <c r="O27" s="292">
        <f t="shared" si="1"/>
        <v>0.6795375242351297</v>
      </c>
      <c r="P27" s="292">
        <f t="shared" si="1"/>
        <v>0.66496764257280006</v>
      </c>
      <c r="Q27" s="292">
        <f t="shared" si="1"/>
        <v>0.66912097942425608</v>
      </c>
      <c r="R27" s="292">
        <f t="shared" si="1"/>
        <v>0.66822712548741126</v>
      </c>
      <c r="S27" s="292">
        <f t="shared" si="1"/>
        <v>0.67075784438661123</v>
      </c>
      <c r="T27" s="292">
        <f t="shared" si="1"/>
        <v>0.67333917766379525</v>
      </c>
      <c r="U27" s="292">
        <f t="shared" si="1"/>
        <v>0.66827675131852804</v>
      </c>
      <c r="V27" s="292">
        <f t="shared" si="1"/>
        <v>0.66827675131852804</v>
      </c>
      <c r="W27" s="292">
        <f t="shared" si="1"/>
        <v>0.66827675131852804</v>
      </c>
      <c r="X27" s="292">
        <f t="shared" si="1"/>
        <v>0.66827675131852804</v>
      </c>
      <c r="Y27" s="292">
        <f t="shared" si="1"/>
        <v>0.66827675131852804</v>
      </c>
      <c r="Z27" s="293">
        <f t="shared" si="1"/>
        <v>0.66827675131852804</v>
      </c>
    </row>
    <row r="28" spans="2:26" x14ac:dyDescent="0.25">
      <c r="B28" s="169" t="s">
        <v>11</v>
      </c>
      <c r="G28" s="292">
        <f>SUMPRODUCT(G20,$J$11)*$C10</f>
        <v>0</v>
      </c>
      <c r="H28" s="292">
        <f>SUMPRODUCT(G20:H20,$I$11:$J$11)*$C10</f>
        <v>9.7796405548023171E-2</v>
      </c>
      <c r="I28" s="292">
        <f>SUMPRODUCT(G20:I20,$H$11:$J$11)*$C10</f>
        <v>0.10169647031867401</v>
      </c>
      <c r="J28" s="292">
        <f>SUMPRODUCT(G20:J20,$G$11:$J$11)*$C10</f>
        <v>0.10574575848711373</v>
      </c>
      <c r="K28" s="292">
        <f t="shared" si="1"/>
        <v>0.2555405096971714</v>
      </c>
      <c r="L28" s="292">
        <f t="shared" si="1"/>
        <v>0.26203299285545628</v>
      </c>
      <c r="M28" s="292">
        <f t="shared" si="1"/>
        <v>0.26428199773067057</v>
      </c>
      <c r="N28" s="292">
        <f t="shared" si="1"/>
        <v>0.26938256726270493</v>
      </c>
      <c r="O28" s="292">
        <f t="shared" si="1"/>
        <v>0.27080550857016783</v>
      </c>
      <c r="P28" s="292">
        <f t="shared" si="1"/>
        <v>0.26553666705408002</v>
      </c>
      <c r="Q28" s="292">
        <f t="shared" si="1"/>
        <v>0.2666901203951616</v>
      </c>
      <c r="R28" s="292">
        <f t="shared" si="1"/>
        <v>0.2664418817266484</v>
      </c>
      <c r="S28" s="292">
        <f t="shared" si="1"/>
        <v>0.26714470605176838</v>
      </c>
      <c r="T28" s="292">
        <f t="shared" si="1"/>
        <v>0.26786158686339068</v>
      </c>
      <c r="U28" s="292">
        <f t="shared" si="1"/>
        <v>0.26645566367662082</v>
      </c>
      <c r="V28" s="292">
        <f t="shared" si="1"/>
        <v>0.26645566367662082</v>
      </c>
      <c r="W28" s="292">
        <f t="shared" si="1"/>
        <v>0.26645566367662082</v>
      </c>
      <c r="X28" s="292">
        <f t="shared" si="1"/>
        <v>0.26645566367662082</v>
      </c>
      <c r="Y28" s="292">
        <f t="shared" si="1"/>
        <v>0.26645566367662082</v>
      </c>
      <c r="Z28" s="293">
        <f t="shared" si="1"/>
        <v>0.26645566367662082</v>
      </c>
    </row>
    <row r="29" spans="2:26" x14ac:dyDescent="0.25">
      <c r="B29" s="169" t="s">
        <v>75</v>
      </c>
      <c r="G29" s="292">
        <f>SUMPRODUCT(G21,$J$11)*$C11</f>
        <v>0</v>
      </c>
      <c r="H29" s="292">
        <f>SUMPRODUCT(G21:H21,$I$11:$J$11)*$C11</f>
        <v>5.6271018677004833E-2</v>
      </c>
      <c r="I29" s="292">
        <f>SUMPRODUCT(G21:I21,$H$11:$J$11)*$C11</f>
        <v>6.0442513769928076E-2</v>
      </c>
      <c r="J29" s="292">
        <f>SUMPRODUCT(G21:J21,$G$11:$J$11)*$C11</f>
        <v>6.2406531163645015E-2</v>
      </c>
      <c r="K29" s="292">
        <f>SUMPRODUCT(G21:K21,$F$11:$J$11)*$C11</f>
        <v>0.14801981688132487</v>
      </c>
      <c r="L29" s="292">
        <f t="shared" si="1"/>
        <v>0.15516823435987623</v>
      </c>
      <c r="M29" s="292">
        <f t="shared" si="1"/>
        <v>0.15611731674546753</v>
      </c>
      <c r="N29" s="292">
        <f t="shared" si="1"/>
        <v>0.15851243889872646</v>
      </c>
      <c r="O29" s="292">
        <f t="shared" si="1"/>
        <v>0.16044588646947619</v>
      </c>
      <c r="P29" s="292">
        <f t="shared" si="1"/>
        <v>0.15805908993024001</v>
      </c>
      <c r="Q29" s="292">
        <f t="shared" si="1"/>
        <v>0.15955735972884483</v>
      </c>
      <c r="R29" s="292">
        <f t="shared" si="1"/>
        <v>0.15923491192221695</v>
      </c>
      <c r="S29" s="292">
        <f t="shared" si="1"/>
        <v>0.16014784044957697</v>
      </c>
      <c r="T29" s="292">
        <f t="shared" si="1"/>
        <v>0.16107902754748415</v>
      </c>
      <c r="U29" s="292">
        <f t="shared" si="1"/>
        <v>0.15925281388554241</v>
      </c>
      <c r="V29" s="292">
        <f t="shared" si="1"/>
        <v>0.15925281388554241</v>
      </c>
      <c r="W29" s="292">
        <f t="shared" si="1"/>
        <v>0.15925281388554241</v>
      </c>
      <c r="X29" s="292">
        <f t="shared" si="1"/>
        <v>0.15925281388554241</v>
      </c>
      <c r="Y29" s="292">
        <f t="shared" si="1"/>
        <v>0.15925281388554241</v>
      </c>
      <c r="Z29" s="293">
        <f t="shared" si="1"/>
        <v>0.15925281388554241</v>
      </c>
    </row>
    <row r="30" spans="2:26" x14ac:dyDescent="0.25">
      <c r="B30" s="170" t="s">
        <v>33</v>
      </c>
      <c r="C30" s="165"/>
      <c r="D30" s="165"/>
      <c r="E30" s="165"/>
      <c r="F30" s="165"/>
      <c r="G30" s="290">
        <f>SUM(G25:G29)</f>
        <v>0</v>
      </c>
      <c r="H30" s="290">
        <f t="shared" ref="H30:Z30" si="2">SUM(H25:H29)</f>
        <v>0.54566744807773815</v>
      </c>
      <c r="I30" s="290">
        <f t="shared" si="2"/>
        <v>0.58100063874062058</v>
      </c>
      <c r="J30" s="290">
        <f t="shared" si="2"/>
        <v>0.6013680199148328</v>
      </c>
      <c r="K30" s="290">
        <f t="shared" si="2"/>
        <v>1.4819994289177132</v>
      </c>
      <c r="L30" s="290">
        <f t="shared" si="2"/>
        <v>1.5639931055637772</v>
      </c>
      <c r="M30" s="290">
        <f t="shared" si="2"/>
        <v>1.5767136298722491</v>
      </c>
      <c r="N30" s="290">
        <f t="shared" si="2"/>
        <v>1.6774157340016587</v>
      </c>
      <c r="O30" s="290">
        <f t="shared" si="2"/>
        <v>1.7285634537552697</v>
      </c>
      <c r="P30" s="290">
        <f t="shared" si="2"/>
        <v>1.7096276540275201</v>
      </c>
      <c r="Q30" s="290">
        <f t="shared" si="2"/>
        <v>1.7288539991080705</v>
      </c>
      <c r="R30" s="290">
        <f t="shared" si="2"/>
        <v>1.724716231126318</v>
      </c>
      <c r="S30" s="290">
        <f t="shared" si="2"/>
        <v>1.7364312633035985</v>
      </c>
      <c r="T30" s="290">
        <f t="shared" si="2"/>
        <v>1.7483805961244236</v>
      </c>
      <c r="U30" s="290">
        <f t="shared" si="2"/>
        <v>1.7249459556557953</v>
      </c>
      <c r="V30" s="290">
        <f t="shared" si="2"/>
        <v>1.7249459556557953</v>
      </c>
      <c r="W30" s="290">
        <f t="shared" si="2"/>
        <v>1.7249459556557953</v>
      </c>
      <c r="X30" s="290">
        <f t="shared" si="2"/>
        <v>1.7249459556557953</v>
      </c>
      <c r="Y30" s="290">
        <f t="shared" si="2"/>
        <v>1.7249459556557953</v>
      </c>
      <c r="Z30" s="291">
        <f t="shared" si="2"/>
        <v>1.7249459556557953</v>
      </c>
    </row>
    <row r="31" spans="2:26" x14ac:dyDescent="0.25">
      <c r="B31" s="43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</row>
    <row r="32" spans="2:26" x14ac:dyDescent="0.25">
      <c r="B32" s="43"/>
    </row>
  </sheetData>
  <mergeCells count="2">
    <mergeCell ref="K8:M9"/>
    <mergeCell ref="B1:Z1"/>
  </mergeCells>
  <phoneticPr fontId="2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Y35"/>
  <sheetViews>
    <sheetView topLeftCell="B3" workbookViewId="0">
      <selection activeCell="B2" sqref="B2"/>
    </sheetView>
  </sheetViews>
  <sheetFormatPr defaultColWidth="9.140625" defaultRowHeight="15" x14ac:dyDescent="0.25"/>
  <cols>
    <col min="1" max="1" width="2.85546875" style="2" customWidth="1"/>
    <col min="2" max="2" width="32.7109375" style="2" customWidth="1"/>
    <col min="3" max="3" width="37.7109375" style="2" customWidth="1"/>
    <col min="4" max="4" width="9.5703125" style="2" bestFit="1" customWidth="1"/>
    <col min="5" max="16384" width="9.140625" style="2"/>
  </cols>
  <sheetData>
    <row r="1" spans="1:25" x14ac:dyDescent="0.25">
      <c r="B1" s="306" t="s">
        <v>85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</row>
    <row r="3" spans="1:25" ht="42" customHeight="1" x14ac:dyDescent="0.25">
      <c r="A3" s="4"/>
      <c r="B3" s="313"/>
      <c r="C3" s="313"/>
      <c r="D3" s="313"/>
    </row>
    <row r="4" spans="1:25" x14ac:dyDescent="0.25">
      <c r="B4" s="14" t="s">
        <v>5</v>
      </c>
      <c r="C4" s="31" t="s">
        <v>6</v>
      </c>
      <c r="D4" s="132">
        <f>Inputs!F17</f>
        <v>73</v>
      </c>
      <c r="E4" s="128">
        <f>D4/$D$9</f>
        <v>2.2047719722138325E-2</v>
      </c>
    </row>
    <row r="5" spans="1:25" x14ac:dyDescent="0.25">
      <c r="B5" s="14" t="s">
        <v>7</v>
      </c>
      <c r="C5" s="31" t="s">
        <v>8</v>
      </c>
      <c r="D5" s="132">
        <f>Inputs!F18</f>
        <v>71</v>
      </c>
      <c r="E5" s="128">
        <f t="shared" ref="E5:E8" si="0">D5/$D$9</f>
        <v>2.1443672606463304E-2</v>
      </c>
    </row>
    <row r="6" spans="1:25" x14ac:dyDescent="0.25">
      <c r="B6" s="14" t="s">
        <v>90</v>
      </c>
      <c r="C6" s="31" t="s">
        <v>64</v>
      </c>
      <c r="D6" s="132">
        <f>Inputs!F19</f>
        <v>176</v>
      </c>
      <c r="E6" s="128">
        <f t="shared" si="0"/>
        <v>5.3156146179401995E-2</v>
      </c>
    </row>
    <row r="7" spans="1:25" x14ac:dyDescent="0.25">
      <c r="B7" s="14" t="s">
        <v>11</v>
      </c>
      <c r="C7" s="31" t="s">
        <v>89</v>
      </c>
      <c r="D7" s="132">
        <f>Inputs!F20</f>
        <v>809</v>
      </c>
      <c r="E7" s="128">
        <f t="shared" si="0"/>
        <v>0.24433705829054667</v>
      </c>
    </row>
    <row r="8" spans="1:25" x14ac:dyDescent="0.25">
      <c r="B8" s="14" t="s">
        <v>91</v>
      </c>
      <c r="C8" s="31" t="s">
        <v>80</v>
      </c>
      <c r="D8" s="132">
        <f>Inputs!F21</f>
        <v>2182</v>
      </c>
      <c r="E8" s="128">
        <f t="shared" si="0"/>
        <v>0.65901540320144969</v>
      </c>
    </row>
    <row r="9" spans="1:25" x14ac:dyDescent="0.25">
      <c r="D9" s="44">
        <f>SUM(D4:D8)</f>
        <v>3311</v>
      </c>
    </row>
    <row r="11" spans="1:25" x14ac:dyDescent="0.25">
      <c r="D11" s="314"/>
      <c r="E11" s="315"/>
      <c r="F11" s="315"/>
      <c r="G11" s="315"/>
      <c r="H11" s="315"/>
      <c r="I11" s="315"/>
      <c r="J11" s="315"/>
      <c r="K11" s="315"/>
      <c r="L11" s="315"/>
      <c r="M11" s="315"/>
      <c r="N11" s="315"/>
    </row>
    <row r="12" spans="1:25" x14ac:dyDescent="0.25"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316"/>
      <c r="Y12" s="316"/>
    </row>
    <row r="13" spans="1:25" x14ac:dyDescent="0.25">
      <c r="B13" s="133" t="s">
        <v>92</v>
      </c>
      <c r="C13" s="134"/>
      <c r="D13" s="134"/>
      <c r="E13" s="161" t="s">
        <v>137</v>
      </c>
      <c r="F13" s="127" t="s">
        <v>117</v>
      </c>
      <c r="G13" s="127" t="s">
        <v>118</v>
      </c>
      <c r="H13" s="127" t="s">
        <v>119</v>
      </c>
      <c r="I13" s="127" t="s">
        <v>120</v>
      </c>
      <c r="J13" s="127" t="s">
        <v>121</v>
      </c>
      <c r="K13" s="127" t="s">
        <v>122</v>
      </c>
      <c r="L13" s="127" t="s">
        <v>123</v>
      </c>
      <c r="M13" s="127" t="s">
        <v>124</v>
      </c>
      <c r="N13" s="127" t="s">
        <v>125</v>
      </c>
      <c r="O13" s="127" t="s">
        <v>126</v>
      </c>
      <c r="P13" s="127" t="s">
        <v>127</v>
      </c>
      <c r="Q13" s="127" t="s">
        <v>128</v>
      </c>
      <c r="R13" s="127" t="s">
        <v>129</v>
      </c>
      <c r="S13" s="127" t="s">
        <v>130</v>
      </c>
      <c r="T13" s="127" t="s">
        <v>131</v>
      </c>
      <c r="U13" s="127" t="s">
        <v>132</v>
      </c>
      <c r="V13" s="127" t="s">
        <v>133</v>
      </c>
      <c r="W13" s="127" t="s">
        <v>134</v>
      </c>
      <c r="X13" s="127" t="s">
        <v>135</v>
      </c>
      <c r="Y13" s="295" t="s">
        <v>136</v>
      </c>
    </row>
    <row r="14" spans="1:25" x14ac:dyDescent="0.25">
      <c r="B14" s="135" t="s">
        <v>77</v>
      </c>
      <c r="D14" s="6"/>
      <c r="E14" s="6">
        <f>'ESOO 2022 Summary'!E12</f>
        <v>3168.608416125121</v>
      </c>
      <c r="F14" s="6">
        <f>'ESOO 2022 Summary'!F12</f>
        <v>3268.243343388443</v>
      </c>
      <c r="G14" s="6">
        <f>'ESOO 2022 Summary'!G12</f>
        <v>3322.7500937394616</v>
      </c>
      <c r="H14" s="6">
        <f>'ESOO 2022 Summary'!H12</f>
        <v>3410.3328149403783</v>
      </c>
      <c r="I14" s="6">
        <f>'ESOO 2022 Summary'!I12</f>
        <v>3462.6056693747514</v>
      </c>
      <c r="J14" s="6">
        <f>'ESOO 2022 Summary'!J12</f>
        <v>3487.4981771846942</v>
      </c>
      <c r="K14" s="6">
        <f>'ESOO 2022 Summary'!K12</f>
        <v>3551.5509586108287</v>
      </c>
      <c r="L14" s="6">
        <f>'ESOO 2022 Summary'!L12</f>
        <v>3616.7135231893039</v>
      </c>
      <c r="M14" s="6">
        <f>'ESOO 2022 Summary'!M12</f>
        <v>3657.2797945499906</v>
      </c>
      <c r="N14" s="6">
        <f>'ESOO 2022 Summary'!N12</f>
        <v>3714.1553410324641</v>
      </c>
      <c r="O14" s="6">
        <f>'ESOO 2022 Summary'!O12</f>
        <v>3778.380608238992</v>
      </c>
      <c r="P14" s="6">
        <f>'ESOO 2022 Summary'!P12</f>
        <v>3848.599142986332</v>
      </c>
      <c r="Q14" s="6">
        <f>'ESOO 2022 Summary'!Q12</f>
        <v>3929.6904481812221</v>
      </c>
      <c r="R14" s="6">
        <f>'ESOO 2022 Summary'!R12</f>
        <v>4017.8479064447852</v>
      </c>
      <c r="S14" s="6">
        <f>'ESOO 2022 Summary'!S12</f>
        <v>4087.3058494892703</v>
      </c>
      <c r="T14" s="6">
        <f>'ESOO 2022 Summary'!T12</f>
        <v>4197.1339158096289</v>
      </c>
      <c r="U14" s="6">
        <f>'ESOO 2022 Summary'!U12</f>
        <v>4248.4576409806477</v>
      </c>
      <c r="V14" s="6">
        <f>'ESOO 2022 Summary'!V12</f>
        <v>4336.454541628349</v>
      </c>
      <c r="W14" s="6">
        <f>'ESOO 2022 Summary'!W12</f>
        <v>4416.5550920135984</v>
      </c>
      <c r="X14" s="6">
        <f>'ESOO 2022 Summary'!X12</f>
        <v>4499.963731017252</v>
      </c>
      <c r="Y14" s="136">
        <f>'ESOO 2022 Summary'!Y12</f>
        <v>4545.1497025189765</v>
      </c>
    </row>
    <row r="15" spans="1:25" x14ac:dyDescent="0.25">
      <c r="A15" s="3"/>
      <c r="B15" s="137" t="s">
        <v>65</v>
      </c>
      <c r="D15" s="6"/>
      <c r="E15" s="6">
        <f>E14-D14</f>
        <v>3168.608416125121</v>
      </c>
      <c r="F15" s="54">
        <f t="shared" ref="F15:N15" si="1">F14-E14</f>
        <v>99.63492726332197</v>
      </c>
      <c r="G15" s="6">
        <f t="shared" si="1"/>
        <v>54.506750351018582</v>
      </c>
      <c r="H15" s="6">
        <f t="shared" si="1"/>
        <v>87.582721200916694</v>
      </c>
      <c r="I15" s="6">
        <f t="shared" si="1"/>
        <v>52.27285443437313</v>
      </c>
      <c r="J15" s="6">
        <f t="shared" si="1"/>
        <v>24.892507809942799</v>
      </c>
      <c r="K15" s="6">
        <f t="shared" si="1"/>
        <v>64.052781426134516</v>
      </c>
      <c r="L15" s="6">
        <f t="shared" si="1"/>
        <v>65.162564578475212</v>
      </c>
      <c r="M15" s="6">
        <f t="shared" si="1"/>
        <v>40.566271360686642</v>
      </c>
      <c r="N15" s="6">
        <f t="shared" si="1"/>
        <v>56.87554648247351</v>
      </c>
      <c r="O15" s="6">
        <f t="shared" ref="O15" si="2">O14-N14</f>
        <v>64.22526720652786</v>
      </c>
      <c r="P15" s="6">
        <f t="shared" ref="P15" si="3">P14-O14</f>
        <v>70.218534747340072</v>
      </c>
      <c r="Q15" s="6">
        <f t="shared" ref="Q15" si="4">Q14-P14</f>
        <v>81.091305194890083</v>
      </c>
      <c r="R15" s="6">
        <f t="shared" ref="R15" si="5">R14-Q14</f>
        <v>88.157458263563058</v>
      </c>
      <c r="S15" s="6">
        <f t="shared" ref="S15" si="6">S14-R14</f>
        <v>69.457943044485091</v>
      </c>
      <c r="T15" s="6">
        <f t="shared" ref="T15" si="7">T14-S14</f>
        <v>109.82806632035863</v>
      </c>
      <c r="U15" s="6">
        <f t="shared" ref="U15" si="8">U14-T14</f>
        <v>51.32372517101885</v>
      </c>
      <c r="V15" s="6">
        <f t="shared" ref="V15" si="9">V14-U14</f>
        <v>87.996900647701295</v>
      </c>
      <c r="W15" s="6">
        <f t="shared" ref="W15" si="10">W14-V14</f>
        <v>80.100550385249335</v>
      </c>
      <c r="X15" s="6">
        <f t="shared" ref="X15" si="11">X14-W14</f>
        <v>83.408639003653661</v>
      </c>
      <c r="Y15" s="136">
        <f t="shared" ref="Y15" si="12">Y14-X14</f>
        <v>45.185971501724453</v>
      </c>
    </row>
    <row r="16" spans="1:25" x14ac:dyDescent="0.25">
      <c r="B16" s="138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139"/>
    </row>
    <row r="17" spans="2:25" x14ac:dyDescent="0.25">
      <c r="B17" s="140"/>
      <c r="C17" s="141"/>
      <c r="D17" s="142"/>
      <c r="E17" s="142"/>
      <c r="F17" s="143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4"/>
    </row>
    <row r="18" spans="2:25" x14ac:dyDescent="0.25">
      <c r="C18" s="12"/>
    </row>
    <row r="20" spans="2:25" ht="30" x14ac:dyDescent="0.25">
      <c r="B20" s="145" t="s">
        <v>78</v>
      </c>
      <c r="C20" s="134"/>
      <c r="D20" s="134"/>
      <c r="E20" s="161" t="s">
        <v>137</v>
      </c>
      <c r="F20" s="127" t="s">
        <v>117</v>
      </c>
      <c r="G20" s="127" t="s">
        <v>118</v>
      </c>
      <c r="H20" s="127" t="s">
        <v>119</v>
      </c>
      <c r="I20" s="127" t="s">
        <v>120</v>
      </c>
      <c r="J20" s="127" t="s">
        <v>121</v>
      </c>
      <c r="K20" s="127" t="s">
        <v>122</v>
      </c>
      <c r="L20" s="127" t="s">
        <v>123</v>
      </c>
      <c r="M20" s="127" t="s">
        <v>124</v>
      </c>
      <c r="N20" s="127" t="s">
        <v>125</v>
      </c>
      <c r="O20" s="127" t="s">
        <v>126</v>
      </c>
      <c r="P20" s="127" t="s">
        <v>127</v>
      </c>
      <c r="Q20" s="127" t="s">
        <v>128</v>
      </c>
      <c r="R20" s="127" t="s">
        <v>129</v>
      </c>
      <c r="S20" s="127" t="s">
        <v>130</v>
      </c>
      <c r="T20" s="127" t="s">
        <v>131</v>
      </c>
      <c r="U20" s="127" t="s">
        <v>132</v>
      </c>
      <c r="V20" s="127" t="s">
        <v>133</v>
      </c>
      <c r="W20" s="127" t="s">
        <v>134</v>
      </c>
      <c r="X20" s="127" t="s">
        <v>135</v>
      </c>
      <c r="Y20" s="295" t="s">
        <v>136</v>
      </c>
    </row>
    <row r="21" spans="2:25" x14ac:dyDescent="0.25">
      <c r="B21" s="158" t="s">
        <v>5</v>
      </c>
      <c r="D21" s="146"/>
      <c r="E21" s="146">
        <f t="shared" ref="E21:Y21" si="13">$E4*E$14</f>
        <v>69.860590267935308</v>
      </c>
      <c r="F21" s="146">
        <f t="shared" si="13"/>
        <v>72.057313218772677</v>
      </c>
      <c r="G21" s="146">
        <f t="shared" si="13"/>
        <v>73.259062773476501</v>
      </c>
      <c r="H21" s="146">
        <f t="shared" si="13"/>
        <v>75.190062063016484</v>
      </c>
      <c r="I21" s="146">
        <f t="shared" si="13"/>
        <v>76.342559306661684</v>
      </c>
      <c r="J21" s="146">
        <f t="shared" si="13"/>
        <v>76.891382342036437</v>
      </c>
      <c r="K21" s="146">
        <f t="shared" si="13"/>
        <v>78.30360011434324</v>
      </c>
      <c r="L21" s="146">
        <f t="shared" si="13"/>
        <v>79.74028607454521</v>
      </c>
      <c r="M21" s="146">
        <f t="shared" si="13"/>
        <v>80.634679855677831</v>
      </c>
      <c r="N21" s="146">
        <f t="shared" si="13"/>
        <v>81.888655963566862</v>
      </c>
      <c r="O21" s="146">
        <f t="shared" si="13"/>
        <v>83.304676654015822</v>
      </c>
      <c r="P21" s="146">
        <f t="shared" si="13"/>
        <v>84.852835227424407</v>
      </c>
      <c r="Q21" s="146">
        <f t="shared" si="13"/>
        <v>86.640713596263723</v>
      </c>
      <c r="R21" s="146">
        <f t="shared" si="13"/>
        <v>88.584384527474867</v>
      </c>
      <c r="S21" s="146">
        <f t="shared" si="13"/>
        <v>90.115773788195924</v>
      </c>
      <c r="T21" s="146">
        <f t="shared" si="13"/>
        <v>92.537232212051606</v>
      </c>
      <c r="U21" s="146">
        <f t="shared" si="13"/>
        <v>93.668803319718293</v>
      </c>
      <c r="V21" s="146">
        <f t="shared" si="13"/>
        <v>95.608934321615664</v>
      </c>
      <c r="W21" s="146">
        <f t="shared" si="13"/>
        <v>97.374968806098664</v>
      </c>
      <c r="X21" s="146">
        <f t="shared" si="13"/>
        <v>99.21393910125623</v>
      </c>
      <c r="Y21" s="147">
        <f t="shared" si="13"/>
        <v>100.21018673629878</v>
      </c>
    </row>
    <row r="22" spans="2:25" x14ac:dyDescent="0.25">
      <c r="B22" s="158" t="s">
        <v>7</v>
      </c>
      <c r="D22" s="146"/>
      <c r="E22" s="146">
        <f t="shared" ref="E22:Y22" si="14">$E5*E$14</f>
        <v>67.946601493471334</v>
      </c>
      <c r="F22" s="146">
        <f t="shared" si="14"/>
        <v>70.083140253874802</v>
      </c>
      <c r="G22" s="146">
        <f t="shared" si="14"/>
        <v>71.251965163244265</v>
      </c>
      <c r="H22" s="146">
        <f t="shared" si="14"/>
        <v>73.130060362659876</v>
      </c>
      <c r="I22" s="146">
        <f t="shared" si="14"/>
        <v>74.250982339355886</v>
      </c>
      <c r="J22" s="146">
        <f t="shared" si="14"/>
        <v>74.784769127186138</v>
      </c>
      <c r="K22" s="146">
        <f t="shared" si="14"/>
        <v>76.158296001621508</v>
      </c>
      <c r="L22" s="146">
        <f t="shared" si="14"/>
        <v>77.555620702639857</v>
      </c>
      <c r="M22" s="146">
        <f t="shared" si="14"/>
        <v>78.425510544563366</v>
      </c>
      <c r="N22" s="146">
        <f t="shared" si="14"/>
        <v>79.645131142647216</v>
      </c>
      <c r="O22" s="146">
        <f t="shared" si="14"/>
        <v>81.022356745686622</v>
      </c>
      <c r="P22" s="146">
        <f t="shared" si="14"/>
        <v>82.528100015714159</v>
      </c>
      <c r="Q22" s="146">
        <f t="shared" si="14"/>
        <v>84.266995415544173</v>
      </c>
      <c r="R22" s="146">
        <f t="shared" si="14"/>
        <v>86.15741508836598</v>
      </c>
      <c r="S22" s="146">
        <f t="shared" si="14"/>
        <v>87.646848478930281</v>
      </c>
      <c r="T22" s="146">
        <f t="shared" si="14"/>
        <v>90.001965576104993</v>
      </c>
      <c r="U22" s="146">
        <f t="shared" si="14"/>
        <v>91.10253473561643</v>
      </c>
      <c r="V22" s="146">
        <f t="shared" si="14"/>
        <v>92.989511463489208</v>
      </c>
      <c r="W22" s="146">
        <f t="shared" si="14"/>
        <v>94.70716144154801</v>
      </c>
      <c r="X22" s="146">
        <f t="shared" si="14"/>
        <v>96.495748988893055</v>
      </c>
      <c r="Y22" s="147">
        <f t="shared" si="14"/>
        <v>97.464702168181006</v>
      </c>
    </row>
    <row r="23" spans="2:25" x14ac:dyDescent="0.25">
      <c r="B23" s="158" t="s">
        <v>9</v>
      </c>
      <c r="D23" s="146"/>
      <c r="E23" s="146">
        <f t="shared" ref="E23:Y23" si="15">$E6*E$14</f>
        <v>168.43101215283036</v>
      </c>
      <c r="F23" s="146">
        <f t="shared" si="15"/>
        <v>173.72722091101357</v>
      </c>
      <c r="G23" s="146">
        <f t="shared" si="15"/>
        <v>176.6245897004365</v>
      </c>
      <c r="H23" s="146">
        <f t="shared" si="15"/>
        <v>181.28014963138224</v>
      </c>
      <c r="I23" s="146">
        <f t="shared" si="15"/>
        <v>184.05877312291037</v>
      </c>
      <c r="J23" s="146">
        <f t="shared" si="15"/>
        <v>185.3819629068276</v>
      </c>
      <c r="K23" s="146">
        <f t="shared" si="15"/>
        <v>188.78676191951249</v>
      </c>
      <c r="L23" s="146">
        <f t="shared" si="15"/>
        <v>192.25055272767065</v>
      </c>
      <c r="M23" s="146">
        <f t="shared" si="15"/>
        <v>194.40689937807258</v>
      </c>
      <c r="N23" s="146">
        <f t="shared" si="15"/>
        <v>197.43018424092833</v>
      </c>
      <c r="O23" s="146">
        <f t="shared" si="15"/>
        <v>200.84415193296968</v>
      </c>
      <c r="P23" s="146">
        <f t="shared" si="15"/>
        <v>204.5766986305027</v>
      </c>
      <c r="Q23" s="146">
        <f t="shared" si="15"/>
        <v>208.88719990332078</v>
      </c>
      <c r="R23" s="146">
        <f t="shared" si="15"/>
        <v>213.57331064158328</v>
      </c>
      <c r="S23" s="146">
        <f t="shared" si="15"/>
        <v>217.26542721537649</v>
      </c>
      <c r="T23" s="146">
        <f t="shared" si="15"/>
        <v>223.10346396330254</v>
      </c>
      <c r="U23" s="146">
        <f t="shared" si="15"/>
        <v>225.83163540096467</v>
      </c>
      <c r="V23" s="146">
        <f t="shared" si="15"/>
        <v>230.50921151512819</v>
      </c>
      <c r="W23" s="146">
        <f t="shared" si="15"/>
        <v>234.76704808045707</v>
      </c>
      <c r="X23" s="146">
        <f t="shared" si="15"/>
        <v>239.20072988796025</v>
      </c>
      <c r="Y23" s="147">
        <f t="shared" si="15"/>
        <v>241.60264199436421</v>
      </c>
    </row>
    <row r="24" spans="2:25" x14ac:dyDescent="0.25">
      <c r="B24" s="158" t="s">
        <v>11</v>
      </c>
      <c r="D24" s="146"/>
      <c r="E24" s="146">
        <f t="shared" ref="E24:Y24" si="16">$E7*E$14</f>
        <v>774.20845927068046</v>
      </c>
      <c r="F24" s="146">
        <f t="shared" si="16"/>
        <v>798.55296430119313</v>
      </c>
      <c r="G24" s="146">
        <f t="shared" si="16"/>
        <v>811.87098333893823</v>
      </c>
      <c r="H24" s="146">
        <f t="shared" si="16"/>
        <v>833.27068779425133</v>
      </c>
      <c r="I24" s="146">
        <f t="shared" si="16"/>
        <v>846.042883275196</v>
      </c>
      <c r="J24" s="146">
        <f t="shared" si="16"/>
        <v>852.12504540695193</v>
      </c>
      <c r="K24" s="146">
        <f t="shared" si="16"/>
        <v>867.77551359594099</v>
      </c>
      <c r="L24" s="146">
        <f t="shared" si="16"/>
        <v>883.69714293571337</v>
      </c>
      <c r="M24" s="146">
        <f t="shared" si="16"/>
        <v>893.60898634579962</v>
      </c>
      <c r="N24" s="146">
        <f t="shared" si="16"/>
        <v>907.50579006199439</v>
      </c>
      <c r="O24" s="146">
        <f t="shared" si="16"/>
        <v>923.19840291916171</v>
      </c>
      <c r="P24" s="146">
        <f t="shared" si="16"/>
        <v>940.35539313679931</v>
      </c>
      <c r="Q24" s="146">
        <f t="shared" si="16"/>
        <v>960.16900410105973</v>
      </c>
      <c r="R24" s="146">
        <f t="shared" si="16"/>
        <v>981.7091381195504</v>
      </c>
      <c r="S24" s="146">
        <f t="shared" si="16"/>
        <v>998.6802875979522</v>
      </c>
      <c r="T24" s="146">
        <f t="shared" si="16"/>
        <v>1025.5153542404078</v>
      </c>
      <c r="U24" s="146">
        <f t="shared" si="16"/>
        <v>1038.0556422692068</v>
      </c>
      <c r="V24" s="146">
        <f t="shared" si="16"/>
        <v>1059.5565461121516</v>
      </c>
      <c r="W24" s="146">
        <f t="shared" si="16"/>
        <v>1079.1280789607372</v>
      </c>
      <c r="X24" s="146">
        <f t="shared" si="16"/>
        <v>1099.5079004509082</v>
      </c>
      <c r="Y24" s="147">
        <f t="shared" si="16"/>
        <v>1110.5485078036399</v>
      </c>
    </row>
    <row r="25" spans="2:25" x14ac:dyDescent="0.25">
      <c r="B25" s="158" t="s">
        <v>13</v>
      </c>
      <c r="D25" s="146"/>
      <c r="E25" s="146">
        <f t="shared" ref="E25:Y25" si="17">$E8*E$14</f>
        <v>2088.1617529402033</v>
      </c>
      <c r="F25" s="146">
        <f t="shared" si="17"/>
        <v>2153.8227047035889</v>
      </c>
      <c r="G25" s="146">
        <f t="shared" si="17"/>
        <v>2189.7434927633662</v>
      </c>
      <c r="H25" s="146">
        <f t="shared" si="17"/>
        <v>2247.4618550890682</v>
      </c>
      <c r="I25" s="146">
        <f t="shared" si="17"/>
        <v>2281.9104713306274</v>
      </c>
      <c r="J25" s="146">
        <f t="shared" si="17"/>
        <v>2298.3150174016919</v>
      </c>
      <c r="K25" s="146">
        <f t="shared" si="17"/>
        <v>2340.5267869794106</v>
      </c>
      <c r="L25" s="146">
        <f t="shared" si="17"/>
        <v>2383.4699207487347</v>
      </c>
      <c r="M25" s="146">
        <f t="shared" si="17"/>
        <v>2410.203718425877</v>
      </c>
      <c r="N25" s="146">
        <f t="shared" si="17"/>
        <v>2447.6855796233272</v>
      </c>
      <c r="O25" s="146">
        <f t="shared" si="17"/>
        <v>2490.0110199871579</v>
      </c>
      <c r="P25" s="146">
        <f t="shared" si="17"/>
        <v>2536.2861159758913</v>
      </c>
      <c r="Q25" s="146">
        <f t="shared" si="17"/>
        <v>2589.7265351650335</v>
      </c>
      <c r="R25" s="146">
        <f t="shared" si="17"/>
        <v>2647.8236580678108</v>
      </c>
      <c r="S25" s="146">
        <f t="shared" si="17"/>
        <v>2693.5975124088154</v>
      </c>
      <c r="T25" s="146">
        <f t="shared" si="17"/>
        <v>2765.9758998177622</v>
      </c>
      <c r="U25" s="146">
        <f t="shared" si="17"/>
        <v>2799.7990252551413</v>
      </c>
      <c r="V25" s="146">
        <f t="shared" si="17"/>
        <v>2857.7903382159643</v>
      </c>
      <c r="W25" s="146">
        <f t="shared" si="17"/>
        <v>2910.5778347247574</v>
      </c>
      <c r="X25" s="146">
        <f t="shared" si="17"/>
        <v>2965.5454125882343</v>
      </c>
      <c r="Y25" s="147">
        <f t="shared" si="17"/>
        <v>2995.3236638164926</v>
      </c>
    </row>
    <row r="26" spans="2:25" x14ac:dyDescent="0.25">
      <c r="B26" s="159" t="s">
        <v>33</v>
      </c>
      <c r="C26" s="142"/>
      <c r="D26" s="142"/>
      <c r="E26" s="148">
        <f t="shared" ref="E26:N26" si="18">SUM(E21:E25)</f>
        <v>3168.608416125121</v>
      </c>
      <c r="F26" s="148">
        <f t="shared" si="18"/>
        <v>3268.243343388443</v>
      </c>
      <c r="G26" s="148">
        <f t="shared" si="18"/>
        <v>3322.7500937394616</v>
      </c>
      <c r="H26" s="148">
        <f t="shared" si="18"/>
        <v>3410.3328149403778</v>
      </c>
      <c r="I26" s="148">
        <f t="shared" si="18"/>
        <v>3462.6056693747514</v>
      </c>
      <c r="J26" s="148">
        <f t="shared" si="18"/>
        <v>3487.4981771846942</v>
      </c>
      <c r="K26" s="148">
        <f t="shared" si="18"/>
        <v>3551.5509586108287</v>
      </c>
      <c r="L26" s="148">
        <f t="shared" si="18"/>
        <v>3616.7135231893035</v>
      </c>
      <c r="M26" s="148">
        <f t="shared" si="18"/>
        <v>3657.2797945499906</v>
      </c>
      <c r="N26" s="148">
        <f t="shared" si="18"/>
        <v>3714.1553410324641</v>
      </c>
      <c r="O26" s="148">
        <f t="shared" ref="O26" si="19">SUM(O21:O25)</f>
        <v>3778.380608238992</v>
      </c>
      <c r="P26" s="148">
        <f t="shared" ref="P26" si="20">SUM(P21:P25)</f>
        <v>3848.599142986332</v>
      </c>
      <c r="Q26" s="148">
        <f t="shared" ref="Q26" si="21">SUM(Q21:Q25)</f>
        <v>3929.6904481812217</v>
      </c>
      <c r="R26" s="148">
        <f t="shared" ref="R26" si="22">SUM(R21:R25)</f>
        <v>4017.8479064447856</v>
      </c>
      <c r="S26" s="148">
        <f t="shared" ref="S26" si="23">SUM(S21:S25)</f>
        <v>4087.3058494892703</v>
      </c>
      <c r="T26" s="148">
        <f t="shared" ref="T26" si="24">SUM(T21:T25)</f>
        <v>4197.1339158096289</v>
      </c>
      <c r="U26" s="148">
        <f t="shared" ref="U26" si="25">SUM(U21:U25)</f>
        <v>4248.4576409806477</v>
      </c>
      <c r="V26" s="148">
        <f t="shared" ref="V26" si="26">SUM(V21:V25)</f>
        <v>4336.454541628349</v>
      </c>
      <c r="W26" s="148">
        <f t="shared" ref="W26" si="27">SUM(W21:W25)</f>
        <v>4416.5550920135984</v>
      </c>
      <c r="X26" s="148">
        <f t="shared" ref="X26" si="28">SUM(X21:X25)</f>
        <v>4499.963731017252</v>
      </c>
      <c r="Y26" s="149">
        <f t="shared" ref="Y26" si="29">SUM(Y21:Y25)</f>
        <v>4545.1497025189765</v>
      </c>
    </row>
    <row r="27" spans="2:25" x14ac:dyDescent="0.25">
      <c r="F27" s="8"/>
    </row>
    <row r="28" spans="2:25" ht="30" x14ac:dyDescent="0.25">
      <c r="B28" s="150" t="s">
        <v>66</v>
      </c>
      <c r="C28" s="134"/>
      <c r="D28" s="134"/>
      <c r="E28" s="134"/>
      <c r="F28" s="127" t="s">
        <v>117</v>
      </c>
      <c r="G28" s="127" t="s">
        <v>118</v>
      </c>
      <c r="H28" s="127" t="s">
        <v>119</v>
      </c>
      <c r="I28" s="127" t="s">
        <v>120</v>
      </c>
      <c r="J28" s="127" t="s">
        <v>121</v>
      </c>
      <c r="K28" s="127" t="s">
        <v>122</v>
      </c>
      <c r="L28" s="127" t="s">
        <v>123</v>
      </c>
      <c r="M28" s="127" t="s">
        <v>124</v>
      </c>
      <c r="N28" s="127" t="s">
        <v>125</v>
      </c>
      <c r="O28" s="127" t="s">
        <v>126</v>
      </c>
      <c r="P28" s="127" t="s">
        <v>127</v>
      </c>
      <c r="Q28" s="127" t="s">
        <v>128</v>
      </c>
      <c r="R28" s="127" t="s">
        <v>129</v>
      </c>
      <c r="S28" s="127" t="s">
        <v>130</v>
      </c>
      <c r="T28" s="127" t="s">
        <v>131</v>
      </c>
      <c r="U28" s="127" t="s">
        <v>132</v>
      </c>
      <c r="V28" s="127" t="s">
        <v>133</v>
      </c>
      <c r="W28" s="127" t="s">
        <v>134</v>
      </c>
      <c r="X28" s="127" t="s">
        <v>135</v>
      </c>
      <c r="Y28" s="295" t="s">
        <v>136</v>
      </c>
    </row>
    <row r="29" spans="2:25" x14ac:dyDescent="0.25">
      <c r="B29" s="158" t="s">
        <v>5</v>
      </c>
      <c r="E29" s="8"/>
      <c r="F29" s="146">
        <f>(F21-E21)</f>
        <v>2.1967229508373691</v>
      </c>
      <c r="G29" s="146">
        <f t="shared" ref="G29:N29" si="30">(G21-F21)</f>
        <v>1.2017495547038237</v>
      </c>
      <c r="H29" s="146">
        <f t="shared" si="30"/>
        <v>1.930999289539983</v>
      </c>
      <c r="I29" s="146">
        <f t="shared" si="30"/>
        <v>1.1524972436452003</v>
      </c>
      <c r="J29" s="146">
        <f t="shared" si="30"/>
        <v>0.54882303537475252</v>
      </c>
      <c r="K29" s="146">
        <f t="shared" si="30"/>
        <v>1.4122177723068035</v>
      </c>
      <c r="L29" s="146">
        <f t="shared" si="30"/>
        <v>1.4366859602019701</v>
      </c>
      <c r="M29" s="146">
        <f t="shared" si="30"/>
        <v>0.8943937811326208</v>
      </c>
      <c r="N29" s="146">
        <f t="shared" si="30"/>
        <v>1.2539761078890308</v>
      </c>
      <c r="O29" s="146">
        <f t="shared" ref="O29:Y29" si="31">(O21-N21)</f>
        <v>1.4160206904489598</v>
      </c>
      <c r="P29" s="146">
        <f t="shared" si="31"/>
        <v>1.5481585734085854</v>
      </c>
      <c r="Q29" s="146">
        <f t="shared" si="31"/>
        <v>1.7878783688393156</v>
      </c>
      <c r="R29" s="146">
        <f t="shared" si="31"/>
        <v>1.9436709312111446</v>
      </c>
      <c r="S29" s="146">
        <f t="shared" si="31"/>
        <v>1.5313892607210562</v>
      </c>
      <c r="T29" s="146">
        <f t="shared" si="31"/>
        <v>2.4214584238556824</v>
      </c>
      <c r="U29" s="146">
        <f t="shared" si="31"/>
        <v>1.1315711076666872</v>
      </c>
      <c r="V29" s="146">
        <f t="shared" si="31"/>
        <v>1.9401310018973703</v>
      </c>
      <c r="W29" s="146">
        <f t="shared" si="31"/>
        <v>1.7660344844830007</v>
      </c>
      <c r="X29" s="146">
        <f t="shared" si="31"/>
        <v>1.8389702951575657</v>
      </c>
      <c r="Y29" s="147">
        <f t="shared" si="31"/>
        <v>0.99624763504255043</v>
      </c>
    </row>
    <row r="30" spans="2:25" x14ac:dyDescent="0.25">
      <c r="B30" s="158" t="s">
        <v>7</v>
      </c>
      <c r="E30" s="8"/>
      <c r="F30" s="146">
        <f t="shared" ref="F30:N33" si="32">(F22-E22)</f>
        <v>2.136538760403468</v>
      </c>
      <c r="G30" s="146">
        <f t="shared" si="32"/>
        <v>1.1688249093694623</v>
      </c>
      <c r="H30" s="146">
        <f t="shared" si="32"/>
        <v>1.8780951994156112</v>
      </c>
      <c r="I30" s="146">
        <f t="shared" si="32"/>
        <v>1.1209219766960103</v>
      </c>
      <c r="J30" s="146">
        <f t="shared" si="32"/>
        <v>0.5337867878302518</v>
      </c>
      <c r="K30" s="146">
        <f t="shared" si="32"/>
        <v>1.3735268744353704</v>
      </c>
      <c r="L30" s="146">
        <f t="shared" si="32"/>
        <v>1.3973247010183485</v>
      </c>
      <c r="M30" s="146">
        <f t="shared" si="32"/>
        <v>0.86988984192350927</v>
      </c>
      <c r="N30" s="146">
        <f t="shared" si="32"/>
        <v>1.2196205980838499</v>
      </c>
      <c r="O30" s="146">
        <f t="shared" ref="O30:Y30" si="33">(O22-N22)</f>
        <v>1.3772256030394061</v>
      </c>
      <c r="P30" s="146">
        <f t="shared" si="33"/>
        <v>1.5057432700275371</v>
      </c>
      <c r="Q30" s="146">
        <f t="shared" si="33"/>
        <v>1.7388953998300138</v>
      </c>
      <c r="R30" s="146">
        <f t="shared" si="33"/>
        <v>1.8904196728218068</v>
      </c>
      <c r="S30" s="146">
        <f t="shared" si="33"/>
        <v>1.4894333905643009</v>
      </c>
      <c r="T30" s="146">
        <f t="shared" si="33"/>
        <v>2.3551170971747126</v>
      </c>
      <c r="U30" s="146">
        <f t="shared" si="33"/>
        <v>1.1005691595114371</v>
      </c>
      <c r="V30" s="146">
        <f t="shared" si="33"/>
        <v>1.8869767278727778</v>
      </c>
      <c r="W30" s="146">
        <f t="shared" si="33"/>
        <v>1.7176499780588017</v>
      </c>
      <c r="X30" s="146">
        <f t="shared" si="33"/>
        <v>1.7885875473450454</v>
      </c>
      <c r="Y30" s="147">
        <f t="shared" si="33"/>
        <v>0.96895317928795066</v>
      </c>
    </row>
    <row r="31" spans="2:25" x14ac:dyDescent="0.25">
      <c r="B31" s="158" t="s">
        <v>90</v>
      </c>
      <c r="E31" s="8"/>
      <c r="F31" s="146">
        <f t="shared" si="32"/>
        <v>5.2962087581832122</v>
      </c>
      <c r="G31" s="146">
        <f t="shared" si="32"/>
        <v>2.8973687894229272</v>
      </c>
      <c r="H31" s="146">
        <f t="shared" si="32"/>
        <v>4.6555599309457421</v>
      </c>
      <c r="I31" s="146">
        <f t="shared" si="32"/>
        <v>2.7786234915281227</v>
      </c>
      <c r="J31" s="146">
        <f t="shared" si="32"/>
        <v>1.3231897839172291</v>
      </c>
      <c r="K31" s="146">
        <f t="shared" si="32"/>
        <v>3.4047990126848902</v>
      </c>
      <c r="L31" s="146">
        <f t="shared" si="32"/>
        <v>3.4637908081581656</v>
      </c>
      <c r="M31" s="146">
        <f t="shared" si="32"/>
        <v>2.1563466504019289</v>
      </c>
      <c r="N31" s="146">
        <f t="shared" si="32"/>
        <v>3.0232848628557463</v>
      </c>
      <c r="O31" s="146">
        <f t="shared" ref="O31:Y31" si="34">(O23-N23)</f>
        <v>3.4139676920413535</v>
      </c>
      <c r="P31" s="146">
        <f t="shared" si="34"/>
        <v>3.7325466975330244</v>
      </c>
      <c r="Q31" s="146">
        <f t="shared" si="34"/>
        <v>4.3105012728180725</v>
      </c>
      <c r="R31" s="146">
        <f t="shared" si="34"/>
        <v>4.6861107382624994</v>
      </c>
      <c r="S31" s="146">
        <f t="shared" si="34"/>
        <v>3.6921165737932142</v>
      </c>
      <c r="T31" s="146">
        <f t="shared" si="34"/>
        <v>5.8380367479260542</v>
      </c>
      <c r="U31" s="146">
        <f t="shared" si="34"/>
        <v>2.7281714376621267</v>
      </c>
      <c r="V31" s="146">
        <f t="shared" si="34"/>
        <v>4.6775761141635144</v>
      </c>
      <c r="W31" s="146">
        <f t="shared" si="34"/>
        <v>4.257836565328887</v>
      </c>
      <c r="X31" s="146">
        <f t="shared" si="34"/>
        <v>4.4336818075031772</v>
      </c>
      <c r="Y31" s="147">
        <f t="shared" si="34"/>
        <v>2.4019121064039552</v>
      </c>
    </row>
    <row r="32" spans="2:25" x14ac:dyDescent="0.25">
      <c r="B32" s="158" t="s">
        <v>11</v>
      </c>
      <c r="E32" s="8"/>
      <c r="F32" s="146">
        <f t="shared" si="32"/>
        <v>24.344505030512664</v>
      </c>
      <c r="G32" s="146">
        <f t="shared" si="32"/>
        <v>13.318019037745103</v>
      </c>
      <c r="H32" s="146">
        <f t="shared" si="32"/>
        <v>21.399704455313099</v>
      </c>
      <c r="I32" s="146">
        <f t="shared" si="32"/>
        <v>12.772195480944674</v>
      </c>
      <c r="J32" s="146">
        <f t="shared" si="32"/>
        <v>6.082162131755922</v>
      </c>
      <c r="K32" s="146">
        <f t="shared" si="32"/>
        <v>15.650468188989066</v>
      </c>
      <c r="L32" s="146">
        <f t="shared" si="32"/>
        <v>15.92162933977238</v>
      </c>
      <c r="M32" s="146">
        <f t="shared" si="32"/>
        <v>9.9118434100862487</v>
      </c>
      <c r="N32" s="146">
        <f t="shared" si="32"/>
        <v>13.896803716194768</v>
      </c>
      <c r="O32" s="146">
        <f t="shared" ref="O32:Y32" si="35">(O24-N24)</f>
        <v>15.692612857167319</v>
      </c>
      <c r="P32" s="146">
        <f t="shared" si="35"/>
        <v>17.156990217637599</v>
      </c>
      <c r="Q32" s="146">
        <f t="shared" si="35"/>
        <v>19.81361096426042</v>
      </c>
      <c r="R32" s="146">
        <f t="shared" si="35"/>
        <v>21.540134018490676</v>
      </c>
      <c r="S32" s="146">
        <f t="shared" si="35"/>
        <v>16.971149478401799</v>
      </c>
      <c r="T32" s="146">
        <f t="shared" si="35"/>
        <v>26.835066642455558</v>
      </c>
      <c r="U32" s="146">
        <f t="shared" si="35"/>
        <v>12.540288028799068</v>
      </c>
      <c r="V32" s="146">
        <f t="shared" si="35"/>
        <v>21.500903842944808</v>
      </c>
      <c r="W32" s="146">
        <f t="shared" si="35"/>
        <v>19.571532848585548</v>
      </c>
      <c r="X32" s="146">
        <f t="shared" si="35"/>
        <v>20.379821490171025</v>
      </c>
      <c r="Y32" s="147">
        <f t="shared" si="35"/>
        <v>11.04060735273174</v>
      </c>
    </row>
    <row r="33" spans="2:25" x14ac:dyDescent="0.25">
      <c r="B33" s="158" t="s">
        <v>91</v>
      </c>
      <c r="E33" s="8"/>
      <c r="F33" s="146">
        <f>(F25-E25)</f>
        <v>65.660951763385583</v>
      </c>
      <c r="G33" s="146">
        <f t="shared" si="32"/>
        <v>35.920788059777351</v>
      </c>
      <c r="H33" s="146">
        <f t="shared" si="32"/>
        <v>57.718362325701946</v>
      </c>
      <c r="I33" s="146">
        <f t="shared" si="32"/>
        <v>34.448616241559193</v>
      </c>
      <c r="J33" s="146">
        <f t="shared" si="32"/>
        <v>16.404546071064487</v>
      </c>
      <c r="K33" s="146">
        <f t="shared" si="32"/>
        <v>42.211769577718769</v>
      </c>
      <c r="L33" s="146">
        <f t="shared" si="32"/>
        <v>42.943133769324049</v>
      </c>
      <c r="M33" s="146">
        <f t="shared" si="32"/>
        <v>26.73379767714232</v>
      </c>
      <c r="N33" s="146">
        <f t="shared" si="32"/>
        <v>37.481861197450144</v>
      </c>
      <c r="O33" s="146">
        <f t="shared" ref="O33:Y33" si="36">(O25-N25)</f>
        <v>42.325440363830694</v>
      </c>
      <c r="P33" s="146">
        <f t="shared" si="36"/>
        <v>46.275095988733483</v>
      </c>
      <c r="Q33" s="146">
        <f t="shared" si="36"/>
        <v>53.440419189142176</v>
      </c>
      <c r="R33" s="146">
        <f t="shared" si="36"/>
        <v>58.097122902777301</v>
      </c>
      <c r="S33" s="146">
        <f t="shared" si="36"/>
        <v>45.773854341004608</v>
      </c>
      <c r="T33" s="146">
        <f t="shared" si="36"/>
        <v>72.378387408946764</v>
      </c>
      <c r="U33" s="146">
        <f t="shared" si="36"/>
        <v>33.823125437379076</v>
      </c>
      <c r="V33" s="146">
        <f t="shared" si="36"/>
        <v>57.991312960823052</v>
      </c>
      <c r="W33" s="146">
        <f t="shared" si="36"/>
        <v>52.787496508793083</v>
      </c>
      <c r="X33" s="146">
        <f t="shared" si="36"/>
        <v>54.96757786347689</v>
      </c>
      <c r="Y33" s="147">
        <f t="shared" si="36"/>
        <v>29.778251228258341</v>
      </c>
    </row>
    <row r="34" spans="2:25" x14ac:dyDescent="0.25">
      <c r="B34" s="159" t="s">
        <v>33</v>
      </c>
      <c r="C34" s="142"/>
      <c r="D34" s="142"/>
      <c r="E34" s="151"/>
      <c r="F34" s="282">
        <f>SUM(F29:F33)</f>
        <v>99.634927263322297</v>
      </c>
      <c r="G34" s="282">
        <f t="shared" ref="G34:X34" si="37">SUM(G29:G33)</f>
        <v>54.506750351018667</v>
      </c>
      <c r="H34" s="282">
        <f t="shared" si="37"/>
        <v>87.582721200916382</v>
      </c>
      <c r="I34" s="282">
        <f t="shared" si="37"/>
        <v>52.272854434373201</v>
      </c>
      <c r="J34" s="282">
        <f t="shared" si="37"/>
        <v>24.892507809942643</v>
      </c>
      <c r="K34" s="282">
        <f t="shared" si="37"/>
        <v>64.052781426134899</v>
      </c>
      <c r="L34" s="282">
        <f t="shared" si="37"/>
        <v>65.162564578474914</v>
      </c>
      <c r="M34" s="282">
        <f t="shared" si="37"/>
        <v>40.566271360686628</v>
      </c>
      <c r="N34" s="282">
        <f t="shared" si="37"/>
        <v>56.875546482473538</v>
      </c>
      <c r="O34" s="282">
        <f t="shared" si="37"/>
        <v>64.225267206527732</v>
      </c>
      <c r="P34" s="282">
        <f t="shared" si="37"/>
        <v>70.218534747340229</v>
      </c>
      <c r="Q34" s="282">
        <f t="shared" si="37"/>
        <v>81.091305194889998</v>
      </c>
      <c r="R34" s="282">
        <f t="shared" si="37"/>
        <v>88.157458263563427</v>
      </c>
      <c r="S34" s="282">
        <f t="shared" si="37"/>
        <v>69.457943044484978</v>
      </c>
      <c r="T34" s="282">
        <f t="shared" si="37"/>
        <v>109.82806632035877</v>
      </c>
      <c r="U34" s="282">
        <f t="shared" si="37"/>
        <v>51.323725171018395</v>
      </c>
      <c r="V34" s="282">
        <f t="shared" si="37"/>
        <v>87.996900647701523</v>
      </c>
      <c r="W34" s="282">
        <f t="shared" si="37"/>
        <v>80.100550385249321</v>
      </c>
      <c r="X34" s="282">
        <f t="shared" si="37"/>
        <v>83.408639003653704</v>
      </c>
      <c r="Y34" s="283">
        <f>SUM(Y29:Y33)</f>
        <v>45.185971501724538</v>
      </c>
    </row>
    <row r="35" spans="2:25" x14ac:dyDescent="0.25">
      <c r="B35" s="13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</sheetData>
  <mergeCells count="4">
    <mergeCell ref="B3:D3"/>
    <mergeCell ref="D11:N11"/>
    <mergeCell ref="D12:Y12"/>
    <mergeCell ref="B1:Y1"/>
  </mergeCells>
  <phoneticPr fontId="24" type="noConversion"/>
  <conditionalFormatting sqref="F35:Y3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horizontalDpi="200" verticalDpi="200" copies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E2321-6B2C-41EF-9ADC-192C999871D2}">
  <sheetPr>
    <tabColor theme="9"/>
  </sheetPr>
  <dimension ref="B1:Z13"/>
  <sheetViews>
    <sheetView showGridLines="0" workbookViewId="0"/>
  </sheetViews>
  <sheetFormatPr defaultColWidth="11.7109375" defaultRowHeight="15" x14ac:dyDescent="0.25"/>
  <cols>
    <col min="1" max="1" width="11.7109375" style="9"/>
    <col min="2" max="2" width="10.42578125" style="9" customWidth="1"/>
    <col min="3" max="3" width="32.5703125" style="9" bestFit="1" customWidth="1"/>
    <col min="4" max="16384" width="11.7109375" style="9"/>
  </cols>
  <sheetData>
    <row r="1" spans="2:26" x14ac:dyDescent="0.25">
      <c r="C1" s="306" t="s">
        <v>86</v>
      </c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</row>
    <row r="6" spans="2:26" s="10" customFormat="1" x14ac:dyDescent="0.25">
      <c r="B6" s="9"/>
      <c r="C6" s="152"/>
      <c r="D6" s="183" t="s">
        <v>67</v>
      </c>
      <c r="E6" s="183" t="s">
        <v>67</v>
      </c>
      <c r="F6" s="183" t="s">
        <v>67</v>
      </c>
      <c r="G6" s="183" t="s">
        <v>67</v>
      </c>
      <c r="H6" s="183" t="s">
        <v>67</v>
      </c>
      <c r="I6" s="183" t="s">
        <v>67</v>
      </c>
      <c r="J6" s="183" t="s">
        <v>67</v>
      </c>
      <c r="K6" s="183" t="s">
        <v>67</v>
      </c>
      <c r="L6" s="183" t="s">
        <v>67</v>
      </c>
      <c r="M6" s="183" t="s">
        <v>67</v>
      </c>
      <c r="N6" s="183" t="s">
        <v>67</v>
      </c>
      <c r="O6" s="183" t="s">
        <v>67</v>
      </c>
      <c r="P6" s="183" t="s">
        <v>67</v>
      </c>
      <c r="Q6" s="183" t="s">
        <v>67</v>
      </c>
      <c r="R6" s="183" t="s">
        <v>67</v>
      </c>
      <c r="S6" s="183" t="s">
        <v>67</v>
      </c>
      <c r="T6" s="183" t="s">
        <v>67</v>
      </c>
      <c r="U6" s="183" t="s">
        <v>67</v>
      </c>
      <c r="V6" s="183" t="s">
        <v>67</v>
      </c>
      <c r="W6" s="183" t="s">
        <v>67</v>
      </c>
      <c r="X6" s="183" t="s">
        <v>67</v>
      </c>
      <c r="Y6" s="184" t="s">
        <v>67</v>
      </c>
    </row>
    <row r="7" spans="2:26" s="11" customFormat="1" x14ac:dyDescent="0.25">
      <c r="B7" s="9"/>
      <c r="C7" s="153"/>
      <c r="D7" s="185">
        <v>2024</v>
      </c>
      <c r="E7" s="185">
        <v>2025</v>
      </c>
      <c r="F7" s="185">
        <v>2026</v>
      </c>
      <c r="G7" s="185">
        <v>2027</v>
      </c>
      <c r="H7" s="185">
        <v>2028</v>
      </c>
      <c r="I7" s="185">
        <v>2029</v>
      </c>
      <c r="J7" s="185">
        <v>2030</v>
      </c>
      <c r="K7" s="185">
        <v>2031</v>
      </c>
      <c r="L7" s="185">
        <v>2032</v>
      </c>
      <c r="M7" s="185">
        <v>2033</v>
      </c>
      <c r="N7" s="185">
        <v>2034</v>
      </c>
      <c r="O7" s="185">
        <v>2035</v>
      </c>
      <c r="P7" s="185">
        <v>2036</v>
      </c>
      <c r="Q7" s="185">
        <v>2037</v>
      </c>
      <c r="R7" s="185">
        <v>2038</v>
      </c>
      <c r="S7" s="185">
        <v>2039</v>
      </c>
      <c r="T7" s="185">
        <v>2040</v>
      </c>
      <c r="U7" s="185">
        <v>2041</v>
      </c>
      <c r="V7" s="185">
        <v>2042</v>
      </c>
      <c r="W7" s="185">
        <v>2043</v>
      </c>
      <c r="X7" s="185">
        <v>2044</v>
      </c>
      <c r="Y7" s="186">
        <v>2045</v>
      </c>
    </row>
    <row r="8" spans="2:26" x14ac:dyDescent="0.25">
      <c r="C8" s="154" t="s">
        <v>68</v>
      </c>
      <c r="D8" s="284">
        <v>3.5209574990425199</v>
      </c>
      <c r="E8" s="284">
        <v>6.71650238690611</v>
      </c>
      <c r="F8" s="284">
        <v>14.944183153989099</v>
      </c>
      <c r="G8" s="284">
        <v>26.580269933268301</v>
      </c>
      <c r="H8" s="284">
        <v>42.286749689763397</v>
      </c>
      <c r="I8" s="284">
        <v>64.627636778567705</v>
      </c>
      <c r="J8" s="284">
        <v>84.580238212291107</v>
      </c>
      <c r="K8" s="284">
        <v>129.87541980480501</v>
      </c>
      <c r="L8" s="284">
        <v>136.13425746788599</v>
      </c>
      <c r="M8" s="284">
        <v>177.74189563814801</v>
      </c>
      <c r="N8" s="284">
        <v>211.372437746206</v>
      </c>
      <c r="O8" s="284">
        <v>238.283844076956</v>
      </c>
      <c r="P8" s="284">
        <v>312.74803060651197</v>
      </c>
      <c r="Q8" s="284">
        <v>319.129442614445</v>
      </c>
      <c r="R8" s="284">
        <v>373.89731244416902</v>
      </c>
      <c r="S8" s="284">
        <v>345.657180985509</v>
      </c>
      <c r="T8" s="284">
        <v>428.05220981728098</v>
      </c>
      <c r="U8" s="284">
        <v>453.54378717821999</v>
      </c>
      <c r="V8" s="284">
        <v>478.55062333414401</v>
      </c>
      <c r="W8" s="284">
        <v>502.23395220138599</v>
      </c>
      <c r="X8" s="284">
        <v>524.37861530646501</v>
      </c>
      <c r="Y8" s="285">
        <v>587.54161001001205</v>
      </c>
    </row>
    <row r="9" spans="2:26" x14ac:dyDescent="0.25">
      <c r="C9" s="154" t="s">
        <v>69</v>
      </c>
      <c r="D9" s="284">
        <v>81.897679446117905</v>
      </c>
      <c r="E9" s="284">
        <v>140.92620814043499</v>
      </c>
      <c r="F9" s="284">
        <v>204.894688616454</v>
      </c>
      <c r="G9" s="284">
        <v>254.878098116123</v>
      </c>
      <c r="H9" s="284">
        <v>280.13680379764497</v>
      </c>
      <c r="I9" s="284">
        <v>303.27800377175402</v>
      </c>
      <c r="J9" s="284">
        <v>324.249939692363</v>
      </c>
      <c r="K9" s="284">
        <v>353.497204571194</v>
      </c>
      <c r="L9" s="284">
        <v>378.46101160754802</v>
      </c>
      <c r="M9" s="284">
        <v>403.64350118740299</v>
      </c>
      <c r="N9" s="284">
        <v>429.251905065058</v>
      </c>
      <c r="O9" s="284">
        <v>454.07834116568603</v>
      </c>
      <c r="P9" s="284">
        <v>479.82784984428997</v>
      </c>
      <c r="Q9" s="284">
        <v>504.95095731063702</v>
      </c>
      <c r="R9" s="284">
        <v>549.21090205374605</v>
      </c>
      <c r="S9" s="284">
        <v>572.77759940352098</v>
      </c>
      <c r="T9" s="284">
        <v>609.21562325181799</v>
      </c>
      <c r="U9" s="284">
        <v>620.70146119455796</v>
      </c>
      <c r="V9" s="284">
        <v>648.82973546076505</v>
      </c>
      <c r="W9" s="284">
        <v>667.46924646092202</v>
      </c>
      <c r="X9" s="284">
        <v>686.87088334908697</v>
      </c>
      <c r="Y9" s="285">
        <v>706.11617556960402</v>
      </c>
    </row>
    <row r="10" spans="2:26" x14ac:dyDescent="0.25">
      <c r="C10" s="182" t="s">
        <v>94</v>
      </c>
      <c r="D10" s="284">
        <v>2999.86125455314</v>
      </c>
      <c r="E10" s="284">
        <v>3020.96570559778</v>
      </c>
      <c r="F10" s="284">
        <v>3048.4044716180001</v>
      </c>
      <c r="G10" s="284">
        <v>3041.2917256900701</v>
      </c>
      <c r="H10" s="284">
        <v>3087.90926145297</v>
      </c>
      <c r="I10" s="284">
        <v>3094.7000288244299</v>
      </c>
      <c r="J10" s="284">
        <v>3078.66799928004</v>
      </c>
      <c r="K10" s="284">
        <v>3068.1783342348299</v>
      </c>
      <c r="L10" s="284">
        <v>3102.1182541138701</v>
      </c>
      <c r="M10" s="284">
        <v>3075.8943977244398</v>
      </c>
      <c r="N10" s="284">
        <v>3073.5309982212002</v>
      </c>
      <c r="O10" s="284">
        <v>3086.0184229963502</v>
      </c>
      <c r="P10" s="284">
        <v>3056.0232625355302</v>
      </c>
      <c r="Q10" s="284">
        <v>3105.6100482561401</v>
      </c>
      <c r="R10" s="284">
        <v>3094.7396919468702</v>
      </c>
      <c r="S10" s="284">
        <v>3168.8710691002402</v>
      </c>
      <c r="T10" s="284">
        <v>3159.8660827405301</v>
      </c>
      <c r="U10" s="284">
        <v>3174.2123926078698</v>
      </c>
      <c r="V10" s="284">
        <v>3209.0741828334399</v>
      </c>
      <c r="W10" s="284">
        <v>3246.8518933512901</v>
      </c>
      <c r="X10" s="284">
        <v>3288.7142323616999</v>
      </c>
      <c r="Y10" s="285">
        <v>3251.4919169393602</v>
      </c>
    </row>
    <row r="11" spans="2:26" x14ac:dyDescent="0.25">
      <c r="C11" s="154"/>
      <c r="D11" s="286"/>
      <c r="E11" s="286"/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7"/>
    </row>
    <row r="12" spans="2:26" x14ac:dyDescent="0.25">
      <c r="C12" s="156" t="s">
        <v>83</v>
      </c>
      <c r="D12" s="187">
        <f>SUM(D8:D10)</f>
        <v>3085.2798914983005</v>
      </c>
      <c r="E12" s="187">
        <f t="shared" ref="E12:Y12" si="0">SUM(E8:E10)</f>
        <v>3168.608416125121</v>
      </c>
      <c r="F12" s="187">
        <f t="shared" si="0"/>
        <v>3268.243343388443</v>
      </c>
      <c r="G12" s="187">
        <f t="shared" si="0"/>
        <v>3322.7500937394616</v>
      </c>
      <c r="H12" s="187">
        <f t="shared" si="0"/>
        <v>3410.3328149403783</v>
      </c>
      <c r="I12" s="187">
        <f t="shared" si="0"/>
        <v>3462.6056693747514</v>
      </c>
      <c r="J12" s="187">
        <f t="shared" si="0"/>
        <v>3487.4981771846942</v>
      </c>
      <c r="K12" s="187">
        <f t="shared" si="0"/>
        <v>3551.5509586108287</v>
      </c>
      <c r="L12" s="187">
        <f t="shared" si="0"/>
        <v>3616.7135231893039</v>
      </c>
      <c r="M12" s="187">
        <f t="shared" si="0"/>
        <v>3657.2797945499906</v>
      </c>
      <c r="N12" s="187">
        <f t="shared" si="0"/>
        <v>3714.1553410324641</v>
      </c>
      <c r="O12" s="187">
        <f t="shared" si="0"/>
        <v>3778.380608238992</v>
      </c>
      <c r="P12" s="187">
        <f t="shared" si="0"/>
        <v>3848.599142986332</v>
      </c>
      <c r="Q12" s="187">
        <f t="shared" si="0"/>
        <v>3929.6904481812221</v>
      </c>
      <c r="R12" s="187">
        <f t="shared" si="0"/>
        <v>4017.8479064447852</v>
      </c>
      <c r="S12" s="187">
        <f t="shared" si="0"/>
        <v>4087.3058494892703</v>
      </c>
      <c r="T12" s="187">
        <f t="shared" si="0"/>
        <v>4197.1339158096289</v>
      </c>
      <c r="U12" s="187">
        <f t="shared" si="0"/>
        <v>4248.4576409806477</v>
      </c>
      <c r="V12" s="187">
        <f t="shared" si="0"/>
        <v>4336.454541628349</v>
      </c>
      <c r="W12" s="187">
        <f t="shared" si="0"/>
        <v>4416.5550920135984</v>
      </c>
      <c r="X12" s="187">
        <f t="shared" si="0"/>
        <v>4499.963731017252</v>
      </c>
      <c r="Y12" s="188">
        <f t="shared" si="0"/>
        <v>4545.1497025189765</v>
      </c>
    </row>
    <row r="13" spans="2:26" x14ac:dyDescent="0.25">
      <c r="Q13" s="9" t="s">
        <v>70</v>
      </c>
    </row>
  </sheetData>
  <mergeCells count="1">
    <mergeCell ref="C1:Z1"/>
  </mergeCells>
  <phoneticPr fontId="24" type="noConversion"/>
  <pageMargins left="0.7" right="0.7" top="0.75" bottom="0.75" header="0.3" footer="0.3"/>
  <ignoredErrors>
    <ignoredError sqref="D12:Y1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47192EE784F942B38F164D75803B86" ma:contentTypeVersion="19" ma:contentTypeDescription="Create a new document." ma:contentTypeScope="" ma:versionID="3dcfea43a2e7df21d442815db8ea03ac">
  <xsd:schema xmlns:xsd="http://www.w3.org/2001/XMLSchema" xmlns:xs="http://www.w3.org/2001/XMLSchema" xmlns:p="http://schemas.microsoft.com/office/2006/metadata/properties" xmlns:ns2="d3f9e2a3-ddce-444d-9f34-47b009369a7d" xmlns:ns3="a7057c79-7d51-421d-a905-1d0948ddf619" targetNamespace="http://schemas.microsoft.com/office/2006/metadata/properties" ma:root="true" ma:fieldsID="4f910c383628dac07f170b7d88f101d8" ns2:_="" ns3:_="">
    <xsd:import namespace="d3f9e2a3-ddce-444d-9f34-47b009369a7d"/>
    <xsd:import namespace="a7057c79-7d51-421d-a905-1d0948ddf6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Hyperlink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f9e2a3-ddce-444d-9f34-47b009369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3fa0c65-e2e5-4f28-bda6-cd98279e42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057c79-7d51-421d-a905-1d0948ddf6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3cf351-d332-41a0-914e-1463d64445e7}" ma:internalName="TaxCatchAll" ma:showField="CatchAllData" ma:web="a7057c79-7d51-421d-a905-1d0948ddf6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F1F725-CA27-4B29-9B3E-7206953EE7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63B5F2-FE6F-4653-A6F8-C211E24D36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f9e2a3-ddce-444d-9f34-47b009369a7d"/>
    <ds:schemaRef ds:uri="a7057c79-7d51-421d-a905-1d0948ddf6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Results</vt:lpstr>
      <vt:lpstr>Inputs</vt:lpstr>
      <vt:lpstr>AIC Calculation</vt:lpstr>
      <vt:lpstr>Augmentation Capex</vt:lpstr>
      <vt:lpstr>Replacement Capex</vt:lpstr>
      <vt:lpstr>Opex</vt:lpstr>
      <vt:lpstr>Demand Summary</vt:lpstr>
      <vt:lpstr>ESOO 2022 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Pratiban Parthiban</dc:creator>
  <cp:keywords/>
  <dc:description/>
  <cp:lastModifiedBy>Pratiban Parthiban</cp:lastModifiedBy>
  <cp:revision/>
  <dcterms:created xsi:type="dcterms:W3CDTF">2015-06-05T18:17:20Z</dcterms:created>
  <dcterms:modified xsi:type="dcterms:W3CDTF">2024-01-29T04:01:59Z</dcterms:modified>
  <cp:category/>
  <cp:contentStatus/>
</cp:coreProperties>
</file>