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nergyqonline.sharepoint.com/sites/AER2025/Shared Documents/General/Regulatory Proposal (Energex &amp; Ergon)/Regulatory Proposal Ergon Energy/B. RP Supporting Documents_Ergon/07 Incentives Schemes/"/>
    </mc:Choice>
  </mc:AlternateContent>
  <xr:revisionPtr revIDLastSave="1" documentId="13_ncr:1_{37C51F25-84CE-463C-8F73-B8FCFFB91DEE}" xr6:coauthVersionLast="47" xr6:coauthVersionMax="47" xr10:uidLastSave="{FDFA1F56-C14C-4FEA-B403-F02193841989}"/>
  <bookViews>
    <workbookView xWindow="-120" yWindow="-120" windowWidth="25440" windowHeight="15390" firstSheet="1" activeTab="1" xr2:uid="{00000000-000D-0000-FFFF-FFFF00000000}"/>
  </bookViews>
  <sheets>
    <sheet name="Cover Page" sheetId="9" r:id="rId1"/>
    <sheet name=" STPIS Targets &amp; Incentive Rate" sheetId="8" r:id="rId2"/>
  </sheets>
  <externalReferences>
    <externalReference r:id="rId3"/>
    <externalReference r:id="rId4"/>
    <externalReference r:id="rId5"/>
    <externalReference r:id="rId6"/>
  </externalReferences>
  <definedNames>
    <definedName name="cap_max" localSheetId="0">'[1]AER Inputs'!$D$12</definedName>
    <definedName name="cap_max">'[2]AER Inputs'!$D$7</definedName>
    <definedName name="cap_max1520">'[2]AER Inputs'!$K$7</definedName>
    <definedName name="cap_maxnew">'[1]AER Inputs'!$N$12</definedName>
    <definedName name="cap_min" localSheetId="0">'[1]AER Inputs'!$D$13</definedName>
    <definedName name="cap_min">'[2]AER Inputs'!$D$8</definedName>
    <definedName name="cap_min1520">'[2]AER Inputs'!$K$8</definedName>
    <definedName name="cap_minnew">'[1]AER Inputs'!$N$13</definedName>
    <definedName name="CRY" localSheetId="0">'[3]Business &amp; other details'!$D$44</definedName>
    <definedName name="CRY">'[4]Business &amp; other details'!$D$44</definedName>
    <definedName name="cs_max" localSheetId="0">'[1]AER Inputs'!$D$15</definedName>
    <definedName name="cs_max">'[2]AER Inputs'!$D$10</definedName>
    <definedName name="cs_max1520">'[2]AER Inputs'!$K$10</definedName>
    <definedName name="cs_maxnew">'[1]AER Inputs'!$N$18</definedName>
    <definedName name="cs_min" localSheetId="0">'[1]AER Inputs'!$D$16</definedName>
    <definedName name="cs_min">'[2]AER Inputs'!$D$11</definedName>
    <definedName name="cs_min1520">'[2]AER Inputs'!$K$11</definedName>
    <definedName name="dms_CBD_flag_NSP">'[3]Business &amp; other details'!$D$75</definedName>
    <definedName name="dms_FeederName_1">'[3]AER only'!$S$22:$S$49</definedName>
    <definedName name="dms_FeederName_2">'[3]AER only'!$T$22:$T$49</definedName>
    <definedName name="dms_FeederName_3">'[3]AER only'!$U$22:$U$49</definedName>
    <definedName name="dms_FeederName_4">'[3]AER only'!$V$22:$V$49</definedName>
    <definedName name="dms_FeederName_5">'[3]AER only'!$W$22:$W$49</definedName>
    <definedName name="dms_LongRural_flag_NSP">'[3]Business &amp; other details'!$D$78</definedName>
    <definedName name="dms_ShortRural_flag_NSP">'[3]Business &amp; other details'!$D$77</definedName>
    <definedName name="dms_TradingName">'[3]Business &amp; other details'!$D$14</definedName>
    <definedName name="dms_TradingName_List">'[3]AER only'!$B$22:$B$49</definedName>
    <definedName name="ics_max">'[2]AER Inputs'!$D$13</definedName>
    <definedName name="ics_max1520">'[2]AER Inputs'!$K$13</definedName>
    <definedName name="ics_maxnew">'[1]AER Inputs'!$N$21</definedName>
    <definedName name="ics_min">'[2]AER Inputs'!$D$14</definedName>
    <definedName name="ics_min1520">'[2]AER Inputs'!$K$14</definedName>
    <definedName name="ics_minnew">'[1]AER Inputs'!$N$22</definedName>
    <definedName name="_xlnm.Print_Area" localSheetId="0">'Cover Page'!$A$1:$M$32</definedName>
    <definedName name="rs_max">'[1]AER Inputs'!$N$15</definedName>
    <definedName name="rs_min">'[1]AER Inputs'!$N$16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8" l="1"/>
  <c r="I96" i="8" l="1"/>
  <c r="D26" i="8" s="1"/>
  <c r="I97" i="8"/>
  <c r="E26" i="8" s="1"/>
  <c r="I95" i="8"/>
  <c r="C26" i="8" s="1"/>
  <c r="C89" i="8"/>
  <c r="D89" i="8"/>
  <c r="E89" i="8"/>
  <c r="F89" i="8"/>
  <c r="B89" i="8"/>
  <c r="G89" i="8" l="1"/>
  <c r="D32" i="8" s="1"/>
  <c r="D33" i="8" s="1"/>
  <c r="M5" i="8" l="1"/>
  <c r="D34" i="8" l="1"/>
  <c r="D46" i="8"/>
  <c r="D65" i="8" s="1"/>
  <c r="E24" i="8"/>
  <c r="C38" i="8" l="1"/>
  <c r="C41" i="8" s="1"/>
  <c r="D38" i="8"/>
  <c r="D41" i="8" s="1"/>
  <c r="E38" i="8"/>
  <c r="E41" i="8" s="1"/>
  <c r="E11" i="8" l="1"/>
  <c r="F11" i="8"/>
  <c r="C11" i="8"/>
  <c r="B11" i="8"/>
  <c r="D11" i="8"/>
  <c r="F10" i="8"/>
  <c r="C10" i="8"/>
  <c r="D10" i="8"/>
  <c r="B10" i="8"/>
  <c r="E10" i="8"/>
  <c r="E9" i="8"/>
  <c r="F9" i="8"/>
  <c r="C9" i="8"/>
  <c r="D9" i="8"/>
  <c r="B9" i="8"/>
  <c r="E36" i="8"/>
  <c r="E40" i="8" s="1"/>
  <c r="D36" i="8"/>
  <c r="D40" i="8" s="1"/>
  <c r="C36" i="8"/>
  <c r="C40" i="8" s="1"/>
  <c r="G10" i="8" l="1"/>
  <c r="G11" i="8"/>
  <c r="G9" i="8"/>
  <c r="E6" i="8"/>
  <c r="D6" i="8"/>
  <c r="F6" i="8"/>
  <c r="C6" i="8"/>
  <c r="B6" i="8"/>
  <c r="C4" i="8"/>
  <c r="B4" i="8"/>
  <c r="G4" i="8" s="1"/>
  <c r="E4" i="8"/>
  <c r="F4" i="8"/>
  <c r="D4" i="8"/>
  <c r="D5" i="8"/>
  <c r="C5" i="8"/>
  <c r="E5" i="8"/>
  <c r="F5" i="8"/>
  <c r="B5" i="8"/>
  <c r="G5" i="8" s="1"/>
  <c r="G6" i="8" l="1"/>
  <c r="B54" i="8"/>
  <c r="B57" i="8"/>
  <c r="B60" i="8"/>
  <c r="E29" i="8"/>
  <c r="D23" i="8"/>
  <c r="E23" i="8" s="1"/>
  <c r="B53" i="8" l="1"/>
  <c r="B56" i="8"/>
  <c r="B59" i="8"/>
  <c r="E28" i="8"/>
  <c r="D24" i="8" l="1"/>
  <c r="C24" i="8"/>
  <c r="C66" i="8" l="1"/>
  <c r="D66" i="8" s="1"/>
  <c r="C46" i="8" l="1"/>
  <c r="C65" i="8" s="1"/>
  <c r="B46" i="8"/>
  <c r="B65" i="8" s="1"/>
  <c r="D29" i="8" l="1"/>
  <c r="C29" i="8"/>
  <c r="C28" i="8" l="1"/>
  <c r="D28" i="8"/>
  <c r="E27" i="8" l="1"/>
  <c r="C27" i="8"/>
  <c r="D27" i="8"/>
  <c r="D20" i="8" l="1"/>
  <c r="C47" i="8" s="1"/>
  <c r="D21" i="8"/>
  <c r="C48" i="8" s="1"/>
  <c r="C20" i="8"/>
  <c r="B47" i="8" s="1"/>
  <c r="C21" i="8"/>
  <c r="B48" i="8" s="1"/>
  <c r="E20" i="8"/>
  <c r="D47" i="8" s="1"/>
  <c r="E21" i="8"/>
  <c r="D48" i="8" s="1"/>
</calcChain>
</file>

<file path=xl/sharedStrings.xml><?xml version="1.0" encoding="utf-8"?>
<sst xmlns="http://schemas.openxmlformats.org/spreadsheetml/2006/main" count="102" uniqueCount="68">
  <si>
    <t>Escalation</t>
  </si>
  <si>
    <t>Measure</t>
  </si>
  <si>
    <t>2018/19</t>
  </si>
  <si>
    <t>2019/20</t>
  </si>
  <si>
    <t>2020/21</t>
  </si>
  <si>
    <t>2021/22</t>
  </si>
  <si>
    <t>2022/23</t>
  </si>
  <si>
    <t>Targets</t>
  </si>
  <si>
    <t>Index Numbers All groups CPI</t>
  </si>
  <si>
    <t>Unplanned SAIDI - CBD</t>
  </si>
  <si>
    <t>.</t>
  </si>
  <si>
    <t>Unplanned SAIDI - urban</t>
  </si>
  <si>
    <t>DEC 2025</t>
  </si>
  <si>
    <t>Unplanned SAIDI - short rural</t>
  </si>
  <si>
    <t>CPI</t>
  </si>
  <si>
    <t>Unplanned SAIDI - long rural</t>
  </si>
  <si>
    <t>Source: ABS</t>
  </si>
  <si>
    <t>Unplanned SAIFI - CBD</t>
  </si>
  <si>
    <t>Unplanned SAIFI - urban</t>
  </si>
  <si>
    <t>Unplanned SAIFI - short rural</t>
  </si>
  <si>
    <t>Unplanned SAIFI - long rural</t>
  </si>
  <si>
    <t>Urban</t>
  </si>
  <si>
    <t>Short rural</t>
  </si>
  <si>
    <t>Long rural</t>
  </si>
  <si>
    <t>Output parmaeters</t>
  </si>
  <si>
    <t>ir - SAIDI</t>
  </si>
  <si>
    <t>ir - SAIFI</t>
  </si>
  <si>
    <t>Input parameters</t>
  </si>
  <si>
    <t>VCR</t>
  </si>
  <si>
    <t>w_n</t>
  </si>
  <si>
    <t>C_n</t>
  </si>
  <si>
    <t>R</t>
  </si>
  <si>
    <t>`</t>
  </si>
  <si>
    <t>SAIDI</t>
  </si>
  <si>
    <t>SAIFI</t>
  </si>
  <si>
    <t>Smoothed MAR</t>
  </si>
  <si>
    <t>%above cap exlcuding telephone answering</t>
  </si>
  <si>
    <t>(5 years - 2018/19 to 2022/23)</t>
  </si>
  <si>
    <t>SAIDI proportion</t>
  </si>
  <si>
    <t>SAIFI proportion</t>
  </si>
  <si>
    <t>SAIDI Incentive rates in current regulatory period</t>
  </si>
  <si>
    <t>Adj required to 2025-30 RCP reliability targets due to R@R cap for 2020-25 SAIDI</t>
  </si>
  <si>
    <t>SAIFI Incentive rates in current regulatory period</t>
  </si>
  <si>
    <t>Adj required to 2025-30 RCP reliability targets due to R@R cap for 2020-25 SAIFI</t>
  </si>
  <si>
    <t>Adj required to 2025-30 RCP reliability targets due to R@R</t>
  </si>
  <si>
    <t>Output tables</t>
  </si>
  <si>
    <t>Table 1 incentive rates</t>
  </si>
  <si>
    <t>Table 2 targets</t>
  </si>
  <si>
    <t>value</t>
  </si>
  <si>
    <t>Table 3</t>
  </si>
  <si>
    <t>Backcasted  data Actual Data (Exclude &lt;= 3min Momentary)</t>
  </si>
  <si>
    <t>S-Factor (DRAFT Ergon Energy - STPIS Compliance Model 201819.xlsx)</t>
  </si>
  <si>
    <t>Cummulative</t>
  </si>
  <si>
    <t>sum of the raw s-factors for the relaibility of supply parameters</t>
  </si>
  <si>
    <t>Reliability cap</t>
  </si>
  <si>
    <t>performance over the cap</t>
  </si>
  <si>
    <t>FORECAST ENERGY CONSUMPTION BY NETWORK TYPE</t>
  </si>
  <si>
    <t>Network Type</t>
  </si>
  <si>
    <t>Source</t>
  </si>
  <si>
    <t>2023/24</t>
  </si>
  <si>
    <t>2024/25</t>
  </si>
  <si>
    <t>2025/26</t>
  </si>
  <si>
    <t>2026/27</t>
  </si>
  <si>
    <t>2027/28</t>
  </si>
  <si>
    <t>5 Year Average MWH</t>
  </si>
  <si>
    <t xml:space="preserve"> URBAN</t>
  </si>
  <si>
    <t xml:space="preserve"> SHORT RURAL</t>
  </si>
  <si>
    <t xml:space="preserve"> LONG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</si>
</sst>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0.000"/>
    <numFmt numFmtId="167" formatCode="0.0000"/>
    <numFmt numFmtId="168" formatCode="0.000000"/>
    <numFmt numFmtId="169" formatCode="_-* #,##0_-;\-* #,##0_-;_-* &quot;-&quot;??_-;_-@_-"/>
    <numFmt numFmtId="170" formatCode="#,##0.000"/>
    <numFmt numFmtId="171" formatCode="#,##0.0000"/>
    <numFmt numFmtId="172" formatCode="0.00000"/>
    <numFmt numFmtId="173" formatCode="0.0;\-0.0;0.0;@"/>
    <numFmt numFmtId="174" formatCode="0.0000%"/>
    <numFmt numFmtId="175" formatCode="0.00;\-0.00;\-;@"/>
    <numFmt numFmtId="176" formatCode="0.000;\-0.000;\-;@"/>
    <numFmt numFmtId="177" formatCode="_(* #,##0.0_);_(* \(#,##0.0\);_(* &quot;-&quot;??_);_(@_)"/>
    <numFmt numFmtId="178" formatCode="_-&quot;$&quot;* #,##0_-;\-&quot;$&quot;* #,##0_-;_-&quot;$&quot;* &quot;-&quot;??_-;_-@_-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rgb="FF006100"/>
      <name val="Calibri"/>
      <family val="2"/>
      <scheme val="minor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rgb="FF006100"/>
      <name val="Arial"/>
      <family val="2"/>
    </font>
    <font>
      <b/>
      <sz val="8"/>
      <color rgb="FFFFFFFF"/>
      <name val="Arial"/>
      <family val="2"/>
    </font>
    <font>
      <b/>
      <sz val="8"/>
      <color rgb="FF170017"/>
      <name val="Arial"/>
      <family val="2"/>
    </font>
    <font>
      <sz val="8"/>
      <color rgb="FF170017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Helvetica"/>
      <family val="2"/>
    </font>
    <font>
      <b/>
      <sz val="10"/>
      <name val="Calibri"/>
      <family val="2"/>
      <scheme val="minor"/>
    </font>
    <font>
      <sz val="10"/>
      <color theme="4"/>
      <name val="Helvetica"/>
      <family val="2"/>
    </font>
    <font>
      <sz val="10"/>
      <color theme="4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sz val="10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6EFCE"/>
      </patternFill>
    </fill>
    <fill>
      <patternFill patternType="solid">
        <fgColor indexed="9"/>
        <bgColor indexed="64"/>
      </patternFill>
    </fill>
    <fill>
      <patternFill patternType="solid">
        <fgColor rgb="FF365F91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5" fillId="4" borderId="0" applyNumberFormat="0" applyBorder="0" applyAlignment="0" applyProtection="0"/>
    <xf numFmtId="0" fontId="1" fillId="5" borderId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8" borderId="0" applyNumberFormat="0" applyBorder="0" applyAlignment="0" applyProtection="0"/>
    <xf numFmtId="0" fontId="20" fillId="0" borderId="0" applyFill="0" applyBorder="0">
      <alignment horizontal="left" vertical="center"/>
    </xf>
    <xf numFmtId="0" fontId="22" fillId="10" borderId="4">
      <alignment horizontal="left" vertical="center"/>
      <protection locked="0"/>
    </xf>
    <xf numFmtId="0" fontId="25" fillId="0" borderId="0" applyFill="0" applyBorder="0">
      <alignment vertical="center"/>
    </xf>
    <xf numFmtId="0" fontId="27" fillId="0" borderId="0"/>
    <xf numFmtId="0" fontId="16" fillId="0" borderId="0"/>
    <xf numFmtId="0" fontId="16" fillId="0" borderId="0"/>
    <xf numFmtId="0" fontId="23" fillId="10" borderId="4">
      <alignment horizontal="left" vertical="center"/>
      <protection locked="0"/>
    </xf>
    <xf numFmtId="37" fontId="1" fillId="0" borderId="0">
      <alignment horizontal="right"/>
    </xf>
    <xf numFmtId="44" fontId="16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Protection="1">
      <protection locked="0"/>
    </xf>
    <xf numFmtId="0" fontId="10" fillId="0" borderId="0" xfId="0" applyFont="1"/>
    <xf numFmtId="167" fontId="2" fillId="3" borderId="0" xfId="0" applyNumberFormat="1" applyFont="1" applyFill="1" applyProtection="1">
      <protection locked="0"/>
    </xf>
    <xf numFmtId="0" fontId="11" fillId="0" borderId="0" xfId="0" applyFont="1"/>
    <xf numFmtId="165" fontId="9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right"/>
    </xf>
    <xf numFmtId="0" fontId="2" fillId="2" borderId="0" xfId="0" applyFont="1" applyFill="1" applyAlignment="1">
      <alignment horizontal="right"/>
    </xf>
    <xf numFmtId="164" fontId="2" fillId="2" borderId="0" xfId="1" applyFont="1" applyFill="1" applyAlignment="1">
      <alignment horizontal="right"/>
    </xf>
    <xf numFmtId="4" fontId="2" fillId="2" borderId="0" xfId="0" applyNumberFormat="1" applyFont="1" applyFill="1" applyAlignment="1">
      <alignment horizontal="right"/>
    </xf>
    <xf numFmtId="10" fontId="2" fillId="2" borderId="0" xfId="0" applyNumberFormat="1" applyFont="1" applyFill="1" applyAlignment="1">
      <alignment horizontal="right"/>
    </xf>
    <xf numFmtId="3" fontId="2" fillId="2" borderId="0" xfId="0" applyNumberFormat="1" applyFont="1" applyFill="1" applyAlignment="1">
      <alignment horizontal="right"/>
    </xf>
    <xf numFmtId="169" fontId="2" fillId="2" borderId="0" xfId="1" applyNumberFormat="1" applyFont="1" applyFill="1" applyAlignment="1">
      <alignment horizontal="right"/>
    </xf>
    <xf numFmtId="2" fontId="2" fillId="2" borderId="0" xfId="0" applyNumberFormat="1" applyFont="1" applyFill="1" applyAlignment="1">
      <alignment horizontal="right"/>
    </xf>
    <xf numFmtId="0" fontId="6" fillId="0" borderId="0" xfId="0" applyFont="1"/>
    <xf numFmtId="0" fontId="13" fillId="6" borderId="0" xfId="0" applyFont="1" applyFill="1" applyAlignment="1">
      <alignment horizontal="center" vertical="center" wrapText="1"/>
    </xf>
    <xf numFmtId="0" fontId="13" fillId="6" borderId="0" xfId="0" applyFont="1" applyFill="1" applyAlignment="1">
      <alignment horizontal="right" vertical="center" wrapText="1"/>
    </xf>
    <xf numFmtId="0" fontId="3" fillId="6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10" fillId="2" borderId="0" xfId="0" applyFont="1" applyFill="1"/>
    <xf numFmtId="0" fontId="1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8" fillId="7" borderId="0" xfId="0" applyFont="1" applyFill="1" applyProtection="1">
      <protection locked="0"/>
    </xf>
    <xf numFmtId="0" fontId="8" fillId="7" borderId="0" xfId="0" applyFont="1" applyFill="1" applyAlignment="1" applyProtection="1">
      <alignment horizontal="right"/>
      <protection locked="0"/>
    </xf>
    <xf numFmtId="0" fontId="3" fillId="0" borderId="1" xfId="0" applyFont="1" applyBorder="1" applyAlignment="1">
      <alignment vertical="center" wrapText="1"/>
    </xf>
    <xf numFmtId="0" fontId="0" fillId="0" borderId="2" xfId="0" applyBorder="1"/>
    <xf numFmtId="170" fontId="2" fillId="0" borderId="0" xfId="0" applyNumberFormat="1" applyFont="1" applyProtection="1">
      <protection locked="0"/>
    </xf>
    <xf numFmtId="171" fontId="3" fillId="0" borderId="0" xfId="0" applyNumberFormat="1" applyFont="1"/>
    <xf numFmtId="171" fontId="2" fillId="0" borderId="0" xfId="0" applyNumberFormat="1" applyFont="1" applyProtection="1">
      <protection locked="0"/>
    </xf>
    <xf numFmtId="171" fontId="2" fillId="3" borderId="0" xfId="0" applyNumberFormat="1" applyFont="1" applyFill="1" applyProtection="1">
      <protection locked="0"/>
    </xf>
    <xf numFmtId="171" fontId="7" fillId="3" borderId="0" xfId="5" applyNumberFormat="1" applyFont="1" applyFill="1" applyAlignment="1">
      <alignment horizontal="right" vertical="center" wrapText="1"/>
    </xf>
    <xf numFmtId="172" fontId="12" fillId="4" borderId="0" xfId="4" applyNumberFormat="1" applyFont="1" applyAlignment="1">
      <alignment horizontal="right"/>
    </xf>
    <xf numFmtId="172" fontId="3" fillId="0" borderId="0" xfId="0" applyNumberFormat="1" applyFont="1" applyAlignment="1">
      <alignment horizontal="right" vertical="center" wrapText="1"/>
    </xf>
    <xf numFmtId="43" fontId="3" fillId="0" borderId="1" xfId="6" applyFont="1" applyFill="1" applyBorder="1" applyAlignment="1">
      <alignment vertical="center" wrapText="1"/>
    </xf>
    <xf numFmtId="166" fontId="3" fillId="0" borderId="0" xfId="0" applyNumberFormat="1" applyFont="1" applyAlignment="1">
      <alignment horizontal="right" vertical="center" wrapText="1"/>
    </xf>
    <xf numFmtId="170" fontId="9" fillId="0" borderId="0" xfId="0" applyNumberFormat="1" applyFont="1" applyAlignment="1" applyProtection="1">
      <alignment horizontal="right"/>
      <protection locked="0"/>
    </xf>
    <xf numFmtId="170" fontId="9" fillId="0" borderId="0" xfId="0" applyNumberFormat="1" applyFont="1" applyProtection="1">
      <protection locked="0"/>
    </xf>
    <xf numFmtId="17" fontId="3" fillId="0" borderId="0" xfId="0" applyNumberFormat="1" applyFont="1" applyAlignment="1">
      <alignment horizontal="left"/>
    </xf>
    <xf numFmtId="173" fontId="2" fillId="0" borderId="0" xfId="0" applyNumberFormat="1" applyFont="1"/>
    <xf numFmtId="10" fontId="2" fillId="0" borderId="0" xfId="7" applyNumberFormat="1" applyFont="1" applyFill="1" applyBorder="1" applyAlignment="1"/>
    <xf numFmtId="0" fontId="17" fillId="0" borderId="0" xfId="0" applyFont="1"/>
    <xf numFmtId="170" fontId="9" fillId="0" borderId="0" xfId="0" applyNumberFormat="1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43" fontId="2" fillId="0" borderId="0" xfId="6" applyFont="1"/>
    <xf numFmtId="4" fontId="8" fillId="7" borderId="0" xfId="0" applyNumberFormat="1" applyFont="1" applyFill="1" applyAlignment="1" applyProtection="1">
      <alignment horizontal="right"/>
      <protection locked="0"/>
    </xf>
    <xf numFmtId="2" fontId="3" fillId="0" borderId="0" xfId="7" applyNumberFormat="1" applyFont="1"/>
    <xf numFmtId="2" fontId="3" fillId="0" borderId="1" xfId="0" applyNumberFormat="1" applyFont="1" applyBorder="1" applyAlignment="1">
      <alignment horizontal="right" vertical="center" wrapText="1"/>
    </xf>
    <xf numFmtId="167" fontId="2" fillId="2" borderId="0" xfId="0" applyNumberFormat="1" applyFont="1" applyFill="1" applyProtection="1">
      <protection locked="0"/>
    </xf>
    <xf numFmtId="168" fontId="9" fillId="0" borderId="0" xfId="0" applyNumberFormat="1" applyFont="1"/>
    <xf numFmtId="10" fontId="3" fillId="0" borderId="0" xfId="7" applyNumberFormat="1" applyFont="1"/>
    <xf numFmtId="10" fontId="2" fillId="2" borderId="0" xfId="7" applyNumberFormat="1" applyFont="1" applyFill="1" applyBorder="1" applyProtection="1">
      <protection locked="0"/>
    </xf>
    <xf numFmtId="10" fontId="0" fillId="0" borderId="0" xfId="0" applyNumberFormat="1"/>
    <xf numFmtId="10" fontId="9" fillId="0" borderId="0" xfId="0" applyNumberFormat="1" applyFont="1"/>
    <xf numFmtId="167" fontId="2" fillId="0" borderId="0" xfId="7" applyNumberFormat="1" applyFont="1"/>
    <xf numFmtId="0" fontId="2" fillId="0" borderId="0" xfId="2" applyFont="1" applyProtection="1">
      <protection locked="0"/>
    </xf>
    <xf numFmtId="10" fontId="6" fillId="0" borderId="3" xfId="8" applyNumberFormat="1" applyFont="1" applyFill="1" applyBorder="1" applyProtection="1"/>
    <xf numFmtId="10" fontId="2" fillId="0" borderId="3" xfId="8" applyNumberFormat="1" applyFont="1" applyFill="1" applyBorder="1" applyProtection="1"/>
    <xf numFmtId="0" fontId="19" fillId="9" borderId="0" xfId="9" applyFont="1" applyFill="1" applyBorder="1" applyAlignment="1">
      <alignment horizontal="left" vertical="center"/>
    </xf>
    <xf numFmtId="175" fontId="23" fillId="10" borderId="5" xfId="11" applyNumberFormat="1" applyFont="1" applyBorder="1" applyAlignment="1">
      <alignment horizontal="center" vertical="center"/>
      <protection locked="0"/>
    </xf>
    <xf numFmtId="176" fontId="23" fillId="10" borderId="5" xfId="11" applyNumberFormat="1" applyFont="1" applyBorder="1" applyAlignment="1">
      <alignment horizontal="center" vertical="center"/>
      <protection locked="0"/>
    </xf>
    <xf numFmtId="0" fontId="2" fillId="0" borderId="0" xfId="2" applyFont="1" applyAlignment="1" applyProtection="1">
      <alignment wrapText="1"/>
      <protection locked="0"/>
    </xf>
    <xf numFmtId="4" fontId="21" fillId="0" borderId="1" xfId="10" applyNumberFormat="1" applyFont="1" applyBorder="1" applyAlignment="1">
      <alignment horizontal="center" wrapText="1"/>
    </xf>
    <xf numFmtId="174" fontId="2" fillId="0" borderId="0" xfId="7" applyNumberFormat="1" applyFont="1"/>
    <xf numFmtId="174" fontId="9" fillId="0" borderId="0" xfId="7" applyNumberFormat="1" applyFont="1"/>
    <xf numFmtId="3" fontId="24" fillId="0" borderId="0" xfId="10" applyNumberFormat="1" applyFont="1" applyBorder="1" applyAlignment="1">
      <alignment horizontal="center" vertical="center"/>
    </xf>
    <xf numFmtId="0" fontId="3" fillId="0" borderId="0" xfId="13" applyFont="1"/>
    <xf numFmtId="0" fontId="16" fillId="0" borderId="0" xfId="14" applyAlignment="1">
      <alignment vertical="center"/>
    </xf>
    <xf numFmtId="0" fontId="16" fillId="0" borderId="0" xfId="15" applyAlignment="1">
      <alignment vertical="center"/>
    </xf>
    <xf numFmtId="0" fontId="26" fillId="0" borderId="1" xfId="10" applyFont="1" applyBorder="1" applyAlignment="1">
      <alignment horizontal="left"/>
    </xf>
    <xf numFmtId="0" fontId="21" fillId="0" borderId="1" xfId="10" applyFont="1" applyBorder="1" applyAlignment="1">
      <alignment horizontal="center" vertical="center" wrapText="1"/>
    </xf>
    <xf numFmtId="0" fontId="21" fillId="0" borderId="6" xfId="10" applyFont="1" applyBorder="1" applyAlignment="1">
      <alignment horizontal="center" vertical="center" wrapText="1"/>
    </xf>
    <xf numFmtId="0" fontId="23" fillId="10" borderId="4" xfId="16">
      <alignment horizontal="left" vertical="center"/>
      <protection locked="0"/>
    </xf>
    <xf numFmtId="3" fontId="23" fillId="10" borderId="5" xfId="11" applyNumberFormat="1" applyFont="1" applyBorder="1" applyAlignment="1">
      <alignment horizontal="center" vertical="center"/>
      <protection locked="0"/>
    </xf>
    <xf numFmtId="0" fontId="26" fillId="0" borderId="2" xfId="12" applyFont="1" applyBorder="1" applyAlignment="1">
      <alignment horizontal="left" vertical="center"/>
    </xf>
    <xf numFmtId="3" fontId="25" fillId="0" borderId="2" xfId="17" applyNumberFormat="1" applyFont="1" applyBorder="1" applyAlignment="1">
      <alignment horizontal="center" vertical="center"/>
    </xf>
    <xf numFmtId="172" fontId="3" fillId="11" borderId="0" xfId="0" applyNumberFormat="1" applyFont="1" applyFill="1" applyAlignment="1">
      <alignment horizontal="right" vertical="center" wrapText="1"/>
    </xf>
    <xf numFmtId="2" fontId="0" fillId="0" borderId="0" xfId="0" applyNumberFormat="1"/>
    <xf numFmtId="166" fontId="0" fillId="0" borderId="0" xfId="0" applyNumberFormat="1"/>
    <xf numFmtId="175" fontId="0" fillId="0" borderId="0" xfId="0" applyNumberFormat="1"/>
    <xf numFmtId="167" fontId="0" fillId="0" borderId="0" xfId="0" applyNumberFormat="1"/>
    <xf numFmtId="4" fontId="3" fillId="11" borderId="0" xfId="0" applyNumberFormat="1" applyFont="1" applyFill="1"/>
    <xf numFmtId="4" fontId="7" fillId="11" borderId="0" xfId="5" applyNumberFormat="1" applyFont="1" applyFill="1" applyAlignment="1">
      <alignment horizontal="right" vertical="center" wrapText="1"/>
    </xf>
    <xf numFmtId="170" fontId="2" fillId="11" borderId="0" xfId="0" applyNumberFormat="1" applyFont="1" applyFill="1" applyProtection="1">
      <protection locked="0"/>
    </xf>
    <xf numFmtId="177" fontId="23" fillId="10" borderId="5" xfId="6" applyNumberFormat="1" applyFont="1" applyFill="1" applyBorder="1" applyAlignment="1" applyProtection="1">
      <alignment horizontal="center" vertical="center"/>
      <protection locked="0"/>
    </xf>
    <xf numFmtId="178" fontId="23" fillId="10" borderId="5" xfId="18" applyNumberFormat="1" applyFont="1" applyFill="1" applyBorder="1" applyAlignment="1" applyProtection="1">
      <alignment horizontal="center" vertical="center"/>
      <protection locked="0"/>
    </xf>
    <xf numFmtId="10" fontId="3" fillId="0" borderId="0" xfId="7" applyNumberFormat="1" applyFont="1" applyFill="1"/>
    <xf numFmtId="2" fontId="3" fillId="0" borderId="0" xfId="7" applyNumberFormat="1" applyFont="1" applyFill="1"/>
    <xf numFmtId="0" fontId="8" fillId="0" borderId="0" xfId="0" applyFont="1" applyProtection="1">
      <protection locked="0"/>
    </xf>
    <xf numFmtId="168" fontId="12" fillId="0" borderId="0" xfId="4" applyNumberFormat="1" applyFont="1" applyFill="1" applyAlignment="1">
      <alignment horizontal="right"/>
    </xf>
    <xf numFmtId="0" fontId="23" fillId="10" borderId="7" xfId="16" applyBorder="1" applyAlignment="1">
      <alignment horizontal="center" vertical="center" wrapText="1"/>
      <protection locked="0"/>
    </xf>
  </cellXfs>
  <cellStyles count="19">
    <cellStyle name="Accent1" xfId="9" builtinId="29"/>
    <cellStyle name="Comma" xfId="6" builtinId="3"/>
    <cellStyle name="Comma 2" xfId="1" xr:uid="{00000000-0005-0000-0000-000001000000}"/>
    <cellStyle name="Currency" xfId="18" builtinId="4"/>
    <cellStyle name="Currency 2" xfId="3" xr:uid="{00000000-0005-0000-0000-000002000000}"/>
    <cellStyle name="Good" xfId="4" builtinId="26"/>
    <cellStyle name="Heading 3 Output" xfId="10" xr:uid="{03B3A803-A777-4338-A6C8-95780013D3F6}"/>
    <cellStyle name="Heading 4 Assumptions" xfId="16" xr:uid="{0B87B536-6322-47A4-976E-FC21506F3C9C}"/>
    <cellStyle name="Heading 4 Assumptions 2" xfId="11" xr:uid="{252EB71B-F8B2-40E4-9645-22D0A560F1D8}"/>
    <cellStyle name="Heading 4 Output" xfId="12" xr:uid="{6644B9D6-91D7-4634-BBB1-6C961D46B4FC}"/>
    <cellStyle name="Normal" xfId="0" builtinId="0"/>
    <cellStyle name="Normal 11 6" xfId="15" xr:uid="{030CF31C-F984-4AC4-9C9B-7C46B9BC6755}"/>
    <cellStyle name="Normal 123 2" xfId="14" xr:uid="{5C52A0A7-5E00-4B8A-AFC2-9F96819B8ADC}"/>
    <cellStyle name="Normal 146" xfId="13" xr:uid="{1F66DCC1-B72A-49AE-BDDB-FEBC8BC67678}"/>
    <cellStyle name="Normal 2" xfId="2" xr:uid="{00000000-0005-0000-0000-000005000000}"/>
    <cellStyle name="Normal_2010 07 28 - AA - Template for data collection" xfId="5" xr:uid="{00000000-0005-0000-0000-000006000000}"/>
    <cellStyle name="Number 3" xfId="17" xr:uid="{44B7B5D5-304E-4353-A411-7556645C8FCA}"/>
    <cellStyle name="Percent" xfId="7" builtinId="5"/>
    <cellStyle name="Percent 2" xfId="8" xr:uid="{35AADEA6-3F97-4E9A-88DC-E42F6E001F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15875</xdr:colOff>
      <xdr:row>21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5D16E7-BD54-4C10-9C54-C3162E2F6B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40675" cy="4095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15874</xdr:colOff>
      <xdr:row>12</xdr:row>
      <xdr:rowOff>15240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1053285-97F7-469B-9D03-D72822C780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40674" cy="230124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21</xdr:row>
      <xdr:rowOff>95250</xdr:rowOff>
    </xdr:from>
    <xdr:to>
      <xdr:col>13</xdr:col>
      <xdr:colOff>28574</xdr:colOff>
      <xdr:row>32</xdr:row>
      <xdr:rowOff>15875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F91B858-3FAB-421D-A938-1D59B23BB6BD}"/>
            </a:ext>
          </a:extLst>
        </xdr:cNvPr>
        <xdr:cNvSpPr txBox="1"/>
      </xdr:nvSpPr>
      <xdr:spPr>
        <a:xfrm>
          <a:off x="0" y="4095750"/>
          <a:ext cx="7953374" cy="2016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AU" sz="2800" b="1" baseline="0">
              <a:solidFill>
                <a:schemeClr val="tx2"/>
              </a:solidFill>
            </a:rPr>
            <a:t>STPIS Targets and Incentive Rates for the 2025-30 Regulatory Control Period</a:t>
          </a:r>
        </a:p>
        <a:p>
          <a:pPr algn="r"/>
          <a:r>
            <a:rPr lang="en-AU" sz="2800" b="0" baseline="0">
              <a:solidFill>
                <a:schemeClr val="tx2"/>
              </a:solidFill>
            </a:rPr>
            <a:t>Ergon Energy Network</a:t>
          </a:r>
        </a:p>
        <a:p>
          <a:pPr algn="r"/>
          <a:r>
            <a:rPr lang="en-AU" sz="2800" baseline="0">
              <a:solidFill>
                <a:sysClr val="windowText" lastClr="000000"/>
              </a:solidFill>
            </a:rPr>
            <a:t>31 January 2024</a:t>
          </a:r>
        </a:p>
        <a:p>
          <a:endParaRPr lang="en-A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m106\AppData\Local\Microsoft\Windows\INetCache\Content.Outlook\SZ9S8Q3L\FINAL%20%20Energex%20STPIS%20compliance%202017-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m106\AppData\Local\Microsoft\Windows\INetCache\Content.Outlook\SZ9S8Q3L\FINAL%20Ergon%20Energy%20-%20STPIS%20Compliance%20Model%202017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ER\STPIS%20annual%20compliance\NSW%20QLD%20SA%20TAS%202016-17\Energex\Models%20sent%20to%20DB\Energex%202016-17%20Annual%20RIN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ER\STPIS%20annual%20compliance\NSW%20QLD%20SA%20TAS%202017-18\Ergon\Final%20model%20to%20DB%2013%20Mar%2019\Ergon%202016-17%20Annual%20RI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-18 Daily Performance"/>
      <sheetName val="2017-18 Telephone Answering"/>
      <sheetName val="2017-18 Major Event Day"/>
      <sheetName val="AER Inputs"/>
      <sheetName val="AER Inputs 15-20"/>
      <sheetName val="Actual Performance"/>
      <sheetName val="STPIS Performance Calculations"/>
      <sheetName val="S-factor"/>
      <sheetName val="Overlap between reg periods"/>
      <sheetName val="Customer numbers"/>
      <sheetName val="2014-15 Daily Performance"/>
      <sheetName val="2015-16 Daily Performance"/>
      <sheetName val="2016-17 Daily Performance"/>
      <sheetName val="2016-17 Telephone Answering"/>
      <sheetName val="2016-17 Major Event Days"/>
      <sheetName val="2015-16 Telephone Answering"/>
      <sheetName val="2015-16 Major Event Days"/>
      <sheetName val="2014-15 Telephone Answering"/>
      <sheetName val="2014-15 Major Event Days"/>
      <sheetName val="2013-14 STPIS Exclusions"/>
      <sheetName val="2013-14 Major Event Days"/>
      <sheetName val="2013-14 Daily Performance Data"/>
      <sheetName val="2013-14 Telephone Answering"/>
      <sheetName val="2012-13 STPIS Exclusions"/>
      <sheetName val="2012-13 Major Event Days"/>
      <sheetName val="2012-13 Daily Performance Data"/>
      <sheetName val="2012-13 Telephone Answering"/>
      <sheetName val="2011-12 STPIS Exclusions"/>
      <sheetName val="2011-12 Major Event Days"/>
      <sheetName val="2011-12 Daily Performance Data"/>
      <sheetName val="2011-12 Telephone Answering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-18 Telephone Answering"/>
      <sheetName val="2017-18 Major Event Days"/>
      <sheetName val="2017-18 Daily Performance "/>
      <sheetName val="AER Inputs"/>
      <sheetName val="S-factor"/>
      <sheetName val="Actual Performance"/>
      <sheetName val="2016-17 Daily Performance"/>
      <sheetName val="2016-17 Major Event Days"/>
      <sheetName val="2016-17 Telephone Answering"/>
      <sheetName val="2015-16 Daily Performance"/>
      <sheetName val="STPIS Performance Calculations"/>
      <sheetName val="Overlap between reg periods"/>
      <sheetName val="2015-16 Major Event Days"/>
      <sheetName val="2015-16 Telephone Answering"/>
      <sheetName val="Customer numbers"/>
      <sheetName val="2014-15 Telephone Answering"/>
      <sheetName val="2014-15 Major Event Days"/>
      <sheetName val="2014-15 Daily Performance "/>
      <sheetName val="2014-15 STPIS Exclusions"/>
      <sheetName val="2013-14 STPIS Exclusions"/>
      <sheetName val="2013-14 Major Event Days"/>
      <sheetName val="2013-14 Daily Performance Data"/>
      <sheetName val="2013-14 Telephone Answering"/>
      <sheetName val="2012-13 STPIS Exclusions"/>
      <sheetName val="2012-13 Major Event Days"/>
      <sheetName val="2012-13 Daily Performance Data"/>
      <sheetName val="2012-13 Telephone Answering"/>
      <sheetName val="2011-12 Major Event Days"/>
      <sheetName val="2011-12 Daily Performance Data"/>
      <sheetName val="2011-12 Telephone Answering"/>
      <sheetName val="2011-12 STPIS Exclus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only"/>
      <sheetName val="Contents"/>
      <sheetName val="Instructions"/>
      <sheetName val="Business &amp; other details"/>
      <sheetName val="2.11 Labour"/>
      <sheetName val="3.6 Quality of services"/>
      <sheetName val="3.6.8 Network-feeders"/>
      <sheetName val="3.6.9 Network-reliability"/>
      <sheetName val="4.1 Public lighting"/>
      <sheetName val="6.2 STPIS Reliability"/>
      <sheetName val="6.6 STPIS Customer Service"/>
      <sheetName val="6.7 STPIS Daily Performance"/>
      <sheetName val="6.8 STPIS Exclusions"/>
      <sheetName val="6.9 STPIS - GSL"/>
      <sheetName val="7.8 Avoided TUOS Payments"/>
      <sheetName val="7.10 Juris Scheme"/>
      <sheetName val="7.11 DMIS-DMIA"/>
      <sheetName val="7.12 Safety and Bushfire"/>
      <sheetName val="7.13 TARC"/>
      <sheetName val="8.1 Income"/>
      <sheetName val="8.2 Capex"/>
      <sheetName val="8.4 Opex"/>
      <sheetName val="9.5 TUoS"/>
      <sheetName val="unlock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only"/>
      <sheetName val="Contents"/>
      <sheetName val="Instructions"/>
      <sheetName val="Business &amp; other details"/>
      <sheetName val="2.11 Labour"/>
      <sheetName val="3.6 Quality of services"/>
      <sheetName val="3.6.8 Network-feeders"/>
      <sheetName val="3.6.9 Network-reliability"/>
      <sheetName val="4.1 Public lighting"/>
      <sheetName val="6.2 STPIS Reliability"/>
      <sheetName val="6.6 STPIS Customer Service"/>
      <sheetName val="6.7 STPIS Daily Performance"/>
      <sheetName val="6.8 STPIS Exclusions"/>
      <sheetName val="6.9 STPIS - GSL"/>
      <sheetName val="7.8 Avoided TUOS Payments"/>
      <sheetName val="7.10 Juris Scheme"/>
      <sheetName val="7.11 DMIS-DMIA"/>
      <sheetName val="7.12 Safety and Bushfire"/>
      <sheetName val="7.13 TARC"/>
      <sheetName val="8.1 Income"/>
      <sheetName val="8.2 Capex"/>
      <sheetName val="8.4 Opex"/>
      <sheetName val="9.5 TUoS"/>
      <sheetName val="unlock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41B4D-CE6F-4076-B815-1C0BA31A9B26}">
  <dimension ref="A1"/>
  <sheetViews>
    <sheetView showGridLines="0" zoomScaleNormal="100" zoomScaleSheetLayoutView="120" workbookViewId="0">
      <selection activeCell="Q29" sqref="Q29"/>
    </sheetView>
  </sheetViews>
  <sheetFormatPr defaultRowHeight="15" x14ac:dyDescent="0.25"/>
  <cols>
    <col min="12" max="12" width="9.140625" customWidth="1"/>
  </cols>
  <sheetData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2"/>
  <sheetViews>
    <sheetView showGridLines="0" tabSelected="1" topLeftCell="A31" zoomScale="115" zoomScaleNormal="115" workbookViewId="0">
      <selection activeCell="H48" sqref="H48"/>
    </sheetView>
  </sheetViews>
  <sheetFormatPr defaultRowHeight="15" x14ac:dyDescent="0.25"/>
  <cols>
    <col min="1" max="1" width="54.7109375" customWidth="1"/>
    <col min="2" max="7" width="14.7109375" customWidth="1"/>
    <col min="8" max="8" width="12.7109375" customWidth="1"/>
    <col min="9" max="9" width="15.42578125" customWidth="1"/>
    <col min="10" max="14" width="12.7109375" customWidth="1"/>
  </cols>
  <sheetData>
    <row r="1" spans="1:13" ht="15" customHeight="1" x14ac:dyDescent="0.25">
      <c r="H1" s="30"/>
      <c r="L1" s="2" t="s">
        <v>0</v>
      </c>
    </row>
    <row r="2" spans="1:13" ht="15" customHeight="1" x14ac:dyDescent="0.25">
      <c r="A2" s="26" t="s">
        <v>1</v>
      </c>
      <c r="B2" s="48" t="s">
        <v>2</v>
      </c>
      <c r="C2" s="48" t="s">
        <v>3</v>
      </c>
      <c r="D2" s="48" t="s">
        <v>4</v>
      </c>
      <c r="E2" s="48" t="s">
        <v>5</v>
      </c>
      <c r="F2" s="48" t="s">
        <v>6</v>
      </c>
      <c r="G2" s="27" t="s">
        <v>7</v>
      </c>
      <c r="H2" s="39"/>
      <c r="L2" s="8" t="s">
        <v>8</v>
      </c>
      <c r="M2" s="2"/>
    </row>
    <row r="3" spans="1:13" ht="15" customHeight="1" x14ac:dyDescent="0.25">
      <c r="A3" s="3" t="s">
        <v>9</v>
      </c>
      <c r="B3" s="33" t="s">
        <v>10</v>
      </c>
      <c r="C3" s="33"/>
      <c r="D3" s="34"/>
      <c r="E3" s="34"/>
      <c r="F3" s="34"/>
      <c r="G3" s="34"/>
      <c r="H3" s="40"/>
      <c r="L3" s="41">
        <v>43709</v>
      </c>
      <c r="M3" s="42">
        <v>115.4</v>
      </c>
    </row>
    <row r="4" spans="1:13" ht="15" customHeight="1" x14ac:dyDescent="0.25">
      <c r="A4" s="3" t="s">
        <v>11</v>
      </c>
      <c r="B4" s="32">
        <f>B75+$C40</f>
        <v>106.25231239155292</v>
      </c>
      <c r="C4" s="32">
        <f t="shared" ref="C4:F4" si="0">C75+$C40</f>
        <v>124.99780761962772</v>
      </c>
      <c r="D4" s="32">
        <f t="shared" si="0"/>
        <v>116.42682193654872</v>
      </c>
      <c r="E4" s="32">
        <f t="shared" si="0"/>
        <v>133.25926664839511</v>
      </c>
      <c r="F4" s="32">
        <f t="shared" si="0"/>
        <v>111.4066820228213</v>
      </c>
      <c r="G4" s="86">
        <f>ROUND(AVERAGE(B4:F4),4)</f>
        <v>118.4686</v>
      </c>
      <c r="H4" s="40"/>
      <c r="L4" s="41" t="s">
        <v>12</v>
      </c>
      <c r="M4" s="42">
        <v>144.6</v>
      </c>
    </row>
    <row r="5" spans="1:13" ht="15" customHeight="1" x14ac:dyDescent="0.25">
      <c r="A5" s="3" t="s">
        <v>13</v>
      </c>
      <c r="B5" s="32">
        <f>B76+$D40</f>
        <v>290.83030761793196</v>
      </c>
      <c r="C5" s="32">
        <f t="shared" ref="C5:F5" si="1">C76+$D40</f>
        <v>264.32479239935969</v>
      </c>
      <c r="D5" s="32">
        <f t="shared" si="1"/>
        <v>269.02910001552272</v>
      </c>
      <c r="E5" s="32">
        <f t="shared" si="1"/>
        <v>308.33497336875615</v>
      </c>
      <c r="F5" s="32">
        <f t="shared" si="1"/>
        <v>286.65312495361843</v>
      </c>
      <c r="G5" s="86">
        <f t="shared" ref="G5:G6" si="2">ROUND(AVERAGE(B5:F5),4)</f>
        <v>283.83449999999999</v>
      </c>
      <c r="H5" s="40"/>
      <c r="L5" s="41" t="s">
        <v>14</v>
      </c>
      <c r="M5" s="43">
        <f>M4/M3-1</f>
        <v>0.25303292894280749</v>
      </c>
    </row>
    <row r="6" spans="1:13" ht="15" customHeight="1" x14ac:dyDescent="0.25">
      <c r="A6" s="3" t="s">
        <v>15</v>
      </c>
      <c r="B6" s="32">
        <f>B77+$E40</f>
        <v>726.15951442177084</v>
      </c>
      <c r="C6" s="32">
        <f t="shared" ref="C6:F6" si="3">C77+$E40</f>
        <v>755.25195804940768</v>
      </c>
      <c r="D6" s="32">
        <f t="shared" si="3"/>
        <v>709.76394155687967</v>
      </c>
      <c r="E6" s="32">
        <f t="shared" si="3"/>
        <v>910.45753875654191</v>
      </c>
      <c r="F6" s="32">
        <f t="shared" si="3"/>
        <v>765.1100949549259</v>
      </c>
      <c r="G6" s="86">
        <f t="shared" si="2"/>
        <v>773.34860000000003</v>
      </c>
      <c r="H6" s="40"/>
      <c r="L6" s="2" t="s">
        <v>16</v>
      </c>
      <c r="M6" s="44"/>
    </row>
    <row r="7" spans="1:13" ht="15" customHeight="1" x14ac:dyDescent="0.25">
      <c r="A7" s="6"/>
      <c r="B7" s="31"/>
      <c r="C7" s="31"/>
      <c r="D7" s="31"/>
      <c r="E7" s="31"/>
      <c r="F7" s="31"/>
      <c r="G7" s="84"/>
      <c r="H7" s="40"/>
    </row>
    <row r="8" spans="1:13" ht="15" customHeight="1" x14ac:dyDescent="0.25">
      <c r="A8" s="3" t="s">
        <v>17</v>
      </c>
      <c r="B8" s="33"/>
      <c r="C8" s="33"/>
      <c r="D8" s="34"/>
      <c r="E8" s="34"/>
      <c r="F8" s="34"/>
      <c r="G8" s="85"/>
      <c r="H8" s="40"/>
    </row>
    <row r="9" spans="1:13" ht="15" customHeight="1" x14ac:dyDescent="0.25">
      <c r="A9" s="3" t="s">
        <v>18</v>
      </c>
      <c r="B9" s="32">
        <f>B80+$C41</f>
        <v>1.10417699863069</v>
      </c>
      <c r="C9" s="32">
        <f t="shared" ref="C9:F9" si="4">C80+$C41</f>
        <v>1.3888517044835973</v>
      </c>
      <c r="D9" s="32">
        <f t="shared" si="4"/>
        <v>1.1426416042157173</v>
      </c>
      <c r="E9" s="32">
        <f t="shared" si="4"/>
        <v>1.2708594066808767</v>
      </c>
      <c r="F9" s="32">
        <f t="shared" si="4"/>
        <v>1.1758008902708452</v>
      </c>
      <c r="G9" s="86">
        <f>ROUND(AVERAGE(B9:F9),4)</f>
        <v>1.2164999999999999</v>
      </c>
      <c r="H9" s="40"/>
    </row>
    <row r="10" spans="1:13" ht="15" customHeight="1" x14ac:dyDescent="0.25">
      <c r="A10" s="3" t="s">
        <v>19</v>
      </c>
      <c r="B10" s="32">
        <f>B81+$D41</f>
        <v>2.5965308848240864</v>
      </c>
      <c r="C10" s="32">
        <f t="shared" ref="C10:F10" si="5">C81+$D41</f>
        <v>2.505407698039027</v>
      </c>
      <c r="D10" s="32">
        <f t="shared" si="5"/>
        <v>2.4264811515158669</v>
      </c>
      <c r="E10" s="32">
        <f t="shared" si="5"/>
        <v>2.5060483477176061</v>
      </c>
      <c r="F10" s="32">
        <f t="shared" si="5"/>
        <v>2.3147681653078886</v>
      </c>
      <c r="G10" s="86">
        <f t="shared" ref="G10:G11" si="6">ROUND(AVERAGE(B10:F10),4)</f>
        <v>2.4698000000000002</v>
      </c>
      <c r="H10" s="40"/>
    </row>
    <row r="11" spans="1:13" ht="15" customHeight="1" x14ac:dyDescent="0.25">
      <c r="A11" s="3" t="s">
        <v>20</v>
      </c>
      <c r="B11" s="32">
        <f>B82+$E41</f>
        <v>4.4833676692070146</v>
      </c>
      <c r="C11" s="32">
        <f t="shared" ref="C11:F11" si="7">C82+$E41</f>
        <v>5.2333927182947377</v>
      </c>
      <c r="D11" s="32">
        <f t="shared" si="7"/>
        <v>4.5760631431544478</v>
      </c>
      <c r="E11" s="32">
        <f t="shared" si="7"/>
        <v>4.8541250824892783</v>
      </c>
      <c r="F11" s="32">
        <f t="shared" si="7"/>
        <v>4.4217624062438965</v>
      </c>
      <c r="G11" s="86">
        <f t="shared" si="6"/>
        <v>4.7137000000000002</v>
      </c>
      <c r="H11" s="40"/>
    </row>
    <row r="12" spans="1:13" x14ac:dyDescent="0.25">
      <c r="A12" s="6"/>
      <c r="B12" s="31"/>
      <c r="C12" s="31"/>
      <c r="D12" s="31"/>
      <c r="E12" s="31"/>
      <c r="H12" s="40"/>
    </row>
    <row r="13" spans="1:13" ht="15" customHeight="1" x14ac:dyDescent="0.25">
      <c r="A13" s="3"/>
      <c r="B13" s="49"/>
      <c r="C13" s="49"/>
      <c r="D13" s="49"/>
      <c r="E13" s="49"/>
      <c r="H13" s="40"/>
    </row>
    <row r="14" spans="1:13" ht="15" customHeight="1" x14ac:dyDescent="0.25">
      <c r="A14" s="3"/>
      <c r="B14" s="49"/>
      <c r="C14" s="49"/>
      <c r="D14" s="49"/>
      <c r="E14" s="49"/>
      <c r="F14" s="49"/>
      <c r="G14" s="49"/>
      <c r="H14" s="40"/>
    </row>
    <row r="15" spans="1:13" ht="15" customHeight="1" x14ac:dyDescent="0.25">
      <c r="H15" s="40"/>
      <c r="I15" s="46"/>
    </row>
    <row r="16" spans="1:13" ht="15" customHeight="1" x14ac:dyDescent="0.25">
      <c r="H16" s="40"/>
      <c r="I16" s="46"/>
    </row>
    <row r="17" spans="1:12" ht="15" customHeight="1" x14ac:dyDescent="0.25">
      <c r="B17" s="2"/>
      <c r="C17" s="2"/>
      <c r="D17" s="2"/>
      <c r="E17" s="2"/>
      <c r="F17" s="2"/>
      <c r="G17" s="2"/>
      <c r="H17" s="40"/>
      <c r="I17" s="46"/>
    </row>
    <row r="18" spans="1:12" ht="15" customHeight="1" x14ac:dyDescent="0.25">
      <c r="A18" s="26"/>
      <c r="B18" s="26"/>
      <c r="C18" s="26" t="s">
        <v>21</v>
      </c>
      <c r="D18" s="26" t="s">
        <v>22</v>
      </c>
      <c r="E18" s="26" t="s">
        <v>23</v>
      </c>
      <c r="F18" s="91"/>
      <c r="G18" s="91"/>
      <c r="H18" s="40"/>
      <c r="I18" s="46"/>
    </row>
    <row r="19" spans="1:12" ht="15" customHeight="1" x14ac:dyDescent="0.25">
      <c r="A19" s="8" t="s">
        <v>24</v>
      </c>
      <c r="B19" s="1"/>
      <c r="C19" s="1"/>
      <c r="D19" s="1"/>
      <c r="E19" s="1"/>
      <c r="F19" s="1"/>
      <c r="G19" s="1"/>
      <c r="H19" s="40"/>
      <c r="I19" s="46"/>
    </row>
    <row r="20" spans="1:12" ht="15" customHeight="1" x14ac:dyDescent="0.25">
      <c r="A20" s="1" t="s">
        <v>25</v>
      </c>
      <c r="B20" s="5"/>
      <c r="C20" s="35">
        <f>((C23*(1+C24)*(1-(1/(1+C25)))*C26)/C27)/(365.25*24*60)*100</f>
        <v>1.9095857949811779E-2</v>
      </c>
      <c r="D20" s="35">
        <f>((D23*(1+D24)*(1-(1/(1+D25)))*D26)/D27)/(365.25*24*60)*100</f>
        <v>2.4726985659394757E-2</v>
      </c>
      <c r="E20" s="35">
        <f>((E23*(1+E24)*(1-(1/(1+E25)))*E26)/E27)/(365.25*24*60)*100</f>
        <v>5.0065720242120559E-3</v>
      </c>
      <c r="F20" s="92"/>
      <c r="G20" s="1"/>
      <c r="H20" s="40"/>
      <c r="I20" s="45"/>
    </row>
    <row r="21" spans="1:12" ht="15" customHeight="1" x14ac:dyDescent="0.25">
      <c r="A21" s="1" t="s">
        <v>26</v>
      </c>
      <c r="B21" s="5"/>
      <c r="C21" s="35">
        <f>(C23*(1+C24)/(1+C25))*C26/C27/(365.25*24*60)*C28/C29*100</f>
        <v>1.2397641085699806</v>
      </c>
      <c r="D21" s="35">
        <f>(D23*(1+D24)/(1+D25))*D26/D27/(365.25*24*60)*D28/D29*100</f>
        <v>1.8944507277624316</v>
      </c>
      <c r="E21" s="35">
        <f>(E23*(1+E24)/(1+E25))*E26/E27/(365.25*24*60)*E28/E29*100</f>
        <v>0.54759890895666663</v>
      </c>
      <c r="F21" s="92"/>
      <c r="G21" s="1"/>
      <c r="H21" s="40"/>
    </row>
    <row r="22" spans="1:12" ht="15" customHeight="1" x14ac:dyDescent="0.25">
      <c r="A22" s="8" t="s">
        <v>27</v>
      </c>
      <c r="B22" s="5"/>
      <c r="C22" s="9"/>
      <c r="D22" s="9"/>
      <c r="E22" s="9"/>
      <c r="F22" s="9"/>
      <c r="G22" s="1"/>
      <c r="H22" s="40"/>
      <c r="J22" s="68"/>
      <c r="K22" s="68"/>
      <c r="L22" s="68"/>
    </row>
    <row r="23" spans="1:12" ht="15" customHeight="1" x14ac:dyDescent="0.25">
      <c r="A23" s="1" t="s">
        <v>28</v>
      </c>
      <c r="B23" s="5"/>
      <c r="C23" s="11">
        <f>B66</f>
        <v>40030</v>
      </c>
      <c r="D23" s="11">
        <f>C23</f>
        <v>40030</v>
      </c>
      <c r="E23" s="11">
        <f>D23</f>
        <v>40030</v>
      </c>
      <c r="F23" s="12"/>
      <c r="G23" s="1"/>
      <c r="H23" s="40"/>
      <c r="J23" s="68"/>
    </row>
    <row r="24" spans="1:12" ht="15" customHeight="1" x14ac:dyDescent="0.25">
      <c r="A24" s="1" t="s">
        <v>14</v>
      </c>
      <c r="B24" s="5"/>
      <c r="C24" s="13">
        <f>M5</f>
        <v>0.25303292894280749</v>
      </c>
      <c r="D24" s="13">
        <f>M5</f>
        <v>0.25303292894280749</v>
      </c>
      <c r="E24" s="13">
        <f>M5</f>
        <v>0.25303292894280749</v>
      </c>
      <c r="F24" s="13"/>
      <c r="G24" s="1"/>
      <c r="H24" s="40"/>
      <c r="J24" s="68"/>
    </row>
    <row r="25" spans="1:12" ht="15" customHeight="1" x14ac:dyDescent="0.25">
      <c r="A25" s="1" t="s">
        <v>29</v>
      </c>
      <c r="B25" s="5"/>
      <c r="C25" s="87">
        <v>1.5</v>
      </c>
      <c r="D25" s="87">
        <v>1.5</v>
      </c>
      <c r="E25" s="87">
        <v>1.5</v>
      </c>
      <c r="F25" s="10"/>
      <c r="G25" s="1"/>
      <c r="H25" s="40"/>
    </row>
    <row r="26" spans="1:12" ht="15" customHeight="1" x14ac:dyDescent="0.25">
      <c r="A26" s="1" t="s">
        <v>30</v>
      </c>
      <c r="B26" s="5"/>
      <c r="C26" s="14">
        <f>I95</f>
        <v>5218774.7986882906</v>
      </c>
      <c r="D26" s="14">
        <f>I96</f>
        <v>6757725.6777849067</v>
      </c>
      <c r="E26" s="14">
        <f>I97</f>
        <v>1368263.8390192483</v>
      </c>
      <c r="F26" s="10"/>
      <c r="G26" s="1"/>
      <c r="H26" s="40"/>
    </row>
    <row r="27" spans="1:12" ht="15" customHeight="1" x14ac:dyDescent="0.25">
      <c r="A27" s="1" t="s">
        <v>31</v>
      </c>
      <c r="B27" s="5"/>
      <c r="C27" s="15">
        <f>G30</f>
        <v>1563781205.0072849</v>
      </c>
      <c r="D27" s="15">
        <f>$G$30</f>
        <v>1563781205.0072849</v>
      </c>
      <c r="E27" s="15">
        <f>$G$30</f>
        <v>1563781205.0072849</v>
      </c>
      <c r="F27" s="15"/>
      <c r="G27" s="1"/>
      <c r="H27" s="40"/>
      <c r="J27" t="s">
        <v>32</v>
      </c>
    </row>
    <row r="28" spans="1:12" ht="15" customHeight="1" x14ac:dyDescent="0.25">
      <c r="A28" s="1" t="s">
        <v>33</v>
      </c>
      <c r="B28" s="5"/>
      <c r="C28" s="16">
        <f>G4</f>
        <v>118.4686</v>
      </c>
      <c r="D28" s="16">
        <f>G5</f>
        <v>283.83449999999999</v>
      </c>
      <c r="E28" s="16">
        <f>G6</f>
        <v>773.34860000000003</v>
      </c>
      <c r="F28" s="10"/>
      <c r="G28" s="1"/>
      <c r="H28" s="40"/>
    </row>
    <row r="29" spans="1:12" ht="15" customHeight="1" x14ac:dyDescent="0.25">
      <c r="A29" s="1" t="s">
        <v>34</v>
      </c>
      <c r="B29" s="5"/>
      <c r="C29" s="16">
        <f>G9</f>
        <v>1.2164999999999999</v>
      </c>
      <c r="D29" s="16">
        <f>G10</f>
        <v>2.4698000000000002</v>
      </c>
      <c r="E29" s="16">
        <f>G11</f>
        <v>4.7137000000000002</v>
      </c>
      <c r="F29" s="10"/>
      <c r="G29" s="1"/>
      <c r="H29" s="40"/>
    </row>
    <row r="30" spans="1:12" ht="15" customHeight="1" x14ac:dyDescent="0.25">
      <c r="A30" s="1" t="s">
        <v>35</v>
      </c>
      <c r="B30" s="5"/>
      <c r="C30" s="5"/>
      <c r="D30" s="5"/>
      <c r="E30" s="5"/>
      <c r="F30" s="5"/>
      <c r="G30" s="88">
        <v>1563781205.0072849</v>
      </c>
      <c r="H30" s="40"/>
    </row>
    <row r="31" spans="1:12" ht="15" customHeight="1" x14ac:dyDescent="0.25">
      <c r="A31" s="1"/>
      <c r="B31" s="2"/>
      <c r="C31" s="2"/>
      <c r="D31" s="2"/>
      <c r="E31" s="2"/>
      <c r="F31" s="2"/>
      <c r="G31" s="47"/>
      <c r="H31" s="40"/>
    </row>
    <row r="32" spans="1:12" ht="15" customHeight="1" x14ac:dyDescent="0.25">
      <c r="A32" s="1" t="s">
        <v>36</v>
      </c>
      <c r="B32" s="49"/>
      <c r="C32" s="53"/>
      <c r="D32" s="89">
        <f>G89</f>
        <v>1.3687345792100087E-2</v>
      </c>
      <c r="E32" s="90" t="s">
        <v>37</v>
      </c>
      <c r="F32" s="90"/>
      <c r="H32" s="40"/>
    </row>
    <row r="33" spans="1:11" ht="15" customHeight="1" x14ac:dyDescent="0.25">
      <c r="A33" s="1" t="s">
        <v>38</v>
      </c>
      <c r="B33" s="51"/>
      <c r="C33" s="54"/>
      <c r="D33" s="54">
        <f>D32*0.6</f>
        <v>8.2124074752600515E-3</v>
      </c>
      <c r="E33" s="54"/>
      <c r="F33" s="51"/>
      <c r="G33" s="47"/>
      <c r="H33" s="40"/>
    </row>
    <row r="34" spans="1:11" ht="15" customHeight="1" x14ac:dyDescent="0.25">
      <c r="A34" s="1" t="s">
        <v>39</v>
      </c>
      <c r="B34" s="51"/>
      <c r="C34" s="54"/>
      <c r="D34" s="54">
        <f>D32*0.4</f>
        <v>5.4749383168400355E-3</v>
      </c>
      <c r="E34" s="54"/>
      <c r="F34" s="51"/>
      <c r="G34" s="47"/>
      <c r="H34" s="40"/>
    </row>
    <row r="35" spans="1:11" ht="15" customHeight="1" x14ac:dyDescent="0.25">
      <c r="A35" s="1" t="s">
        <v>40</v>
      </c>
      <c r="B35" s="51"/>
      <c r="C35" s="66">
        <v>2.076E-4</v>
      </c>
      <c r="D35" s="66">
        <v>2.5470000000000001E-4</v>
      </c>
      <c r="E35" s="66">
        <v>5.49E-5</v>
      </c>
      <c r="G35" s="47"/>
      <c r="H35" s="40"/>
    </row>
    <row r="36" spans="1:11" ht="15" customHeight="1" x14ac:dyDescent="0.25">
      <c r="A36" s="1" t="s">
        <v>41</v>
      </c>
      <c r="B36" s="7"/>
      <c r="C36" s="67">
        <f>$D33*C$35/(SUM($C$35:$E$35))</f>
        <v>3.2963955759164479E-3</v>
      </c>
      <c r="D36" s="67">
        <f t="shared" ref="D36:E36" si="8">$D33*D$35/(SUM($C$35:$E$35))</f>
        <v>4.0442772311460465E-3</v>
      </c>
      <c r="E36" s="67">
        <f t="shared" si="8"/>
        <v>8.7173466819755771E-4</v>
      </c>
      <c r="F36" s="7"/>
      <c r="H36" s="30"/>
    </row>
    <row r="37" spans="1:11" ht="15" customHeight="1" x14ac:dyDescent="0.25">
      <c r="A37" s="1" t="s">
        <v>42</v>
      </c>
      <c r="B37" s="7"/>
      <c r="C37" s="66">
        <v>1.3557099999999999E-2</v>
      </c>
      <c r="D37" s="66">
        <v>1.8861599999999999E-2</v>
      </c>
      <c r="E37" s="66">
        <v>5.5693000000000001E-3</v>
      </c>
      <c r="F37" s="7"/>
      <c r="H37" s="30"/>
    </row>
    <row r="38" spans="1:11" ht="15" customHeight="1" x14ac:dyDescent="0.25">
      <c r="A38" s="1" t="s">
        <v>43</v>
      </c>
      <c r="B38" s="7"/>
      <c r="C38" s="67">
        <f>$D34*C$37/SUM($C$37:$E$37)</f>
        <v>1.9538877080981375E-3</v>
      </c>
      <c r="D38" s="67">
        <f t="shared" ref="D38:E38" si="9">$D34*D$37/SUM($C$37:$E$37)</f>
        <v>2.7183872948539018E-3</v>
      </c>
      <c r="E38" s="67">
        <f t="shared" si="9"/>
        <v>8.0266331388799666E-4</v>
      </c>
      <c r="F38" s="7"/>
      <c r="H38" s="30"/>
      <c r="K38" s="55"/>
    </row>
    <row r="39" spans="1:11" ht="15" customHeight="1" x14ac:dyDescent="0.25">
      <c r="A39" s="1"/>
      <c r="B39" s="7"/>
      <c r="C39" s="56"/>
      <c r="D39" s="56"/>
      <c r="E39" s="56"/>
      <c r="F39" s="7"/>
      <c r="H39" s="30"/>
      <c r="K39" s="55"/>
    </row>
    <row r="40" spans="1:11" ht="15" customHeight="1" x14ac:dyDescent="0.25">
      <c r="A40" s="1" t="s">
        <v>44</v>
      </c>
      <c r="B40" s="7"/>
      <c r="C40" s="57">
        <f>C36/C35/5</f>
        <v>3.1757182812297184</v>
      </c>
      <c r="D40" s="57">
        <f t="shared" ref="D40:E40" si="10">D36/D35/5</f>
        <v>3.1757182812297184</v>
      </c>
      <c r="E40" s="57">
        <f t="shared" si="10"/>
        <v>3.1757182812297184</v>
      </c>
      <c r="F40" s="7"/>
      <c r="H40" s="30"/>
      <c r="K40" s="55"/>
    </row>
    <row r="41" spans="1:11" ht="15" customHeight="1" x14ac:dyDescent="0.25">
      <c r="A41" s="1" t="s">
        <v>44</v>
      </c>
      <c r="B41" s="4"/>
      <c r="C41" s="57">
        <f>C38/C37/5</f>
        <v>2.8824567320417167E-2</v>
      </c>
      <c r="D41" s="57">
        <f t="shared" ref="D41:E41" si="11">D38/D37/5</f>
        <v>2.8824567320417167E-2</v>
      </c>
      <c r="E41" s="57">
        <f t="shared" si="11"/>
        <v>2.8824567320417167E-2</v>
      </c>
      <c r="F41" s="7"/>
      <c r="H41" s="30"/>
    </row>
    <row r="42" spans="1:11" ht="15" customHeight="1" x14ac:dyDescent="0.25">
      <c r="B42" s="36"/>
      <c r="C42" s="52"/>
      <c r="D42" s="52"/>
      <c r="E42" s="52"/>
      <c r="F42" s="7"/>
      <c r="H42" s="30"/>
      <c r="K42" s="55"/>
    </row>
    <row r="43" spans="1:11" ht="15" customHeight="1" x14ac:dyDescent="0.25">
      <c r="H43" s="30"/>
      <c r="K43" s="55"/>
    </row>
    <row r="44" spans="1:11" ht="15" customHeight="1" x14ac:dyDescent="0.25">
      <c r="A44" s="17" t="s">
        <v>45</v>
      </c>
      <c r="H44" s="30"/>
      <c r="K44" s="55"/>
    </row>
    <row r="45" spans="1:11" ht="15" customHeight="1" x14ac:dyDescent="0.25">
      <c r="A45" s="1" t="s">
        <v>46</v>
      </c>
      <c r="H45" s="30"/>
      <c r="K45" s="55"/>
    </row>
    <row r="46" spans="1:11" s="4" customFormat="1" ht="15" customHeight="1" x14ac:dyDescent="0.2">
      <c r="A46" s="18" t="s">
        <v>32</v>
      </c>
      <c r="B46" s="19" t="str">
        <f>C18</f>
        <v>Urban</v>
      </c>
      <c r="C46" s="19" t="str">
        <f>D18</f>
        <v>Short rural</v>
      </c>
      <c r="D46" s="19" t="str">
        <f>E18</f>
        <v>Long rural</v>
      </c>
    </row>
    <row r="47" spans="1:11" s="22" customFormat="1" ht="15" customHeight="1" x14ac:dyDescent="0.2">
      <c r="A47" s="21" t="s">
        <v>33</v>
      </c>
      <c r="B47" s="79">
        <f t="shared" ref="B47:D48" si="12">C20</f>
        <v>1.9095857949811779E-2</v>
      </c>
      <c r="C47" s="79">
        <f t="shared" si="12"/>
        <v>2.4726985659394757E-2</v>
      </c>
      <c r="D47" s="79">
        <f t="shared" si="12"/>
        <v>5.0065720242120559E-3</v>
      </c>
    </row>
    <row r="48" spans="1:11" s="22" customFormat="1" ht="15" customHeight="1" x14ac:dyDescent="0.2">
      <c r="A48" s="21" t="s">
        <v>34</v>
      </c>
      <c r="B48" s="79">
        <f t="shared" si="12"/>
        <v>1.2397641085699806</v>
      </c>
      <c r="C48" s="79">
        <f t="shared" si="12"/>
        <v>1.8944507277624316</v>
      </c>
      <c r="D48" s="79">
        <f t="shared" si="12"/>
        <v>0.54759890895666663</v>
      </c>
    </row>
    <row r="49" spans="1:2" s="4" customFormat="1" ht="15" customHeight="1" x14ac:dyDescent="0.2"/>
    <row r="50" spans="1:2" s="4" customFormat="1" ht="15" customHeight="1" x14ac:dyDescent="0.2">
      <c r="A50" s="1" t="s">
        <v>47</v>
      </c>
    </row>
    <row r="51" spans="1:2" s="4" customFormat="1" ht="15" customHeight="1" x14ac:dyDescent="0.2">
      <c r="A51" s="20"/>
      <c r="B51" s="19" t="s">
        <v>48</v>
      </c>
    </row>
    <row r="52" spans="1:2" s="4" customFormat="1" ht="15" customHeight="1" x14ac:dyDescent="0.2">
      <c r="A52" s="23" t="s">
        <v>21</v>
      </c>
      <c r="B52" s="36"/>
    </row>
    <row r="53" spans="1:2" s="4" customFormat="1" ht="15" customHeight="1" x14ac:dyDescent="0.2">
      <c r="A53" s="24" t="s">
        <v>33</v>
      </c>
      <c r="B53" s="38">
        <f>G4</f>
        <v>118.4686</v>
      </c>
    </row>
    <row r="54" spans="1:2" s="4" customFormat="1" ht="15" customHeight="1" x14ac:dyDescent="0.2">
      <c r="A54" s="24" t="s">
        <v>34</v>
      </c>
      <c r="B54" s="38">
        <f>G9</f>
        <v>1.2164999999999999</v>
      </c>
    </row>
    <row r="55" spans="1:2" s="4" customFormat="1" ht="15" customHeight="1" x14ac:dyDescent="0.2">
      <c r="A55" s="23" t="s">
        <v>22</v>
      </c>
      <c r="B55" s="38"/>
    </row>
    <row r="56" spans="1:2" s="4" customFormat="1" ht="15" customHeight="1" x14ac:dyDescent="0.2">
      <c r="A56" s="24" t="s">
        <v>33</v>
      </c>
      <c r="B56" s="38">
        <f>G5</f>
        <v>283.83449999999999</v>
      </c>
    </row>
    <row r="57" spans="1:2" s="4" customFormat="1" ht="15" customHeight="1" x14ac:dyDescent="0.2">
      <c r="A57" s="24" t="s">
        <v>34</v>
      </c>
      <c r="B57" s="38">
        <f>G10</f>
        <v>2.4698000000000002</v>
      </c>
    </row>
    <row r="58" spans="1:2" s="4" customFormat="1" ht="15" customHeight="1" x14ac:dyDescent="0.2">
      <c r="A58" s="23" t="s">
        <v>23</v>
      </c>
      <c r="B58" s="38"/>
    </row>
    <row r="59" spans="1:2" s="4" customFormat="1" ht="15" customHeight="1" x14ac:dyDescent="0.2">
      <c r="A59" s="24" t="s">
        <v>33</v>
      </c>
      <c r="B59" s="38">
        <f>G6</f>
        <v>773.34860000000003</v>
      </c>
    </row>
    <row r="60" spans="1:2" s="4" customFormat="1" ht="15" customHeight="1" x14ac:dyDescent="0.2">
      <c r="A60" s="24" t="s">
        <v>34</v>
      </c>
      <c r="B60" s="38">
        <f>G11</f>
        <v>4.7137000000000002</v>
      </c>
    </row>
    <row r="61" spans="1:2" ht="15" customHeight="1" x14ac:dyDescent="0.25">
      <c r="A61" s="25"/>
      <c r="B61" s="36"/>
    </row>
    <row r="62" spans="1:2" ht="15" customHeight="1" x14ac:dyDescent="0.25">
      <c r="A62" s="28"/>
      <c r="B62" s="50"/>
    </row>
    <row r="63" spans="1:2" ht="15" customHeight="1" x14ac:dyDescent="0.25">
      <c r="A63" s="29"/>
      <c r="B63" s="29"/>
    </row>
    <row r="64" spans="1:2" x14ac:dyDescent="0.25">
      <c r="A64" s="1" t="s">
        <v>49</v>
      </c>
    </row>
    <row r="65" spans="1:6" x14ac:dyDescent="0.25">
      <c r="A65" s="18"/>
      <c r="B65" s="19" t="str">
        <f>B46</f>
        <v>Urban</v>
      </c>
      <c r="C65" s="19" t="str">
        <f>C46</f>
        <v>Short rural</v>
      </c>
      <c r="D65" s="19" t="str">
        <f>D46</f>
        <v>Long rural</v>
      </c>
    </row>
    <row r="66" spans="1:6" x14ac:dyDescent="0.25">
      <c r="A66" s="28" t="s">
        <v>28</v>
      </c>
      <c r="B66" s="37">
        <v>40030</v>
      </c>
      <c r="C66" s="37">
        <f>B66</f>
        <v>40030</v>
      </c>
      <c r="D66" s="37">
        <f>C66</f>
        <v>40030</v>
      </c>
    </row>
    <row r="72" spans="1:6" x14ac:dyDescent="0.25">
      <c r="A72" s="61" t="s">
        <v>50</v>
      </c>
    </row>
    <row r="73" spans="1:6" x14ac:dyDescent="0.25">
      <c r="A73" s="26" t="s">
        <v>1</v>
      </c>
      <c r="B73" s="65" t="s">
        <v>2</v>
      </c>
      <c r="C73" s="65" t="s">
        <v>3</v>
      </c>
      <c r="D73" s="65" t="s">
        <v>4</v>
      </c>
      <c r="E73" s="65" t="s">
        <v>5</v>
      </c>
      <c r="F73" s="65" t="s">
        <v>6</v>
      </c>
    </row>
    <row r="74" spans="1:6" x14ac:dyDescent="0.25">
      <c r="A74" s="3" t="s">
        <v>9</v>
      </c>
      <c r="B74" s="62"/>
      <c r="C74" s="62"/>
      <c r="D74" s="62"/>
      <c r="E74" s="62"/>
      <c r="F74" s="62"/>
    </row>
    <row r="75" spans="1:6" x14ac:dyDescent="0.25">
      <c r="A75" s="3" t="s">
        <v>11</v>
      </c>
      <c r="B75" s="62">
        <v>103.0765941103232</v>
      </c>
      <c r="C75" s="62">
        <v>121.822089338398</v>
      </c>
      <c r="D75" s="62">
        <v>113.251103655319</v>
      </c>
      <c r="E75" s="62">
        <v>130.08354836716541</v>
      </c>
      <c r="F75" s="62">
        <v>108.23096374159158</v>
      </c>
    </row>
    <row r="76" spans="1:6" x14ac:dyDescent="0.25">
      <c r="A76" s="3" t="s">
        <v>13</v>
      </c>
      <c r="B76" s="62">
        <v>287.65458933670226</v>
      </c>
      <c r="C76" s="62">
        <v>261.14907411812999</v>
      </c>
      <c r="D76" s="62">
        <v>265.85338173429301</v>
      </c>
      <c r="E76" s="62">
        <v>305.15925508752645</v>
      </c>
      <c r="F76" s="62">
        <v>283.47740667238872</v>
      </c>
    </row>
    <row r="77" spans="1:6" x14ac:dyDescent="0.25">
      <c r="A77" s="3" t="s">
        <v>15</v>
      </c>
      <c r="B77" s="62">
        <v>722.98379614054113</v>
      </c>
      <c r="C77" s="62">
        <v>752.07623976817797</v>
      </c>
      <c r="D77" s="62">
        <v>706.58822327564997</v>
      </c>
      <c r="E77" s="62">
        <v>907.2818204753122</v>
      </c>
      <c r="F77" s="62">
        <v>761.93437667369619</v>
      </c>
    </row>
    <row r="78" spans="1:6" x14ac:dyDescent="0.25">
      <c r="A78" s="3"/>
      <c r="B78" s="62"/>
      <c r="C78" s="62"/>
      <c r="D78" s="62"/>
      <c r="E78" s="62"/>
      <c r="F78" s="62"/>
    </row>
    <row r="79" spans="1:6" x14ac:dyDescent="0.25">
      <c r="A79" s="3" t="s">
        <v>17</v>
      </c>
      <c r="B79" s="62"/>
      <c r="C79" s="62"/>
      <c r="D79" s="62"/>
      <c r="E79" s="62"/>
      <c r="F79" s="62"/>
    </row>
    <row r="80" spans="1:6" x14ac:dyDescent="0.25">
      <c r="A80" s="3" t="s">
        <v>18</v>
      </c>
      <c r="B80" s="63">
        <v>1.0753524313102727</v>
      </c>
      <c r="C80" s="63">
        <v>1.36002713716318</v>
      </c>
      <c r="D80" s="63">
        <v>1.1138170368953</v>
      </c>
      <c r="E80" s="63">
        <v>1.2420348393604594</v>
      </c>
      <c r="F80" s="63">
        <v>1.146976322950428</v>
      </c>
    </row>
    <row r="81" spans="1:9" x14ac:dyDescent="0.25">
      <c r="A81" s="3" t="s">
        <v>19</v>
      </c>
      <c r="B81" s="63">
        <v>2.5677063175036694</v>
      </c>
      <c r="C81" s="63">
        <v>2.4765831307186099</v>
      </c>
      <c r="D81" s="63">
        <v>2.3976565841954498</v>
      </c>
      <c r="E81" s="63">
        <v>2.477223780397189</v>
      </c>
      <c r="F81" s="63">
        <v>2.2859435979874716</v>
      </c>
    </row>
    <row r="82" spans="1:9" x14ac:dyDescent="0.25">
      <c r="A82" s="3" t="s">
        <v>20</v>
      </c>
      <c r="B82" s="63">
        <v>4.4545431018865971</v>
      </c>
      <c r="C82" s="63">
        <v>5.2045681509743202</v>
      </c>
      <c r="D82" s="63">
        <v>4.5472385758340303</v>
      </c>
      <c r="E82" s="63">
        <v>4.8253005151688608</v>
      </c>
      <c r="F82" s="63">
        <v>4.392937838923479</v>
      </c>
    </row>
    <row r="86" spans="1:9" x14ac:dyDescent="0.25">
      <c r="A86" s="61" t="s">
        <v>51</v>
      </c>
      <c r="B86" s="65" t="s">
        <v>2</v>
      </c>
      <c r="C86" s="65" t="s">
        <v>3</v>
      </c>
      <c r="D86" s="65" t="s">
        <v>4</v>
      </c>
      <c r="E86" s="65" t="s">
        <v>5</v>
      </c>
      <c r="F86" s="65" t="s">
        <v>6</v>
      </c>
      <c r="G86" t="s">
        <v>52</v>
      </c>
    </row>
    <row r="87" spans="1:9" x14ac:dyDescent="0.25">
      <c r="A87" s="64" t="s">
        <v>53</v>
      </c>
      <c r="B87" s="60">
        <v>2.7801539084110056E-2</v>
      </c>
      <c r="C87" s="60">
        <v>2.1885806707990028E-2</v>
      </c>
      <c r="D87" s="60">
        <v>1.4738079843010555E-2</v>
      </c>
      <c r="E87" s="60">
        <v>-1.4573252192072483E-2</v>
      </c>
      <c r="F87" s="60">
        <v>1.0770516350000016E-2</v>
      </c>
    </row>
    <row r="88" spans="1:9" x14ac:dyDescent="0.25">
      <c r="A88" s="58" t="s">
        <v>54</v>
      </c>
      <c r="B88" s="60">
        <v>1.7999999999999999E-2</v>
      </c>
      <c r="C88" s="60">
        <v>1.7999999999999999E-2</v>
      </c>
      <c r="D88" s="60">
        <v>1.7999999999999999E-2</v>
      </c>
      <c r="E88" s="60">
        <v>1.7999999999999999E-2</v>
      </c>
      <c r="F88" s="60">
        <v>1.7999999999999999E-2</v>
      </c>
    </row>
    <row r="89" spans="1:9" x14ac:dyDescent="0.25">
      <c r="A89" s="58" t="s">
        <v>55</v>
      </c>
      <c r="B89" s="59">
        <f>IF(B87&gt;B88,B87-B88,0)</f>
        <v>9.8015390841100572E-3</v>
      </c>
      <c r="C89" s="59">
        <f>IF(C87&gt;C88,C87-C88,0)</f>
        <v>3.8858067079900298E-3</v>
      </c>
      <c r="D89" s="59">
        <f>IF(D87&gt;D88,D87-D88,0)</f>
        <v>0</v>
      </c>
      <c r="E89" s="59">
        <f>IF(E87&gt;E88,E87-E88,0)</f>
        <v>0</v>
      </c>
      <c r="F89" s="59">
        <f>IF(F87&gt;F88,F87-F88,0)</f>
        <v>0</v>
      </c>
      <c r="G89" s="59">
        <f>SUM(B89:F89)</f>
        <v>1.3687345792100087E-2</v>
      </c>
    </row>
    <row r="93" spans="1:9" x14ac:dyDescent="0.25">
      <c r="A93" s="61" t="s">
        <v>56</v>
      </c>
      <c r="B93" s="69"/>
      <c r="C93" s="69"/>
      <c r="D93" s="70"/>
      <c r="E93" s="70"/>
      <c r="F93" s="70"/>
      <c r="G93" s="70"/>
      <c r="H93" s="70"/>
      <c r="I93" s="71"/>
    </row>
    <row r="94" spans="1:9" ht="27" customHeight="1" x14ac:dyDescent="0.25">
      <c r="A94" s="72" t="s">
        <v>57</v>
      </c>
      <c r="B94" s="72"/>
      <c r="C94" s="72" t="s">
        <v>58</v>
      </c>
      <c r="D94" s="73" t="s">
        <v>59</v>
      </c>
      <c r="E94" s="73" t="s">
        <v>60</v>
      </c>
      <c r="F94" s="73" t="s">
        <v>61</v>
      </c>
      <c r="G94" s="73" t="s">
        <v>62</v>
      </c>
      <c r="H94" s="73" t="s">
        <v>63</v>
      </c>
      <c r="I94" s="74" t="s">
        <v>64</v>
      </c>
    </row>
    <row r="95" spans="1:9" x14ac:dyDescent="0.25">
      <c r="A95" s="75" t="s">
        <v>65</v>
      </c>
      <c r="B95" s="75"/>
      <c r="C95" s="93"/>
      <c r="D95" s="76">
        <v>5234565.342708528</v>
      </c>
      <c r="E95" s="76">
        <v>5218774.7986882906</v>
      </c>
      <c r="F95" s="76">
        <v>5204488.116003315</v>
      </c>
      <c r="G95" s="76">
        <v>5199976.5319975326</v>
      </c>
      <c r="H95" s="76">
        <v>5236069.2040437879</v>
      </c>
      <c r="I95" s="68">
        <f>AVERAGE(D95:H95)</f>
        <v>5218774.7986882906</v>
      </c>
    </row>
    <row r="96" spans="1:9" x14ac:dyDescent="0.25">
      <c r="A96" s="75" t="s">
        <v>66</v>
      </c>
      <c r="B96" s="75"/>
      <c r="C96" s="93"/>
      <c r="D96" s="76">
        <v>6778172.6541170841</v>
      </c>
      <c r="E96" s="76">
        <v>6757725.6777849058</v>
      </c>
      <c r="F96" s="76">
        <v>6739226.0325319823</v>
      </c>
      <c r="G96" s="76">
        <v>6733384.0392942177</v>
      </c>
      <c r="H96" s="76">
        <v>6780119.985196339</v>
      </c>
      <c r="I96" s="68">
        <f t="shared" ref="I96:I97" si="13">AVERAGE(D96:H96)</f>
        <v>6757725.6777849067</v>
      </c>
    </row>
    <row r="97" spans="1:9" x14ac:dyDescent="0.25">
      <c r="A97" s="75" t="s">
        <v>67</v>
      </c>
      <c r="B97" s="75"/>
      <c r="C97" s="93"/>
      <c r="D97" s="76">
        <v>1372403.8203778542</v>
      </c>
      <c r="E97" s="76">
        <v>1368263.8390192483</v>
      </c>
      <c r="F97" s="76">
        <v>1364518.1415995574</v>
      </c>
      <c r="G97" s="76">
        <v>1363335.2897828128</v>
      </c>
      <c r="H97" s="76">
        <v>1372798.1043167689</v>
      </c>
      <c r="I97" s="68">
        <f t="shared" si="13"/>
        <v>1368263.8390192483</v>
      </c>
    </row>
    <row r="98" spans="1:9" x14ac:dyDescent="0.25">
      <c r="A98" s="77"/>
      <c r="B98" s="77"/>
      <c r="C98" s="77"/>
      <c r="D98" s="78"/>
      <c r="E98" s="78"/>
      <c r="F98" s="78"/>
      <c r="G98" s="78"/>
      <c r="H98" s="78"/>
      <c r="I98" s="78"/>
    </row>
    <row r="103" spans="1:9" x14ac:dyDescent="0.25">
      <c r="B103" s="80"/>
      <c r="C103" s="80"/>
      <c r="D103" s="80"/>
      <c r="E103" s="80"/>
    </row>
    <row r="104" spans="1:9" x14ac:dyDescent="0.25">
      <c r="B104" s="80"/>
      <c r="C104" s="80"/>
      <c r="D104" s="80"/>
      <c r="E104" s="80"/>
    </row>
    <row r="105" spans="1:9" x14ac:dyDescent="0.25">
      <c r="B105" s="80"/>
      <c r="C105" s="80"/>
      <c r="D105" s="80"/>
      <c r="E105" s="80"/>
    </row>
    <row r="106" spans="1:9" x14ac:dyDescent="0.25">
      <c r="B106" s="81"/>
      <c r="C106" s="81"/>
      <c r="D106" s="81"/>
      <c r="E106" s="81"/>
    </row>
    <row r="107" spans="1:9" x14ac:dyDescent="0.25">
      <c r="B107" s="81"/>
      <c r="C107" s="81"/>
      <c r="D107" s="81"/>
      <c r="E107" s="81"/>
    </row>
    <row r="108" spans="1:9" x14ac:dyDescent="0.25">
      <c r="B108" s="81"/>
      <c r="C108" s="81"/>
      <c r="D108" s="81"/>
      <c r="E108" s="81"/>
    </row>
    <row r="110" spans="1:9" x14ac:dyDescent="0.25">
      <c r="B110" s="82"/>
      <c r="C110" s="82"/>
      <c r="D110" s="82"/>
      <c r="E110" s="82"/>
    </row>
    <row r="111" spans="1:9" x14ac:dyDescent="0.25">
      <c r="B111" s="82"/>
      <c r="C111" s="82"/>
      <c r="D111" s="82"/>
      <c r="E111" s="82"/>
    </row>
    <row r="112" spans="1:9" x14ac:dyDescent="0.25">
      <c r="B112" s="82"/>
      <c r="C112" s="82"/>
      <c r="D112" s="82"/>
      <c r="E112" s="82"/>
    </row>
    <row r="113" spans="2:5" x14ac:dyDescent="0.25">
      <c r="B113" s="82"/>
      <c r="C113" s="82"/>
      <c r="D113" s="82"/>
      <c r="E113" s="82"/>
    </row>
    <row r="114" spans="2:5" x14ac:dyDescent="0.25">
      <c r="B114" s="82"/>
      <c r="C114" s="82"/>
      <c r="D114" s="82"/>
      <c r="E114" s="82"/>
    </row>
    <row r="115" spans="2:5" x14ac:dyDescent="0.25">
      <c r="B115" s="82"/>
      <c r="C115" s="82"/>
      <c r="D115" s="82"/>
      <c r="E115" s="82"/>
    </row>
    <row r="117" spans="2:5" x14ac:dyDescent="0.25">
      <c r="B117" s="83"/>
    </row>
    <row r="118" spans="2:5" x14ac:dyDescent="0.25">
      <c r="B118" s="83"/>
    </row>
    <row r="119" spans="2:5" x14ac:dyDescent="0.25">
      <c r="B119" s="83"/>
    </row>
    <row r="120" spans="2:5" x14ac:dyDescent="0.25">
      <c r="B120" s="83"/>
    </row>
    <row r="121" spans="2:5" x14ac:dyDescent="0.25">
      <c r="B121" s="83"/>
    </row>
    <row r="122" spans="2:5" x14ac:dyDescent="0.25">
      <c r="B122" s="83"/>
    </row>
  </sheetData>
  <mergeCells count="1">
    <mergeCell ref="C95:C97"/>
  </mergeCells>
  <pageMargins left="0.7" right="0.7" top="0.75" bottom="0.75" header="0.3" footer="0.3"/>
  <pageSetup paperSize="9" orientation="portrait" r:id="rId1"/>
  <ignoredErrors>
    <ignoredError sqref="B4:F12 G12 G7:G8 G4:G6 G9:G1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db304e25-41f7-439f-a0b4-57d6fe7814bb">
      <Terms xmlns="http://schemas.microsoft.com/office/infopath/2007/PartnerControls"/>
    </lcf76f155ced4ddcb4097134ff3c332f>
    <_ip_UnifiedCompliancePolicyProperties xmlns="http://schemas.microsoft.com/sharepoint/v3" xsi:nil="true"/>
    <TaxCatchAll xmlns="2b6314a3-02c5-49ae-9e9b-4170ca21d12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87E261F1861D46A9AC2E8912814C9C" ma:contentTypeVersion="19" ma:contentTypeDescription="Create a new document." ma:contentTypeScope="" ma:versionID="7e66c6d821b81934021b30d09778e8f3">
  <xsd:schema xmlns:xsd="http://www.w3.org/2001/XMLSchema" xmlns:xs="http://www.w3.org/2001/XMLSchema" xmlns:p="http://schemas.microsoft.com/office/2006/metadata/properties" xmlns:ns1="http://schemas.microsoft.com/sharepoint/v3" xmlns:ns2="db304e25-41f7-439f-a0b4-57d6fe7814bb" xmlns:ns3="2b6314a3-02c5-49ae-9e9b-4170ca21d125" targetNamespace="http://schemas.microsoft.com/office/2006/metadata/properties" ma:root="true" ma:fieldsID="d0fba248f1d7bcfe80765fa22ba57fab" ns1:_="" ns2:_="" ns3:_="">
    <xsd:import namespace="http://schemas.microsoft.com/sharepoint/v3"/>
    <xsd:import namespace="db304e25-41f7-439f-a0b4-57d6fe7814bb"/>
    <xsd:import namespace="2b6314a3-02c5-49ae-9e9b-4170ca21d1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04e25-41f7-439f-a0b4-57d6fe7814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123674a-7107-482d-9678-6238db5811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6314a3-02c5-49ae-9e9b-4170ca21d12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cb024dee-35df-4756-b282-d7f9fc42c13b}" ma:internalName="TaxCatchAll" ma:showField="CatchAllData" ma:web="2b6314a3-02c5-49ae-9e9b-4170ca21d1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F46DB0-F10D-489D-99E2-176A4B5B8FAA}">
  <ds:schemaRefs>
    <ds:schemaRef ds:uri="http://schemas.microsoft.com/sharepoint/v3"/>
    <ds:schemaRef ds:uri="http://purl.org/dc/terms/"/>
    <ds:schemaRef ds:uri="2b6314a3-02c5-49ae-9e9b-4170ca21d125"/>
    <ds:schemaRef ds:uri="db304e25-41f7-439f-a0b4-57d6fe7814bb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D7BEFA9-F709-4842-97E6-DF77C1BB5CBE}"/>
</file>

<file path=customXml/itemProps3.xml><?xml version="1.0" encoding="utf-8"?>
<ds:datastoreItem xmlns:ds="http://schemas.openxmlformats.org/officeDocument/2006/customXml" ds:itemID="{46FC9DF1-612A-4A20-989C-FD46369795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Cover Page</vt:lpstr>
      <vt:lpstr> STPIS Targets &amp; Incentive Rate</vt:lpstr>
      <vt:lpstr>'Cover Page'!Print_Area</vt:lpstr>
    </vt:vector>
  </TitlesOfParts>
  <Manager/>
  <Company>ACCC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revision/>
  <dcterms:created xsi:type="dcterms:W3CDTF">2015-09-08T05:22:22Z</dcterms:created>
  <dcterms:modified xsi:type="dcterms:W3CDTF">2024-01-24T22:05:02Z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0x010100DA87E261F1861D46A9AC2E8912814C9C</vt:lpwstr>
  </property>
  <property fmtid="{D5CDD505-2E9C-101B-9397-08002B2CF9AE}" pid="3" name="MediaServiceImageTags">
    <vt:lpwstr/>
  </property>
</Properties>
</file>