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nergyqonline.sharepoint.com/sites/AER2025/Shared Documents/General/Regulatory Proposal (Energex &amp; Ergon)/Regulatory Proposal Ergon Energy/B. RP Supporting Documents_Ergon/06 Opex/"/>
    </mc:Choice>
  </mc:AlternateContent>
  <xr:revisionPtr revIDLastSave="10" documentId="13_ncr:1_{932642CF-008C-4C36-BF15-0C84078BEC83}" xr6:coauthVersionLast="47" xr6:coauthVersionMax="47" xr10:uidLastSave="{FAB11EC9-2521-4993-8C48-2AF77EC25FA1}"/>
  <bookViews>
    <workbookView xWindow="-120" yWindow="-120" windowWidth="25440" windowHeight="15390" tabRatio="807" firstSheet="1" activeTab="2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externalReferences>
    <externalReference r:id="rId11"/>
  </externalReference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'Lookup|Tables'!$H$65:$H$70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housands">'Lookup|Tables'!$G$11</definedName>
    <definedName name="unit">'Lookup|Tables'!$G$15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58" l="1"/>
  <c r="M58" i="58" l="1"/>
  <c r="L58" i="58" l="1"/>
  <c r="P38" i="2" l="1"/>
  <c r="P56" i="2"/>
  <c r="Q56" i="2"/>
  <c r="R56" i="2"/>
  <c r="S56" i="2"/>
  <c r="T56" i="2"/>
  <c r="O19" i="42" l="1"/>
  <c r="S12" i="53" l="1"/>
  <c r="R12" i="53"/>
  <c r="Q12" i="53"/>
  <c r="P12" i="53"/>
  <c r="O12" i="53"/>
  <c r="K58" i="58" l="1"/>
  <c r="J47" i="58" l="1"/>
  <c r="J58" i="58"/>
  <c r="K47" i="58"/>
  <c r="M91" i="2" l="1" a="1"/>
  <c r="M91" i="2" s="1"/>
  <c r="R75" i="2"/>
  <c r="W56" i="58"/>
  <c r="L29" i="58"/>
  <c r="N29" i="58"/>
  <c r="N23" i="42" s="1"/>
  <c r="J15" i="58"/>
  <c r="L15" i="58"/>
  <c r="J29" i="58"/>
  <c r="T67" i="55"/>
  <c r="T65" i="55"/>
  <c r="T63" i="55"/>
  <c r="G59" i="55"/>
  <c r="G61" i="55"/>
  <c r="G55" i="55"/>
  <c r="T49" i="55"/>
  <c r="G48" i="55"/>
  <c r="T47" i="55"/>
  <c r="C95" i="2" a="1"/>
  <c r="C99" i="2"/>
  <c r="C98" i="2"/>
  <c r="C96" i="2"/>
  <c r="C97" i="2"/>
  <c r="C95" i="2"/>
  <c r="T66" i="55"/>
  <c r="T69" i="55"/>
  <c r="T71" i="55"/>
  <c r="T83" i="55"/>
  <c r="T84" i="55"/>
  <c r="G69" i="55"/>
  <c r="C15" i="16"/>
  <c r="C14" i="16"/>
  <c r="C13" i="16"/>
  <c r="C12" i="16"/>
  <c r="C11" i="16"/>
  <c r="G70" i="4"/>
  <c r="G69" i="4"/>
  <c r="G68" i="4"/>
  <c r="G67" i="4"/>
  <c r="G75" i="4"/>
  <c r="G74" i="4"/>
  <c r="G73" i="4"/>
  <c r="G72" i="4"/>
  <c r="G65" i="4"/>
  <c r="H65" i="4"/>
  <c r="Q38" i="2"/>
  <c r="Q40" i="2" s="1"/>
  <c r="R38" i="2"/>
  <c r="R40" i="2" s="1"/>
  <c r="S38" i="2"/>
  <c r="S40" i="2" s="1"/>
  <c r="T38" i="2"/>
  <c r="T40" i="2" s="1"/>
  <c r="F47" i="58"/>
  <c r="F42" i="58"/>
  <c r="F43" i="58"/>
  <c r="F44" i="58"/>
  <c r="F45" i="58"/>
  <c r="F41" i="58"/>
  <c r="C79" i="4"/>
  <c r="N47" i="58"/>
  <c r="O47" i="58"/>
  <c r="P47" i="58"/>
  <c r="Q47" i="58"/>
  <c r="R47" i="58"/>
  <c r="S47" i="58"/>
  <c r="W29" i="58"/>
  <c r="T91" i="2" a="1"/>
  <c r="T91" i="2"/>
  <c r="S91" i="2" a="1"/>
  <c r="S91" i="2"/>
  <c r="R91" i="2" a="1"/>
  <c r="R91" i="2"/>
  <c r="Q91" i="2" a="1"/>
  <c r="Q91" i="2"/>
  <c r="P91" i="2" a="1"/>
  <c r="P91" i="2"/>
  <c r="O91" i="2" a="1"/>
  <c r="O91" i="2"/>
  <c r="C89" i="2"/>
  <c r="C88" i="2"/>
  <c r="C87" i="2"/>
  <c r="C86" i="2"/>
  <c r="C85" i="2"/>
  <c r="C84" i="2"/>
  <c r="F38" i="53"/>
  <c r="F19" i="42"/>
  <c r="F8" i="42"/>
  <c r="F8" i="44"/>
  <c r="F24" i="42"/>
  <c r="E24" i="42"/>
  <c r="F22" i="42"/>
  <c r="E22" i="42"/>
  <c r="F20" i="42"/>
  <c r="E20" i="42"/>
  <c r="K29" i="58"/>
  <c r="M29" i="58"/>
  <c r="M21" i="42" s="1"/>
  <c r="O29" i="58"/>
  <c r="P29" i="58"/>
  <c r="Q29" i="58"/>
  <c r="R29" i="58"/>
  <c r="S29" i="58"/>
  <c r="E19" i="58"/>
  <c r="E15" i="58"/>
  <c r="D15" i="58"/>
  <c r="F15" i="58"/>
  <c r="K15" i="58"/>
  <c r="M15" i="58"/>
  <c r="M14" i="42" s="1"/>
  <c r="N15" i="58"/>
  <c r="N16" i="42" s="1"/>
  <c r="O15" i="58"/>
  <c r="P15" i="58"/>
  <c r="Q15" i="58"/>
  <c r="R15" i="58"/>
  <c r="S15" i="58"/>
  <c r="E29" i="42"/>
  <c r="F28" i="42"/>
  <c r="F29" i="42"/>
  <c r="C29" i="42"/>
  <c r="E68" i="58"/>
  <c r="E28" i="42" s="1"/>
  <c r="F35" i="42"/>
  <c r="E35" i="42"/>
  <c r="L56" i="58"/>
  <c r="M56" i="58"/>
  <c r="M19" i="42" s="1"/>
  <c r="N56" i="58"/>
  <c r="O56" i="58"/>
  <c r="P56" i="58"/>
  <c r="Q56" i="58"/>
  <c r="R56" i="58"/>
  <c r="S56" i="58"/>
  <c r="J56" i="58"/>
  <c r="E47" i="58"/>
  <c r="G71" i="4"/>
  <c r="G66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H69" i="4"/>
  <c r="H68" i="4"/>
  <c r="H67" i="4"/>
  <c r="H75" i="4"/>
  <c r="H74" i="4"/>
  <c r="H73" i="4"/>
  <c r="H72" i="4"/>
  <c r="H71" i="4"/>
  <c r="H66" i="4"/>
  <c r="C40" i="4"/>
  <c r="F31" i="42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/>
  <c r="R4" i="42"/>
  <c r="R35" i="42"/>
  <c r="Q4" i="42"/>
  <c r="Q35" i="42"/>
  <c r="P4" i="42"/>
  <c r="P35" i="42"/>
  <c r="O4" i="42"/>
  <c r="O35" i="42"/>
  <c r="N4" i="42"/>
  <c r="M4" i="42"/>
  <c r="L4" i="42"/>
  <c r="K4" i="42"/>
  <c r="K35" i="42"/>
  <c r="J4" i="42"/>
  <c r="S4" i="53"/>
  <c r="S10" i="53"/>
  <c r="R4" i="53"/>
  <c r="Q4" i="53"/>
  <c r="P4" i="53"/>
  <c r="P36" i="53"/>
  <c r="O4" i="53"/>
  <c r="N4" i="53"/>
  <c r="N36" i="53"/>
  <c r="M4" i="53"/>
  <c r="L4" i="53"/>
  <c r="L36" i="53"/>
  <c r="K4" i="53"/>
  <c r="J4" i="53"/>
  <c r="J4" i="2"/>
  <c r="J93" i="2"/>
  <c r="T4" i="2"/>
  <c r="T93" i="2"/>
  <c r="S4" i="2"/>
  <c r="S93" i="2"/>
  <c r="R4" i="2"/>
  <c r="R93" i="2"/>
  <c r="Q4" i="2"/>
  <c r="Q93" i="2"/>
  <c r="P4" i="2"/>
  <c r="P93" i="2"/>
  <c r="O4" i="2"/>
  <c r="O93" i="2"/>
  <c r="N4" i="2"/>
  <c r="N93" i="2"/>
  <c r="M4" i="2"/>
  <c r="M93" i="2"/>
  <c r="L4" i="2"/>
  <c r="L93" i="2"/>
  <c r="K4" i="2"/>
  <c r="K93" i="2"/>
  <c r="S4" i="58"/>
  <c r="S60" i="58"/>
  <c r="S28" i="42" s="1"/>
  <c r="R4" i="58"/>
  <c r="R34" i="58" s="1"/>
  <c r="R60" i="58"/>
  <c r="Q4" i="58"/>
  <c r="Q60" i="58" s="1"/>
  <c r="P4" i="58"/>
  <c r="P60" i="58"/>
  <c r="O4" i="58"/>
  <c r="O60" i="58"/>
  <c r="N4" i="58"/>
  <c r="N60" i="58"/>
  <c r="N28" i="42" s="1"/>
  <c r="M4" i="58"/>
  <c r="M60" i="58"/>
  <c r="M28" i="42" s="1"/>
  <c r="L4" i="58"/>
  <c r="L34" i="58" s="1"/>
  <c r="L60" i="58"/>
  <c r="K4" i="58"/>
  <c r="K60" i="58" s="1"/>
  <c r="K28" i="42" s="1"/>
  <c r="J4" i="58"/>
  <c r="J60" i="58"/>
  <c r="J76" i="2"/>
  <c r="K76" i="2"/>
  <c r="L76" i="2"/>
  <c r="M76" i="2"/>
  <c r="N76" i="2"/>
  <c r="O76" i="2"/>
  <c r="J77" i="2"/>
  <c r="K77" i="2"/>
  <c r="L77" i="2"/>
  <c r="M77" i="2"/>
  <c r="N77" i="2"/>
  <c r="O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N75" i="2"/>
  <c r="N34" i="58"/>
  <c r="K97" i="2"/>
  <c r="K96" i="2"/>
  <c r="K95" i="2"/>
  <c r="K99" i="2"/>
  <c r="O97" i="2"/>
  <c r="O96" i="2"/>
  <c r="O95" i="2"/>
  <c r="O99" i="2"/>
  <c r="L99" i="2"/>
  <c r="L97" i="2"/>
  <c r="L96" i="2"/>
  <c r="L95" i="2"/>
  <c r="N96" i="2"/>
  <c r="N97" i="2"/>
  <c r="N99" i="2"/>
  <c r="N95" i="2"/>
  <c r="M95" i="2"/>
  <c r="M99" i="2"/>
  <c r="M97" i="2"/>
  <c r="M96" i="2"/>
  <c r="J96" i="2"/>
  <c r="J97" i="2"/>
  <c r="J95" i="2"/>
  <c r="J99" i="2"/>
  <c r="J23" i="42"/>
  <c r="J21" i="42"/>
  <c r="J19" i="42"/>
  <c r="L23" i="42"/>
  <c r="L21" i="42"/>
  <c r="L19" i="42"/>
  <c r="N21" i="42"/>
  <c r="N19" i="42"/>
  <c r="P23" i="42"/>
  <c r="P21" i="42"/>
  <c r="P19" i="42"/>
  <c r="R23" i="42"/>
  <c r="R21" i="42"/>
  <c r="R19" i="42"/>
  <c r="K23" i="42"/>
  <c r="K21" i="42"/>
  <c r="K19" i="42"/>
  <c r="M23" i="42"/>
  <c r="O23" i="42"/>
  <c r="O21" i="42"/>
  <c r="Q23" i="42"/>
  <c r="Q21" i="42"/>
  <c r="Q19" i="42"/>
  <c r="S23" i="42"/>
  <c r="S21" i="42"/>
  <c r="S19" i="42"/>
  <c r="P33" i="42"/>
  <c r="R33" i="42"/>
  <c r="K33" i="42"/>
  <c r="Q33" i="42"/>
  <c r="S33" i="42"/>
  <c r="J12" i="42"/>
  <c r="K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P34" i="58"/>
  <c r="S10" i="2"/>
  <c r="S12" i="2"/>
  <c r="O10" i="2"/>
  <c r="K10" i="2"/>
  <c r="M14" i="2"/>
  <c r="Q14" i="2"/>
  <c r="J23" i="2"/>
  <c r="K73" i="2"/>
  <c r="O73" i="2"/>
  <c r="S73" i="2"/>
  <c r="J62" i="2"/>
  <c r="Q62" i="2"/>
  <c r="M62" i="2"/>
  <c r="L10" i="58"/>
  <c r="L28" i="42" s="1"/>
  <c r="P10" i="58"/>
  <c r="J34" i="58"/>
  <c r="J10" i="2"/>
  <c r="Q10" i="2"/>
  <c r="Q12" i="2"/>
  <c r="M10" i="2"/>
  <c r="K14" i="2"/>
  <c r="O14" i="2"/>
  <c r="S14" i="2"/>
  <c r="J47" i="2"/>
  <c r="M73" i="2"/>
  <c r="Q73" i="2"/>
  <c r="J103" i="2"/>
  <c r="S62" i="2"/>
  <c r="O62" i="2"/>
  <c r="K62" i="2"/>
  <c r="M34" i="58"/>
  <c r="M10" i="58"/>
  <c r="O34" i="58"/>
  <c r="O10" i="58"/>
  <c r="S34" i="58"/>
  <c r="S10" i="58"/>
  <c r="L62" i="2"/>
  <c r="L73" i="2"/>
  <c r="L14" i="2"/>
  <c r="L10" i="2"/>
  <c r="P62" i="2"/>
  <c r="P73" i="2"/>
  <c r="P14" i="2"/>
  <c r="P10" i="2"/>
  <c r="P12" i="2"/>
  <c r="R62" i="2"/>
  <c r="R73" i="2"/>
  <c r="R14" i="2"/>
  <c r="R10" i="2"/>
  <c r="R12" i="2"/>
  <c r="T62" i="2"/>
  <c r="T73" i="2"/>
  <c r="T14" i="2"/>
  <c r="T10" i="2"/>
  <c r="T12" i="2"/>
  <c r="J26" i="53"/>
  <c r="J10" i="53"/>
  <c r="R26" i="53"/>
  <c r="R10" i="53"/>
  <c r="L49" i="42"/>
  <c r="L23" i="2"/>
  <c r="P23" i="2"/>
  <c r="T23" i="2"/>
  <c r="R34" i="2"/>
  <c r="N34" i="2"/>
  <c r="N47" i="2"/>
  <c r="R47" i="2"/>
  <c r="L103" i="2"/>
  <c r="P103" i="2"/>
  <c r="T103" i="2"/>
  <c r="L10" i="53"/>
  <c r="P26" i="53"/>
  <c r="K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103" i="2"/>
  <c r="R103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3" i="2"/>
  <c r="M103" i="2"/>
  <c r="O103" i="2"/>
  <c r="Q103" i="2"/>
  <c r="S103" i="2"/>
  <c r="R31" i="42"/>
  <c r="P31" i="42"/>
  <c r="S31" i="42"/>
  <c r="Q31" i="42"/>
  <c r="K31" i="42"/>
  <c r="J10" i="42"/>
  <c r="R10" i="42"/>
  <c r="P10" i="42"/>
  <c r="N10" i="42"/>
  <c r="L10" i="42"/>
  <c r="J16" i="42"/>
  <c r="R16" i="42"/>
  <c r="P16" i="42"/>
  <c r="L16" i="42"/>
  <c r="J37" i="42"/>
  <c r="L37" i="42"/>
  <c r="N37" i="42"/>
  <c r="P37" i="42"/>
  <c r="R37" i="42"/>
  <c r="J40" i="42"/>
  <c r="L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C47" i="42" s="1"/>
  <c r="F43" i="42"/>
  <c r="C43" i="42"/>
  <c r="F40" i="42"/>
  <c r="C40" i="42"/>
  <c r="F37" i="42"/>
  <c r="C37" i="42"/>
  <c r="C38" i="42" s="1"/>
  <c r="F16" i="42"/>
  <c r="E16" i="42"/>
  <c r="F14" i="42"/>
  <c r="E14" i="42"/>
  <c r="F12" i="42"/>
  <c r="E12" i="42"/>
  <c r="U73" i="2"/>
  <c r="N91" i="2" a="1"/>
  <c r="N91" i="2"/>
  <c r="P28" i="42"/>
  <c r="J28" i="42"/>
  <c r="O28" i="42"/>
  <c r="E66" i="58"/>
  <c r="E49" i="42" s="1"/>
  <c r="E65" i="58"/>
  <c r="E46" i="42"/>
  <c r="E64" i="58"/>
  <c r="E43" i="42"/>
  <c r="E63" i="58"/>
  <c r="E62" i="58"/>
  <c r="E37" i="42" s="1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/>
  <c r="F23" i="42" s="1"/>
  <c r="E27" i="58"/>
  <c r="F26" i="58"/>
  <c r="E26" i="58"/>
  <c r="F25" i="58"/>
  <c r="E25" i="58"/>
  <c r="F24" i="58"/>
  <c r="E24" i="58"/>
  <c r="F23" i="58"/>
  <c r="E23" i="58"/>
  <c r="F22" i="58"/>
  <c r="E22" i="58"/>
  <c r="E23" i="42" s="1"/>
  <c r="F21" i="58"/>
  <c r="E21" i="58"/>
  <c r="F20" i="58"/>
  <c r="E20" i="58"/>
  <c r="F19" i="58"/>
  <c r="C2" i="58"/>
  <c r="C1" i="58"/>
  <c r="E40" i="42"/>
  <c r="E19" i="42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9" i="55"/>
  <c r="G51" i="55"/>
  <c r="G53" i="55"/>
  <c r="G58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8" i="55"/>
  <c r="T50" i="55"/>
  <c r="T51" i="55"/>
  <c r="T53" i="55"/>
  <c r="T56" i="55"/>
  <c r="T58" i="55"/>
  <c r="T61" i="55"/>
  <c r="T64" i="55"/>
  <c r="K107" i="2"/>
  <c r="S107" i="2"/>
  <c r="Q107" i="2"/>
  <c r="W107" i="2" s="1"/>
  <c r="O107" i="2"/>
  <c r="M107" i="2"/>
  <c r="C24" i="4"/>
  <c r="S9" i="54"/>
  <c r="K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J61" i="42"/>
  <c r="J67" i="42" s="1"/>
  <c r="L88" i="42"/>
  <c r="L72" i="42"/>
  <c r="L58" i="42"/>
  <c r="L61" i="42"/>
  <c r="L67" i="42" s="1"/>
  <c r="N88" i="42"/>
  <c r="N72" i="42"/>
  <c r="N58" i="42"/>
  <c r="N61" i="42"/>
  <c r="N67" i="42" s="1"/>
  <c r="P88" i="42"/>
  <c r="P72" i="42"/>
  <c r="P58" i="42"/>
  <c r="R88" i="42"/>
  <c r="R72" i="42"/>
  <c r="R58" i="42"/>
  <c r="K58" i="42"/>
  <c r="K61" i="42"/>
  <c r="K67" i="42" s="1"/>
  <c r="M58" i="42"/>
  <c r="M61" i="42"/>
  <c r="M67" i="42" s="1"/>
  <c r="O58" i="42"/>
  <c r="Q58" i="42"/>
  <c r="S58" i="42"/>
  <c r="K72" i="42"/>
  <c r="M72" i="42"/>
  <c r="O72" i="42"/>
  <c r="Q72" i="42"/>
  <c r="S72" i="42"/>
  <c r="K88" i="42"/>
  <c r="M88" i="42"/>
  <c r="O88" i="42"/>
  <c r="Q88" i="42"/>
  <c r="S88" i="42"/>
  <c r="M22" i="53"/>
  <c r="K22" i="53"/>
  <c r="J32" i="53"/>
  <c r="L32" i="53"/>
  <c r="N32" i="53"/>
  <c r="P32" i="53"/>
  <c r="R32" i="53"/>
  <c r="J40" i="53"/>
  <c r="L40" i="53"/>
  <c r="N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7" i="2"/>
  <c r="L71" i="2"/>
  <c r="N58" i="2"/>
  <c r="N45" i="2"/>
  <c r="N107" i="2"/>
  <c r="N71" i="2"/>
  <c r="P58" i="2"/>
  <c r="P107" i="2"/>
  <c r="R58" i="2"/>
  <c r="R107" i="2"/>
  <c r="T58" i="2"/>
  <c r="T107" i="2"/>
  <c r="J58" i="2"/>
  <c r="J107" i="2"/>
  <c r="J71" i="2"/>
  <c r="J45" i="2"/>
  <c r="M71" i="2"/>
  <c r="K71" i="2"/>
  <c r="W32" i="53"/>
  <c r="C50" i="42"/>
  <c r="F50" i="42"/>
  <c r="E50" i="42"/>
  <c r="C44" i="42"/>
  <c r="C41" i="42"/>
  <c r="F47" i="42"/>
  <c r="E47" i="42"/>
  <c r="F44" i="42"/>
  <c r="E44" i="42"/>
  <c r="F41" i="42"/>
  <c r="E41" i="42"/>
  <c r="F38" i="42"/>
  <c r="E38" i="42"/>
  <c r="E84" i="42"/>
  <c r="E102" i="42"/>
  <c r="F17" i="42"/>
  <c r="F15" i="42"/>
  <c r="F54" i="42"/>
  <c r="F52" i="42"/>
  <c r="C75" i="42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" i="54" s="1"/>
  <c r="G10" i="16" s="1"/>
  <c r="S14" i="54"/>
  <c r="G15" i="16"/>
  <c r="B1" i="55"/>
  <c r="E12" i="2"/>
  <c r="O65" i="42"/>
  <c r="J63" i="42"/>
  <c r="J65" i="42"/>
  <c r="K63" i="42"/>
  <c r="K65" i="42"/>
  <c r="L63" i="42"/>
  <c r="L65" i="42"/>
  <c r="M63" i="42"/>
  <c r="M65" i="42"/>
  <c r="N63" i="42"/>
  <c r="N65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D12" i="16"/>
  <c r="D13" i="16"/>
  <c r="D14" i="16"/>
  <c r="D15" i="16"/>
  <c r="C10" i="16"/>
  <c r="D10" i="16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5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J68" i="42" a="1"/>
  <c r="J68" i="42"/>
  <c r="M68" i="42" a="1"/>
  <c r="M68" i="42"/>
  <c r="L68" i="42" a="1"/>
  <c r="L68" i="42"/>
  <c r="K68" i="42" a="1"/>
  <c r="K68" i="42"/>
  <c r="N68" i="42" a="1"/>
  <c r="N68" i="42"/>
  <c r="C25" i="2" a="1"/>
  <c r="C16" i="2" a="1"/>
  <c r="C25" i="2"/>
  <c r="C27" i="2"/>
  <c r="C29" i="2"/>
  <c r="C26" i="2"/>
  <c r="C28" i="2"/>
  <c r="C30" i="2"/>
  <c r="C16" i="2"/>
  <c r="C18" i="2"/>
  <c r="C20" i="2"/>
  <c r="C17" i="2"/>
  <c r="C19" i="2"/>
  <c r="C21" i="2"/>
  <c r="O21" i="2"/>
  <c r="M19" i="2"/>
  <c r="N20" i="2"/>
  <c r="J16" i="2"/>
  <c r="K17" i="2"/>
  <c r="L18" i="2"/>
  <c r="D21" i="2"/>
  <c r="E21" i="2"/>
  <c r="D17" i="2"/>
  <c r="E17" i="2"/>
  <c r="E18" i="2"/>
  <c r="D18" i="2"/>
  <c r="E30" i="2"/>
  <c r="D30" i="2"/>
  <c r="S30" i="2"/>
  <c r="R30" i="2"/>
  <c r="Q30" i="2"/>
  <c r="T30" i="2"/>
  <c r="E26" i="2"/>
  <c r="D26" i="2"/>
  <c r="S26" i="2"/>
  <c r="R26" i="2"/>
  <c r="Q26" i="2"/>
  <c r="T26" i="2"/>
  <c r="D19" i="2"/>
  <c r="E19" i="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P30" i="2"/>
  <c r="P28" i="2"/>
  <c r="P26" i="2"/>
  <c r="P27" i="2"/>
  <c r="P25" i="2"/>
  <c r="L31" i="42"/>
  <c r="J31" i="42"/>
  <c r="J16" i="44"/>
  <c r="N15" i="44"/>
  <c r="L15" i="44"/>
  <c r="J14" i="44"/>
  <c r="J15" i="44"/>
  <c r="K16" i="44"/>
  <c r="N16" i="44"/>
  <c r="L16" i="44"/>
  <c r="K14" i="44"/>
  <c r="M16" i="44"/>
  <c r="L14" i="44"/>
  <c r="M15" i="44"/>
  <c r="N14" i="44"/>
  <c r="M14" i="44"/>
  <c r="O33" i="42"/>
  <c r="K15" i="44"/>
  <c r="J35" i="42"/>
  <c r="J33" i="42"/>
  <c r="L35" i="42"/>
  <c r="M35" i="42"/>
  <c r="L33" i="42"/>
  <c r="J100" i="42"/>
  <c r="J13" i="44"/>
  <c r="J101" i="42"/>
  <c r="J102" i="42"/>
  <c r="K100" i="42"/>
  <c r="K13" i="44"/>
  <c r="K101" i="42"/>
  <c r="K102" i="42"/>
  <c r="L101" i="42"/>
  <c r="L102" i="42"/>
  <c r="L100" i="42"/>
  <c r="L13" i="44"/>
  <c r="M100" i="42"/>
  <c r="M13" i="44"/>
  <c r="M101" i="42"/>
  <c r="M102" i="42"/>
  <c r="M16" i="42"/>
  <c r="L14" i="42"/>
  <c r="O31" i="42"/>
  <c r="M31" i="42"/>
  <c r="M33" i="42"/>
  <c r="N101" i="42"/>
  <c r="N102" i="42"/>
  <c r="N100" i="42"/>
  <c r="N13" i="44"/>
  <c r="Q22" i="53"/>
  <c r="S22" i="53"/>
  <c r="P22" i="53"/>
  <c r="E21" i="42" l="1"/>
  <c r="F21" i="42"/>
  <c r="R10" i="58"/>
  <c r="S20" i="42"/>
  <c r="P20" i="42"/>
  <c r="Q13" i="42"/>
  <c r="Q26" i="42" s="1"/>
  <c r="Q10" i="58"/>
  <c r="Q28" i="42" s="1"/>
  <c r="K34" i="58"/>
  <c r="R28" i="42"/>
  <c r="R20" i="42"/>
  <c r="Q34" i="58"/>
  <c r="P63" i="42"/>
  <c r="O13" i="42"/>
  <c r="O26" i="42" s="1"/>
  <c r="Q45" i="2"/>
  <c r="S45" i="2"/>
  <c r="R63" i="42"/>
  <c r="Q63" i="42"/>
  <c r="S63" i="42"/>
  <c r="R13" i="42"/>
  <c r="R26" i="42" s="1"/>
  <c r="S1" i="58"/>
  <c r="G12" i="16" s="1"/>
  <c r="R22" i="53"/>
  <c r="S13" i="42"/>
  <c r="S26" i="42" s="1"/>
  <c r="O22" i="53"/>
  <c r="G47" i="55"/>
  <c r="T59" i="55"/>
  <c r="G67" i="55"/>
  <c r="T55" i="55"/>
  <c r="G71" i="55"/>
  <c r="P13" i="42"/>
  <c r="P26" i="42" s="1"/>
  <c r="G63" i="55"/>
  <c r="P77" i="2"/>
  <c r="P75" i="2"/>
  <c r="T75" i="2"/>
  <c r="S76" i="2"/>
  <c r="R76" i="2"/>
  <c r="Q75" i="2"/>
  <c r="R71" i="2"/>
  <c r="P76" i="2"/>
  <c r="W58" i="2"/>
  <c r="T77" i="2"/>
  <c r="J91" i="2" a="1"/>
  <c r="J91" i="2" s="1"/>
  <c r="S71" i="2"/>
  <c r="K91" i="2" a="1"/>
  <c r="K91" i="2" s="1"/>
  <c r="S75" i="2"/>
  <c r="S77" i="2"/>
  <c r="Q76" i="2"/>
  <c r="R77" i="2"/>
  <c r="T45" i="2"/>
  <c r="L91" i="2" a="1"/>
  <c r="L91" i="2" s="1"/>
  <c r="T71" i="2"/>
  <c r="Q77" i="2"/>
  <c r="T76" i="2"/>
  <c r="O71" i="2"/>
  <c r="Q71" i="2"/>
  <c r="R45" i="2"/>
  <c r="P71" i="2"/>
  <c r="T52" i="55"/>
  <c r="G56" i="55"/>
  <c r="G52" i="55"/>
  <c r="G60" i="55"/>
  <c r="T60" i="55"/>
  <c r="T68" i="55"/>
  <c r="G68" i="55"/>
  <c r="G77" i="55"/>
  <c r="T77" i="55"/>
  <c r="G50" i="55"/>
  <c r="T46" i="55"/>
  <c r="G46" i="55"/>
  <c r="G54" i="55"/>
  <c r="T54" i="55"/>
  <c r="G66" i="55"/>
  <c r="K12" i="2" s="1"/>
  <c r="G62" i="55"/>
  <c r="J12" i="2" s="1"/>
  <c r="J25" i="2" s="1"/>
  <c r="T62" i="55"/>
  <c r="T73" i="55"/>
  <c r="G73" i="55"/>
  <c r="T70" i="55"/>
  <c r="G70" i="55"/>
  <c r="L12" i="2" s="1"/>
  <c r="L27" i="2" s="1"/>
  <c r="G64" i="55"/>
  <c r="G79" i="55"/>
  <c r="T79" i="55"/>
  <c r="G83" i="55"/>
  <c r="T75" i="55"/>
  <c r="G75" i="55"/>
  <c r="K56" i="58"/>
  <c r="T72" i="55"/>
  <c r="G72" i="55"/>
  <c r="T57" i="55"/>
  <c r="O20" i="42"/>
  <c r="Q20" i="42"/>
  <c r="G57" i="55"/>
  <c r="G65" i="55"/>
  <c r="W22" i="53" l="1"/>
  <c r="S96" i="2"/>
  <c r="P96" i="2"/>
  <c r="P97" i="2"/>
  <c r="P98" i="2"/>
  <c r="P99" i="2"/>
  <c r="Q98" i="2"/>
  <c r="P95" i="2"/>
  <c r="R98" i="2"/>
  <c r="Q96" i="2"/>
  <c r="S99" i="2"/>
  <c r="S97" i="2"/>
  <c r="S98" i="2"/>
  <c r="S95" i="2"/>
  <c r="T97" i="2"/>
  <c r="R99" i="2"/>
  <c r="W91" i="2"/>
  <c r="R95" i="2"/>
  <c r="R96" i="2"/>
  <c r="R97" i="2"/>
  <c r="W71" i="2"/>
  <c r="T95" i="2"/>
  <c r="T98" i="2"/>
  <c r="T99" i="2"/>
  <c r="Q99" i="2"/>
  <c r="Q95" i="2"/>
  <c r="T96" i="2"/>
  <c r="Q97" i="2"/>
  <c r="T76" i="55"/>
  <c r="G76" i="55"/>
  <c r="J17" i="2"/>
  <c r="J26" i="2" s="1"/>
  <c r="K26" i="2"/>
  <c r="T81" i="55"/>
  <c r="G81" i="55"/>
  <c r="K16" i="2"/>
  <c r="L17" i="2"/>
  <c r="K18" i="2"/>
  <c r="T74" i="55"/>
  <c r="G74" i="55"/>
  <c r="M12" i="2" s="1"/>
  <c r="R61" i="42" l="1"/>
  <c r="R67" i="42" s="1"/>
  <c r="O61" i="42"/>
  <c r="P61" i="42"/>
  <c r="P67" i="42" s="1"/>
  <c r="Q61" i="42"/>
  <c r="Q67" i="42" s="1"/>
  <c r="S61" i="42"/>
  <c r="S67" i="42" s="1"/>
  <c r="G84" i="55"/>
  <c r="G80" i="55"/>
  <c r="T80" i="55"/>
  <c r="M18" i="2"/>
  <c r="L19" i="2"/>
  <c r="M28" i="2"/>
  <c r="L16" i="2"/>
  <c r="K25" i="2"/>
  <c r="G78" i="55"/>
  <c r="N12" i="2" s="1"/>
  <c r="T78" i="55"/>
  <c r="K27" i="2"/>
  <c r="J18" i="2"/>
  <c r="J27" i="2" s="1"/>
  <c r="L26" i="2"/>
  <c r="M17" i="2"/>
  <c r="M20" i="2" l="1"/>
  <c r="N29" i="2"/>
  <c r="N19" i="2"/>
  <c r="T82" i="55"/>
  <c r="T1" i="55" s="1"/>
  <c r="G11" i="16" s="1"/>
  <c r="G82" i="55"/>
  <c r="O12" i="2" s="1"/>
  <c r="K19" i="2"/>
  <c r="L28" i="2"/>
  <c r="L25" i="2"/>
  <c r="M16" i="2"/>
  <c r="M27" i="2"/>
  <c r="N18" i="2"/>
  <c r="N17" i="2"/>
  <c r="M26" i="2"/>
  <c r="O17" i="2" l="1"/>
  <c r="O26" i="2" s="1"/>
  <c r="N26" i="2"/>
  <c r="J19" i="2"/>
  <c r="J28" i="2" s="1"/>
  <c r="K28" i="2"/>
  <c r="N27" i="2"/>
  <c r="O18" i="2"/>
  <c r="N16" i="2"/>
  <c r="M25" i="2"/>
  <c r="N28" i="2"/>
  <c r="O19" i="2"/>
  <c r="O28" i="2" s="1"/>
  <c r="O20" i="2"/>
  <c r="N21" i="2"/>
  <c r="O30" i="2"/>
  <c r="L20" i="2"/>
  <c r="M29" i="2"/>
  <c r="N30" i="2" l="1"/>
  <c r="M21" i="2"/>
  <c r="O16" i="2"/>
  <c r="N25" i="2"/>
  <c r="L29" i="2"/>
  <c r="K20" i="2"/>
  <c r="N20" i="42"/>
  <c r="N13" i="42"/>
  <c r="N26" i="42" s="1"/>
  <c r="K41" i="42"/>
  <c r="O41" i="42"/>
  <c r="R41" i="42"/>
  <c r="J41" i="42"/>
  <c r="L41" i="42"/>
  <c r="Q41" i="42"/>
  <c r="P41" i="42"/>
  <c r="O29" i="2"/>
  <c r="S41" i="42"/>
  <c r="M41" i="42"/>
  <c r="P81" i="42"/>
  <c r="O80" i="42"/>
  <c r="J76" i="42"/>
  <c r="J90" i="42"/>
  <c r="P78" i="42"/>
  <c r="K79" i="42"/>
  <c r="M80" i="42"/>
  <c r="R91" i="42"/>
  <c r="R15" i="44" s="1"/>
  <c r="M77" i="42"/>
  <c r="O75" i="42"/>
  <c r="R80" i="42"/>
  <c r="M76" i="42"/>
  <c r="M82" i="42"/>
  <c r="R38" i="42"/>
  <c r="L50" i="42"/>
  <c r="P47" i="42"/>
  <c r="N44" i="42"/>
  <c r="O44" i="42"/>
  <c r="N50" i="42"/>
  <c r="J47" i="42"/>
  <c r="R79" i="42"/>
  <c r="P79" i="42"/>
  <c r="K76" i="42"/>
  <c r="R75" i="42"/>
  <c r="N82" i="42"/>
  <c r="M78" i="42"/>
  <c r="J92" i="42"/>
  <c r="O92" i="42"/>
  <c r="O16" i="44" s="1"/>
  <c r="M74" i="42"/>
  <c r="M79" i="42"/>
  <c r="Q90" i="42"/>
  <c r="S81" i="42"/>
  <c r="Q81" i="42"/>
  <c r="Q82" i="42"/>
  <c r="M75" i="42"/>
  <c r="P38" i="42"/>
  <c r="K50" i="42"/>
  <c r="R44" i="42"/>
  <c r="M47" i="42"/>
  <c r="N29" i="42"/>
  <c r="M29" i="42"/>
  <c r="R29" i="42"/>
  <c r="K47" i="42"/>
  <c r="S77" i="42"/>
  <c r="Q76" i="42"/>
  <c r="P74" i="42"/>
  <c r="O82" i="42"/>
  <c r="L82" i="42"/>
  <c r="M90" i="42"/>
  <c r="Q91" i="42"/>
  <c r="Q15" i="44" s="1"/>
  <c r="S92" i="42"/>
  <c r="S16" i="44" s="1"/>
  <c r="L76" i="42"/>
  <c r="L81" i="42"/>
  <c r="Q92" i="42"/>
  <c r="Q16" i="44" s="1"/>
  <c r="J79" i="42"/>
  <c r="N76" i="42"/>
  <c r="N91" i="42"/>
  <c r="L77" i="42"/>
  <c r="P82" i="42"/>
  <c r="J38" i="42"/>
  <c r="M50" i="42"/>
  <c r="J50" i="42"/>
  <c r="R74" i="42"/>
  <c r="Q79" i="42"/>
  <c r="O79" i="42"/>
  <c r="J77" i="42"/>
  <c r="S90" i="42"/>
  <c r="L91" i="42"/>
  <c r="Q80" i="42"/>
  <c r="N80" i="42"/>
  <c r="J91" i="42"/>
  <c r="S82" i="42"/>
  <c r="L80" i="42"/>
  <c r="L79" i="42"/>
  <c r="R82" i="42"/>
  <c r="J80" i="42"/>
  <c r="P90" i="42"/>
  <c r="J75" i="42"/>
  <c r="M38" i="42"/>
  <c r="N38" i="42"/>
  <c r="R50" i="42"/>
  <c r="Q47" i="42"/>
  <c r="J44" i="42"/>
  <c r="Q44" i="42"/>
  <c r="Q29" i="42"/>
  <c r="S47" i="42"/>
  <c r="R77" i="42"/>
  <c r="P76" i="42"/>
  <c r="S76" i="42"/>
  <c r="O74" i="42"/>
  <c r="N90" i="42"/>
  <c r="J29" i="42"/>
  <c r="Q78" i="42"/>
  <c r="K77" i="42"/>
  <c r="Q75" i="42"/>
  <c r="O78" i="42"/>
  <c r="L78" i="42"/>
  <c r="L74" i="42"/>
  <c r="P92" i="42"/>
  <c r="P16" i="44" s="1"/>
  <c r="K78" i="42"/>
  <c r="J74" i="42"/>
  <c r="S78" i="42"/>
  <c r="O38" i="42"/>
  <c r="K38" i="42"/>
  <c r="O29" i="42"/>
  <c r="L44" i="42"/>
  <c r="O47" i="42"/>
  <c r="Q50" i="42"/>
  <c r="P29" i="42"/>
  <c r="M44" i="42"/>
  <c r="Q74" i="42"/>
  <c r="R78" i="42"/>
  <c r="J78" i="42"/>
  <c r="N74" i="42"/>
  <c r="L90" i="42"/>
  <c r="N77" i="42"/>
  <c r="N79" i="42"/>
  <c r="O90" i="42"/>
  <c r="P75" i="42"/>
  <c r="K74" i="42"/>
  <c r="K75" i="42"/>
  <c r="N75" i="42"/>
  <c r="P80" i="42"/>
  <c r="Q38" i="42"/>
  <c r="O27" i="2"/>
  <c r="P44" i="42"/>
  <c r="S50" i="42"/>
  <c r="S44" i="42"/>
  <c r="K44" i="42"/>
  <c r="M91" i="42"/>
  <c r="K82" i="42"/>
  <c r="K80" i="42"/>
  <c r="S29" i="42"/>
  <c r="R76" i="42"/>
  <c r="L92" i="42"/>
  <c r="R90" i="42"/>
  <c r="J81" i="42"/>
  <c r="R47" i="42"/>
  <c r="N92" i="42"/>
  <c r="S91" i="42"/>
  <c r="S15" i="44" s="1"/>
  <c r="O91" i="42"/>
  <c r="O15" i="44" s="1"/>
  <c r="P77" i="42"/>
  <c r="K90" i="42"/>
  <c r="R92" i="42"/>
  <c r="R16" i="44" s="1"/>
  <c r="O81" i="42"/>
  <c r="K92" i="42"/>
  <c r="P91" i="42"/>
  <c r="P15" i="44" s="1"/>
  <c r="S80" i="42"/>
  <c r="S38" i="42"/>
  <c r="O76" i="42"/>
  <c r="O77" i="42"/>
  <c r="M81" i="42"/>
  <c r="N78" i="42"/>
  <c r="R81" i="42"/>
  <c r="L38" i="42"/>
  <c r="L29" i="42"/>
  <c r="N47" i="42"/>
  <c r="S79" i="42"/>
  <c r="N81" i="42"/>
  <c r="K81" i="42"/>
  <c r="M92" i="42"/>
  <c r="L47" i="42"/>
  <c r="O50" i="42"/>
  <c r="P50" i="42"/>
  <c r="Q77" i="42"/>
  <c r="L75" i="42"/>
  <c r="K91" i="42"/>
  <c r="J82" i="42"/>
  <c r="S75" i="42"/>
  <c r="K29" i="42"/>
  <c r="S74" i="42"/>
  <c r="J84" i="42" l="1"/>
  <c r="M84" i="42"/>
  <c r="S52" i="42"/>
  <c r="S54" i="42" s="1"/>
  <c r="P94" i="42"/>
  <c r="P14" i="44"/>
  <c r="Q52" i="42"/>
  <c r="Q54" i="42" s="1"/>
  <c r="J52" i="42"/>
  <c r="J54" i="42" s="1"/>
  <c r="P52" i="42"/>
  <c r="P54" i="42" s="1"/>
  <c r="J94" i="42"/>
  <c r="J20" i="2"/>
  <c r="J29" i="2" s="1"/>
  <c r="K29" i="2"/>
  <c r="S84" i="42"/>
  <c r="L52" i="42"/>
  <c r="L54" i="42" s="1"/>
  <c r="L94" i="42"/>
  <c r="N94" i="42"/>
  <c r="S14" i="44"/>
  <c r="S94" i="42"/>
  <c r="N84" i="42"/>
  <c r="L84" i="42"/>
  <c r="O84" i="42"/>
  <c r="M94" i="42"/>
  <c r="R14" i="44"/>
  <c r="R94" i="42"/>
  <c r="K84" i="42"/>
  <c r="K52" i="42"/>
  <c r="K54" i="42" s="1"/>
  <c r="M30" i="2"/>
  <c r="L21" i="2"/>
  <c r="K94" i="42"/>
  <c r="Q84" i="42"/>
  <c r="O52" i="42"/>
  <c r="O54" i="42" s="1"/>
  <c r="M52" i="42"/>
  <c r="M54" i="42" s="1"/>
  <c r="R84" i="42"/>
  <c r="Q94" i="42"/>
  <c r="Q14" i="44"/>
  <c r="Q24" i="42"/>
  <c r="L17" i="42"/>
  <c r="O17" i="42"/>
  <c r="O25" i="2"/>
  <c r="S15" i="42"/>
  <c r="P17" i="42"/>
  <c r="L24" i="42"/>
  <c r="K17" i="42"/>
  <c r="O15" i="42"/>
  <c r="R17" i="42"/>
  <c r="P15" i="42"/>
  <c r="P24" i="42"/>
  <c r="J22" i="42"/>
  <c r="S24" i="42"/>
  <c r="Q15" i="42"/>
  <c r="O22" i="42"/>
  <c r="R15" i="42"/>
  <c r="S17" i="42"/>
  <c r="R22" i="42"/>
  <c r="O24" i="42"/>
  <c r="N17" i="42"/>
  <c r="Q22" i="42"/>
  <c r="R24" i="42"/>
  <c r="P22" i="42"/>
  <c r="S22" i="42"/>
  <c r="Q17" i="42"/>
  <c r="J17" i="42"/>
  <c r="M24" i="42"/>
  <c r="J24" i="42"/>
  <c r="K15" i="42"/>
  <c r="L22" i="42"/>
  <c r="L15" i="42"/>
  <c r="M22" i="42"/>
  <c r="J15" i="42"/>
  <c r="N22" i="42"/>
  <c r="N24" i="42"/>
  <c r="K22" i="42"/>
  <c r="M15" i="42"/>
  <c r="N15" i="42"/>
  <c r="K24" i="42"/>
  <c r="M17" i="42"/>
  <c r="M20" i="42"/>
  <c r="O14" i="44"/>
  <c r="O94" i="42"/>
  <c r="P84" i="42"/>
  <c r="R52" i="42"/>
  <c r="R54" i="42" s="1"/>
  <c r="N31" i="42" l="1"/>
  <c r="L20" i="42"/>
  <c r="K21" i="2"/>
  <c r="L30" i="2"/>
  <c r="K13" i="42" l="1"/>
  <c r="K26" i="42" s="1"/>
  <c r="K20" i="42"/>
  <c r="K30" i="2"/>
  <c r="J21" i="2"/>
  <c r="J30" i="2" s="1"/>
  <c r="J13" i="42" l="1"/>
  <c r="J26" i="42" s="1"/>
  <c r="J20" i="42"/>
  <c r="N35" i="42" s="1"/>
  <c r="P40" i="2" l="1"/>
  <c r="O63" i="42" l="1"/>
  <c r="O67" i="42" s="1"/>
  <c r="O68" i="42" s="1" a="1"/>
  <c r="O68" i="42" s="1"/>
  <c r="P45" i="2"/>
  <c r="W45" i="2" s="1"/>
  <c r="T1" i="2" s="1"/>
  <c r="G13" i="16" s="1"/>
  <c r="R68" i="42" l="1" a="1"/>
  <c r="R68" i="42" s="1"/>
  <c r="S68" i="42" a="1"/>
  <c r="S68" i="42" s="1"/>
  <c r="Q68" i="42" a="1"/>
  <c r="Q68" i="42" s="1"/>
  <c r="P68" i="42" a="1"/>
  <c r="P68" i="42" s="1"/>
  <c r="L47" i="58"/>
  <c r="L12" i="42" l="1"/>
  <c r="L13" i="42" s="1"/>
  <c r="L26" i="42" s="1"/>
  <c r="M47" i="58"/>
  <c r="M12" i="42" l="1"/>
  <c r="M13" i="42" s="1"/>
  <c r="M26" i="42" s="1"/>
  <c r="N33" i="42" l="1"/>
  <c r="N40" i="42" l="1"/>
  <c r="N41" i="42" s="1"/>
  <c r="N52" i="42" l="1"/>
  <c r="N54" i="42" s="1"/>
  <c r="R100" i="42" l="1"/>
  <c r="R13" i="44" s="1"/>
  <c r="S100" i="42"/>
  <c r="S13" i="44" s="1"/>
  <c r="O100" i="42"/>
  <c r="O13" i="44" s="1"/>
  <c r="P101" i="42"/>
  <c r="P100" i="42"/>
  <c r="P13" i="44" s="1"/>
  <c r="Q101" i="42"/>
  <c r="R101" i="42"/>
  <c r="Q100" i="42"/>
  <c r="Q13" i="44" s="1"/>
  <c r="O101" i="42"/>
  <c r="S101" i="42"/>
  <c r="O38" i="53" l="1"/>
  <c r="O40" i="53" l="1"/>
  <c r="O102" i="42"/>
  <c r="P38" i="53" l="1"/>
  <c r="P102" i="42" l="1"/>
  <c r="P40" i="53"/>
  <c r="Q38" i="53"/>
  <c r="R38" i="53" l="1"/>
  <c r="Q102" i="42"/>
  <c r="Q40" i="53"/>
  <c r="R102" i="42" l="1"/>
  <c r="R40" i="53"/>
  <c r="S38" i="53"/>
  <c r="S40" i="53" l="1"/>
  <c r="W40" i="53" s="1"/>
  <c r="S1" i="53" s="1"/>
  <c r="G14" i="16" s="1"/>
  <c r="S1" i="16" s="1"/>
  <c r="S102" i="42"/>
  <c r="W1" i="2" l="1"/>
  <c r="V1" i="58"/>
  <c r="V1" i="42"/>
  <c r="V1" i="4"/>
  <c r="V1" i="54"/>
  <c r="V1" i="44"/>
  <c r="V1" i="53"/>
  <c r="W1" i="55"/>
</calcChain>
</file>

<file path=xl/sharedStrings.xml><?xml version="1.0" encoding="utf-8"?>
<sst xmlns="http://schemas.openxmlformats.org/spreadsheetml/2006/main" count="706" uniqueCount="215">
  <si>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</si>
  <si>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</si>
  <si>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</si>
  <si>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</si>
  <si>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</si>
  <si>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</si>
  <si>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</si>
  <si>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</si>
  <si>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</si>
  <si>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</si>
  <si>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</si>
  <si>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</si>
  <si>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</si>
  <si>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</si>
  <si>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</si>
  <si>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</si>
  <si>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</si>
  <si>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</si>
  <si>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</si>
  <si>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</si>
  <si>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</si>
  <si>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</si>
  <si>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</si>
  <si>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</si>
  <si>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</si>
  <si>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</si>
  <si>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</si>
  <si>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</si>
  <si>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</si>
  <si>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</si>
  <si>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</si>
  <si>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</si>
  <si>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</si>
  <si>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</si>
  <si>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</si>
  <si>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</si>
  <si>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</si>
  <si>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</si>
  <si>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</si>
  <si>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</si>
  <si>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</si>
  <si>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</si>
  <si>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</si>
  <si>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</si>
  <si>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</si>
  <si>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</si>
  <si>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</si>
  <si>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</si>
  <si>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</si>
  <si>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</si>
  <si>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</si>
  <si>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</si>
  <si>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</si>
  <si>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</si>
  <si>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</si>
  <si>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</si>
  <si>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</si>
  <si>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</si>
  <si>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</si>
  <si>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</si>
  <si>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</si>
  <si>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</si>
  <si>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</si>
  <si>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</si>
  <si>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</si>
  <si>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</si>
  <si>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</si>
  <si>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</si>
  <si>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</si>
  <si>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</si>
  <si>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</si>
  <si>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</si>
  <si>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</si>
  <si>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</si>
  <si>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</si>
  <si>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</si>
  <si>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</si>
  <si>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</si>
  <si>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</si>
  <si>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</si>
  <si>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</si>
  <si>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</si>
  <si>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</si>
  <si>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</si>
  <si>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</si>
  <si>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</si>
  <si>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</si>
  <si>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</si>
  <si>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</si>
  <si>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</si>
  <si>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</si>
  <si>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</si>
  <si>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</si>
  <si>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</si>
  <si>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</si>
  <si>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</si>
  <si>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</si>
  <si>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</si>
  <si>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</si>
  <si>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</si>
  <si>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</si>
  <si>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</si>
  <si>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</si>
  <si>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</si>
  <si>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</si>
  <si>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</si>
  <si>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</si>
  <si>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</si>
  <si>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</si>
  <si>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</si>
  <si>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</si>
  <si>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</si>
  <si>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</si>
  <si>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</si>
  <si>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</si>
  <si>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</si>
  <si>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</si>
  <si>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</si>
  <si>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</si>
  <si>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</si>
  <si>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</si>
  <si>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</si>
  <si>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</si>
  <si>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</si>
  <si>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</si>
  <si>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</si>
  <si>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</si>
  <si>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</si>
  <si>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</si>
  <si>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</si>
  <si>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</si>
  <si>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</si>
  <si>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</si>
  <si>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</si>
  <si>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</si>
  <si>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</si>
  <si>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</si>
  <si>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</si>
  <si>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</si>
  <si>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</si>
  <si>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</si>
  <si>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</si>
  <si>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</si>
  <si>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</si>
  <si>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</si>
  <si>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</si>
  <si>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</si>
  <si>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</si>
  <si>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</si>
  <si>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</si>
  <si>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</si>
  <si>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</si>
  <si>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</si>
  <si>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</si>
  <si>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</si>
  <si>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</si>
  <si>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</si>
  <si>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</si>
  <si>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</si>
  <si>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</si>
  <si>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</si>
  <si>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</si>
  <si>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</si>
  <si>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</si>
  <si>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</si>
  <si>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</si>
  <si>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</si>
  <si>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</si>
  <si>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</si>
  <si>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</si>
  <si>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</si>
  <si>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</si>
  <si>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</si>
  <si>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Output weights</t>
  </si>
  <si>
    <t>SFA CD</t>
  </si>
  <si>
    <t>LSE CD</t>
  </si>
  <si>
    <t>LSE TLG</t>
  </si>
  <si>
    <t>Forecast output growth</t>
  </si>
  <si>
    <t>These inputs should be entered as positive values.</t>
  </si>
  <si>
    <t>DMIA/DMIS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</si>
  <si>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</si>
  <si>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</si>
  <si>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</si>
  <si>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</si>
  <si>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</si>
  <si>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</si>
  <si>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</si>
  <si>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</si>
  <si>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AER opex model v1.8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</si>
  <si>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</si>
  <si>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</si>
  <si>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</si>
  <si>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</si>
  <si>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Network support costs (for TNSPs)</t>
  </si>
  <si>
    <t>SFA TLG</t>
  </si>
  <si>
    <t>Input | Rate of change</t>
  </si>
  <si>
    <t>Calc | Opex Forecast</t>
  </si>
  <si>
    <t>Output | Models</t>
  </si>
  <si>
    <t>ABS, Consumer Price Index, Australia, Jun 2019</t>
  </si>
  <si>
    <t>ABS, Consumer Price Index, Australia, Sep 2019</t>
  </si>
  <si>
    <t>ABS, Consumer Price Index, Australia, Dec 2019</t>
  </si>
  <si>
    <t>ABS, Consumer Price Index, Australia, Mar 2020</t>
  </si>
  <si>
    <t>RBA statement of monetary policy inflation forecast,  May 2020, Appendix</t>
  </si>
  <si>
    <t>draft</t>
  </si>
  <si>
    <t>ESO Levy Removal</t>
  </si>
  <si>
    <t>Property Leases Removal (SCS Opex portion only)</t>
  </si>
  <si>
    <t>Adjustment 3</t>
  </si>
  <si>
    <t>Superannuation guarantee increases</t>
  </si>
  <si>
    <t>WPI - average + super guarantee increases</t>
  </si>
  <si>
    <t>Movement in Provision - Opex</t>
  </si>
  <si>
    <t>Ergon Energy</t>
  </si>
  <si>
    <t>WPI – Oxford Economics</t>
  </si>
  <si>
    <t>WPI – KPMG</t>
  </si>
  <si>
    <t>WPI - average of Oxford Economics and KPMG</t>
  </si>
  <si>
    <t>Smart Meter Data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</si>
</sst>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_-* ##\ ##0.00_-;\-* ##\ ##0.00_-;_-* &quot;-&quot;??_-;_-@_-"/>
    <numFmt numFmtId="204" formatCode="mmmm"/>
    <numFmt numFmtId="205" formatCode="mmm\ yyyy"/>
    <numFmt numFmtId="206" formatCode="0.00_ ;\-0.00\ "/>
    <numFmt numFmtId="207" formatCode="0_ ;\-0\ "/>
    <numFmt numFmtId="208" formatCode="0.00%;\(0.00%\);\-"/>
    <numFmt numFmtId="209" formatCode="0.000%"/>
    <numFmt numFmtId="210" formatCode="_-* ###\ ##0.00_-;\-* ###\ ##0.00_-;_-* &quot;-&quot;??_-;_-@_-"/>
  </numFmts>
  <fonts count="8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64">
    <xf numFmtId="0" fontId="0" fillId="0" borderId="0"/>
    <xf numFmtId="170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71" fontId="12" fillId="0" borderId="5">
      <alignment horizontal="right" vertical="center"/>
      <protection locked="0"/>
    </xf>
    <xf numFmtId="167" fontId="10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2" fillId="0" borderId="0"/>
    <xf numFmtId="178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16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65" fontId="19" fillId="4" borderId="0" applyNumberFormat="0" applyFont="0" applyBorder="0" applyAlignment="0">
      <alignment horizontal="right"/>
    </xf>
    <xf numFmtId="165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165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80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2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65" fontId="19" fillId="36" borderId="0" applyFont="0" applyBorder="0" applyAlignment="0">
      <alignment horizontal="right"/>
      <protection locked="0"/>
    </xf>
    <xf numFmtId="165" fontId="19" fillId="36" borderId="0" applyFont="0" applyBorder="0" applyAlignment="0">
      <alignment horizontal="right"/>
      <protection locked="0"/>
    </xf>
    <xf numFmtId="183" fontId="19" fillId="6" borderId="0" applyFont="0" applyBorder="0">
      <alignment horizontal="right"/>
      <protection locked="0"/>
    </xf>
    <xf numFmtId="183" fontId="19" fillId="6" borderId="0" applyFont="0" applyBorder="0">
      <alignment horizontal="right"/>
      <protection locked="0"/>
    </xf>
    <xf numFmtId="165" fontId="19" fillId="10" borderId="0" applyFont="0" applyBorder="0">
      <alignment horizontal="right"/>
      <protection locked="0"/>
    </xf>
    <xf numFmtId="165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4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5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6" fontId="19" fillId="0" borderId="0" applyFill="0" applyBorder="0"/>
    <xf numFmtId="186" fontId="19" fillId="0" borderId="0" applyFill="0" applyBorder="0"/>
    <xf numFmtId="186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2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7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8" fontId="19" fillId="0" borderId="0"/>
    <xf numFmtId="188" fontId="19" fillId="0" borderId="0"/>
    <xf numFmtId="188" fontId="19" fillId="0" borderId="0"/>
    <xf numFmtId="189" fontId="12" fillId="0" borderId="0" applyFill="0" applyBorder="0">
      <alignment horizontal="right" vertical="center"/>
    </xf>
    <xf numFmtId="190" fontId="12" fillId="0" borderId="0" applyFill="0" applyBorder="0">
      <alignment horizontal="right" vertical="center"/>
    </xf>
    <xf numFmtId="191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4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2" fontId="19" fillId="0" borderId="7" applyBorder="0" applyProtection="0">
      <alignment horizontal="right"/>
    </xf>
    <xf numFmtId="192" fontId="19" fillId="0" borderId="7" applyBorder="0" applyProtection="0">
      <alignment horizontal="right"/>
    </xf>
    <xf numFmtId="192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3" fillId="42" borderId="0"/>
    <xf numFmtId="202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</cellStyleXfs>
  <cellXfs count="23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8" fontId="3" fillId="3" borderId="0" xfId="0" applyNumberFormat="1" applyFont="1" applyFill="1"/>
    <xf numFmtId="168" fontId="4" fillId="0" borderId="0" xfId="0" applyNumberFormat="1" applyFont="1"/>
    <xf numFmtId="168" fontId="3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8" fontId="9" fillId="0" borderId="0" xfId="0" applyNumberFormat="1" applyFont="1"/>
    <xf numFmtId="168" fontId="5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left" indent="1"/>
    </xf>
    <xf numFmtId="168" fontId="4" fillId="0" borderId="0" xfId="0" applyNumberFormat="1" applyFont="1" applyAlignment="1">
      <alignment horizontal="center"/>
    </xf>
    <xf numFmtId="168" fontId="0" fillId="0" borderId="0" xfId="0" applyNumberFormat="1"/>
    <xf numFmtId="167" fontId="9" fillId="0" borderId="6" xfId="0" applyNumberFormat="1" applyFont="1" applyBorder="1" applyAlignment="1">
      <alignment horizontal="center"/>
    </xf>
    <xf numFmtId="168" fontId="14" fillId="0" borderId="0" xfId="3" applyNumberFormat="1" applyFont="1" applyAlignment="1" applyProtection="1"/>
    <xf numFmtId="168" fontId="4" fillId="3" borderId="0" xfId="0" applyNumberFormat="1" applyFont="1" applyFill="1"/>
    <xf numFmtId="168" fontId="15" fillId="0" borderId="0" xfId="0" applyNumberFormat="1" applyFont="1" applyAlignment="1">
      <alignment horizontal="center"/>
    </xf>
    <xf numFmtId="173" fontId="12" fillId="0" borderId="0" xfId="5" applyNumberFormat="1" applyFont="1" applyFill="1" applyBorder="1" applyAlignment="1" applyProtection="1">
      <alignment horizontal="center" vertical="center"/>
    </xf>
    <xf numFmtId="174" fontId="9" fillId="0" borderId="0" xfId="5" applyNumberFormat="1" applyFont="1" applyFill="1" applyBorder="1" applyAlignment="1" applyProtection="1">
      <alignment horizontal="center" vertical="center"/>
    </xf>
    <xf numFmtId="174" fontId="17" fillId="0" borderId="0" xfId="5" applyNumberFormat="1" applyFont="1" applyFill="1" applyBorder="1" applyAlignment="1" applyProtection="1">
      <alignment horizontal="center" vertical="center"/>
    </xf>
    <xf numFmtId="175" fontId="3" fillId="0" borderId="0" xfId="0" applyNumberFormat="1" applyFont="1"/>
    <xf numFmtId="177" fontId="12" fillId="0" borderId="0" xfId="5" applyNumberFormat="1" applyFont="1" applyFill="1" applyBorder="1" applyAlignment="1" applyProtection="1">
      <alignment horizontal="center" vertical="center"/>
    </xf>
    <xf numFmtId="168" fontId="3" fillId="3" borderId="0" xfId="0" applyNumberFormat="1" applyFont="1" applyFill="1" applyProtection="1"/>
    <xf numFmtId="168" fontId="4" fillId="3" borderId="0" xfId="0" applyNumberFormat="1" applyFont="1" applyFill="1" applyAlignment="1" applyProtection="1">
      <alignment horizontal="center"/>
    </xf>
    <xf numFmtId="168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/>
    </xf>
    <xf numFmtId="168" fontId="9" fillId="0" borderId="0" xfId="0" applyNumberFormat="1" applyFont="1" applyProtection="1"/>
    <xf numFmtId="168" fontId="15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center"/>
    </xf>
    <xf numFmtId="168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7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9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8" fontId="15" fillId="0" borderId="0" xfId="0" applyNumberFormat="1" applyFont="1" applyAlignment="1" applyProtection="1">
      <alignment horizontal="center" wrapText="1"/>
    </xf>
    <xf numFmtId="193" fontId="3" fillId="41" borderId="3" xfId="0" applyNumberFormat="1" applyFont="1" applyFill="1" applyBorder="1" applyAlignment="1" applyProtection="1">
      <alignment horizontal="center"/>
      <protection locked="0"/>
    </xf>
    <xf numFmtId="197" fontId="3" fillId="0" borderId="0" xfId="0" applyNumberFormat="1" applyFont="1" applyAlignment="1" applyProtection="1">
      <alignment horizontal="left"/>
    </xf>
    <xf numFmtId="195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 wrapText="1"/>
    </xf>
    <xf numFmtId="168" fontId="5" fillId="0" borderId="0" xfId="0" applyNumberFormat="1" applyFont="1" applyProtection="1"/>
    <xf numFmtId="168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167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166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6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5" fillId="0" borderId="0" xfId="0" applyNumberFormat="1" applyFont="1" applyFill="1" applyBorder="1" applyProtection="1"/>
    <xf numFmtId="168" fontId="4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Border="1" applyAlignment="1" applyProtection="1">
      <alignment horizontal="left" indent="1"/>
    </xf>
    <xf numFmtId="168" fontId="3" fillId="0" borderId="0" xfId="0" applyNumberFormat="1" applyFont="1" applyAlignment="1" applyProtection="1">
      <alignment horizontal="center"/>
    </xf>
    <xf numFmtId="168" fontId="14" fillId="0" borderId="0" xfId="3" applyNumberFormat="1" applyFont="1" applyFill="1" applyAlignment="1" applyProtection="1">
      <alignment horizontal="center"/>
    </xf>
    <xf numFmtId="198" fontId="3" fillId="0" borderId="0" xfId="0" applyNumberFormat="1" applyFont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Alignment="1" applyProtection="1">
      <alignment horizontal="left" indent="1"/>
    </xf>
    <xf numFmtId="168" fontId="4" fillId="0" borderId="7" xfId="0" applyNumberFormat="1" applyFont="1" applyBorder="1" applyAlignment="1" applyProtection="1">
      <alignment horizontal="center"/>
    </xf>
    <xf numFmtId="168" fontId="5" fillId="0" borderId="8" xfId="0" applyNumberFormat="1" applyFont="1" applyBorder="1" applyAlignment="1" applyProtection="1">
      <alignment horizontal="left" indent="1"/>
    </xf>
    <xf numFmtId="168" fontId="4" fillId="0" borderId="8" xfId="0" applyNumberFormat="1" applyFont="1" applyBorder="1" applyAlignment="1" applyProtection="1">
      <alignment horizontal="center"/>
    </xf>
    <xf numFmtId="198" fontId="5" fillId="0" borderId="0" xfId="0" applyNumberFormat="1" applyFont="1" applyAlignment="1" applyProtection="1">
      <alignment horizontal="center"/>
    </xf>
    <xf numFmtId="168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8" fontId="5" fillId="0" borderId="8" xfId="0" applyNumberFormat="1" applyFont="1" applyBorder="1" applyProtection="1"/>
    <xf numFmtId="176" fontId="3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Fill="1" applyAlignment="1" applyProtection="1">
      <alignment horizontal="left" indent="2"/>
    </xf>
    <xf numFmtId="168" fontId="15" fillId="0" borderId="8" xfId="0" applyNumberFormat="1" applyFont="1" applyBorder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Border="1" applyProtection="1"/>
    <xf numFmtId="195" fontId="5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201" fontId="3" fillId="0" borderId="0" xfId="0" applyNumberFormat="1" applyFont="1" applyAlignment="1" applyProtection="1">
      <alignment horizontal="center"/>
    </xf>
    <xf numFmtId="201" fontId="5" fillId="0" borderId="0" xfId="0" applyNumberFormat="1" applyFont="1" applyAlignment="1" applyProtection="1">
      <alignment horizontal="center"/>
    </xf>
    <xf numFmtId="199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167" fontId="9" fillId="0" borderId="3" xfId="0" applyNumberFormat="1" applyFont="1" applyBorder="1" applyAlignment="1" applyProtection="1">
      <alignment horizontal="center"/>
    </xf>
    <xf numFmtId="167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8" fontId="5" fillId="0" borderId="7" xfId="0" applyNumberFormat="1" applyFont="1" applyBorder="1" applyProtection="1"/>
    <xf numFmtId="168" fontId="3" fillId="0" borderId="7" xfId="0" applyNumberFormat="1" applyFont="1" applyBorder="1" applyProtection="1"/>
    <xf numFmtId="168" fontId="5" fillId="0" borderId="4" xfId="0" applyNumberFormat="1" applyFont="1" applyBorder="1" applyAlignment="1" applyProtection="1">
      <alignment horizontal="left"/>
    </xf>
    <xf numFmtId="168" fontId="4" fillId="0" borderId="4" xfId="0" applyNumberFormat="1" applyFont="1" applyBorder="1" applyAlignment="1" applyProtection="1">
      <alignment horizontal="center"/>
    </xf>
    <xf numFmtId="167" fontId="3" fillId="0" borderId="0" xfId="0" applyNumberFormat="1" applyFont="1" applyProtection="1"/>
    <xf numFmtId="168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8" fontId="4" fillId="0" borderId="0" xfId="6" applyNumberFormat="1" applyFont="1" applyAlignment="1" applyProtection="1">
      <alignment horizontal="center"/>
    </xf>
    <xf numFmtId="172" fontId="12" fillId="0" borderId="0" xfId="2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Protection="1"/>
    <xf numFmtId="168" fontId="3" fillId="0" borderId="0" xfId="0" applyNumberFormat="1" applyFont="1" applyAlignment="1" applyProtection="1">
      <alignment horizontal="left"/>
    </xf>
    <xf numFmtId="194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6" fontId="4" fillId="41" borderId="3" xfId="2" applyNumberFormat="1" applyFont="1" applyFill="1" applyBorder="1" applyAlignment="1" applyProtection="1">
      <alignment horizontal="center"/>
      <protection locked="0"/>
    </xf>
    <xf numFmtId="200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Protection="1">
      <protection locked="0"/>
    </xf>
    <xf numFmtId="203" fontId="5" fillId="0" borderId="0" xfId="0" applyNumberFormat="1" applyFont="1" applyAlignment="1" applyProtection="1">
      <alignment horizontal="center"/>
    </xf>
    <xf numFmtId="204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5" fontId="71" fillId="39" borderId="4" xfId="0" applyNumberFormat="1" applyFont="1" applyFill="1" applyBorder="1" applyAlignment="1" applyProtection="1">
      <alignment horizontal="center" wrapText="1"/>
    </xf>
    <xf numFmtId="205" fontId="88" fillId="38" borderId="2" xfId="0" applyNumberFormat="1" applyFont="1" applyFill="1" applyBorder="1" applyAlignment="1" applyProtection="1">
      <alignment horizontal="center"/>
    </xf>
    <xf numFmtId="205" fontId="71" fillId="38" borderId="2" xfId="0" applyNumberFormat="1" applyFont="1" applyFill="1" applyBorder="1" applyAlignment="1" applyProtection="1">
      <alignment horizontal="left"/>
    </xf>
    <xf numFmtId="205" fontId="5" fillId="0" borderId="7" xfId="0" applyNumberFormat="1" applyFont="1" applyBorder="1" applyAlignment="1" applyProtection="1">
      <alignment horizontal="center"/>
    </xf>
    <xf numFmtId="205" fontId="3" fillId="0" borderId="0" xfId="0" applyNumberFormat="1" applyFont="1" applyAlignment="1">
      <alignment horizontal="left" indent="1"/>
    </xf>
    <xf numFmtId="205" fontId="4" fillId="0" borderId="0" xfId="0" applyNumberFormat="1" applyFont="1" applyAlignment="1" applyProtection="1">
      <alignment horizontal="center"/>
    </xf>
    <xf numFmtId="205" fontId="4" fillId="41" borderId="22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Fill="1" applyBorder="1" applyProtection="1"/>
    <xf numFmtId="205" fontId="3" fillId="0" borderId="0" xfId="0" applyNumberFormat="1" applyFont="1" applyAlignment="1" applyProtection="1">
      <alignment horizontal="left" indent="1"/>
    </xf>
    <xf numFmtId="168" fontId="11" fillId="0" borderId="0" xfId="3" applyNumberFormat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6" fontId="3" fillId="0" borderId="0" xfId="2" applyNumberFormat="1" applyFont="1" applyFill="1" applyBorder="1" applyAlignment="1" applyProtection="1">
      <alignment horizontal="center"/>
      <protection locked="0"/>
    </xf>
    <xf numFmtId="205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7" xfId="0" applyNumberFormat="1" applyFont="1" applyFill="1" applyBorder="1" applyAlignment="1" applyProtection="1"/>
    <xf numFmtId="168" fontId="3" fillId="0" borderId="0" xfId="0" applyNumberFormat="1" applyFont="1" applyBorder="1" applyAlignment="1" applyProtection="1">
      <alignment horizontal="center"/>
    </xf>
    <xf numFmtId="205" fontId="15" fillId="0" borderId="0" xfId="0" applyNumberFormat="1" applyFont="1" applyAlignment="1" applyProtection="1">
      <alignment horizontal="center"/>
    </xf>
    <xf numFmtId="201" fontId="3" fillId="0" borderId="0" xfId="0" applyNumberFormat="1" applyFont="1" applyBorder="1" applyAlignment="1" applyProtection="1">
      <alignment horizontal="center"/>
    </xf>
    <xf numFmtId="201" fontId="5" fillId="0" borderId="0" xfId="0" applyNumberFormat="1" applyFont="1" applyBorder="1" applyAlignment="1" applyProtection="1">
      <alignment horizontal="center"/>
    </xf>
    <xf numFmtId="198" fontId="5" fillId="0" borderId="0" xfId="0" applyNumberFormat="1" applyFont="1" applyBorder="1" applyAlignment="1" applyProtection="1">
      <alignment horizontal="center"/>
    </xf>
    <xf numFmtId="168" fontId="5" fillId="0" borderId="7" xfId="0" applyNumberFormat="1" applyFont="1" applyBorder="1" applyAlignment="1" applyProtection="1">
      <alignment horizontal="left" indent="1"/>
    </xf>
    <xf numFmtId="205" fontId="4" fillId="0" borderId="7" xfId="0" applyNumberFormat="1" applyFont="1" applyBorder="1" applyAlignment="1" applyProtection="1">
      <alignment horizontal="center"/>
    </xf>
    <xf numFmtId="206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5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5" fontId="3" fillId="0" borderId="0" xfId="0" applyNumberFormat="1" applyFont="1" applyProtection="1">
      <protection locked="0"/>
    </xf>
    <xf numFmtId="195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5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2" fontId="3" fillId="0" borderId="0" xfId="2" applyNumberFormat="1" applyFont="1" applyAlignment="1" applyProtection="1">
      <alignment horizontal="center"/>
      <protection locked="0"/>
    </xf>
    <xf numFmtId="174" fontId="9" fillId="0" borderId="0" xfId="5" applyNumberFormat="1" applyFont="1" applyFill="1" applyBorder="1" applyAlignment="1" applyProtection="1">
      <alignment horizontal="center" vertical="center"/>
      <protection locked="0"/>
    </xf>
    <xf numFmtId="168" fontId="12" fillId="0" borderId="0" xfId="5" applyNumberFormat="1" applyFont="1" applyFill="1" applyBorder="1" applyAlignment="1" applyProtection="1">
      <alignment horizontal="center" vertical="center"/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168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5" fontId="3" fillId="0" borderId="0" xfId="2" applyNumberFormat="1" applyFont="1" applyFill="1" applyBorder="1" applyAlignment="1" applyProtection="1">
      <alignment horizontal="center"/>
      <protection locked="0"/>
    </xf>
    <xf numFmtId="168" fontId="15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82" fontId="3" fillId="0" borderId="0" xfId="2" applyNumberFormat="1" applyFont="1" applyFill="1" applyBorder="1" applyAlignment="1" applyProtection="1">
      <alignment horizontal="center"/>
      <protection locked="0"/>
    </xf>
    <xf numFmtId="205" fontId="4" fillId="0" borderId="22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205" fontId="16" fillId="8" borderId="9" xfId="0" applyNumberFormat="1" applyFont="1" applyFill="1" applyBorder="1" applyAlignment="1" applyProtection="1">
      <alignment horizontal="center"/>
      <protection locked="0"/>
    </xf>
    <xf numFmtId="207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10" fontId="3" fillId="0" borderId="0" xfId="2" applyNumberFormat="1" applyFont="1" applyProtection="1">
      <protection locked="0"/>
    </xf>
    <xf numFmtId="205" fontId="12" fillId="8" borderId="9" xfId="0" applyNumberFormat="1" applyFont="1" applyFill="1" applyBorder="1" applyAlignment="1" applyProtection="1">
      <alignment horizontal="center"/>
      <protection locked="0"/>
    </xf>
    <xf numFmtId="194" fontId="5" fillId="8" borderId="2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05" fontId="3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/>
    </xf>
    <xf numFmtId="168" fontId="4" fillId="41" borderId="3" xfId="0" applyNumberFormat="1" applyFont="1" applyFill="1" applyBorder="1" applyAlignment="1" applyProtection="1">
      <alignment horizontal="center"/>
    </xf>
    <xf numFmtId="205" fontId="4" fillId="41" borderId="3" xfId="0" applyNumberFormat="1" applyFont="1" applyFill="1" applyBorder="1" applyAlignment="1" applyProtection="1">
      <alignment horizontal="center"/>
    </xf>
    <xf numFmtId="0" fontId="69" fillId="38" borderId="0" xfId="3" applyFont="1" applyFill="1" applyBorder="1" applyAlignment="1" applyProtection="1"/>
    <xf numFmtId="0" fontId="3" fillId="41" borderId="3" xfId="0" applyNumberFormat="1" applyFont="1" applyFill="1" applyBorder="1" applyAlignment="1" applyProtection="1">
      <alignment horizontal="left" indent="1"/>
      <protection locked="0"/>
    </xf>
    <xf numFmtId="168" fontId="17" fillId="50" borderId="0" xfId="0" applyNumberFormat="1" applyFont="1" applyFill="1" applyAlignment="1" applyProtection="1">
      <alignment horizontal="center"/>
      <protection locked="0"/>
    </xf>
    <xf numFmtId="10" fontId="17" fillId="41" borderId="3" xfId="2" applyNumberFormat="1" applyFont="1" applyFill="1" applyBorder="1" applyAlignment="1" applyProtection="1">
      <alignment horizontal="center"/>
      <protection locked="0"/>
    </xf>
    <xf numFmtId="2" fontId="17" fillId="0" borderId="0" xfId="0" applyNumberFormat="1" applyFont="1" applyFill="1" applyBorder="1" applyAlignment="1" applyProtection="1">
      <alignment horizontal="center"/>
      <protection locked="0"/>
    </xf>
    <xf numFmtId="208" fontId="12" fillId="41" borderId="3" xfId="2" applyNumberFormat="1" applyFont="1" applyFill="1" applyBorder="1" applyAlignment="1" applyProtection="1">
      <alignment horizontal="center"/>
    </xf>
    <xf numFmtId="209" fontId="12" fillId="41" borderId="3" xfId="2" applyNumberFormat="1" applyFont="1" applyFill="1" applyBorder="1" applyAlignment="1" applyProtection="1">
      <alignment horizontal="center"/>
    </xf>
    <xf numFmtId="10" fontId="12" fillId="41" borderId="26" xfId="2" applyNumberFormat="1" applyFont="1" applyFill="1" applyBorder="1" applyAlignment="1" applyProtection="1">
      <alignment horizontal="center"/>
      <protection locked="0"/>
    </xf>
    <xf numFmtId="193" fontId="3" fillId="0" borderId="3" xfId="0" applyNumberFormat="1" applyFont="1" applyFill="1" applyBorder="1" applyAlignment="1" applyProtection="1">
      <alignment horizontal="center"/>
      <protection locked="0"/>
    </xf>
    <xf numFmtId="10" fontId="3" fillId="0" borderId="0" xfId="2" applyNumberFormat="1" applyFont="1" applyFill="1" applyAlignment="1" applyProtection="1">
      <alignment horizontal="center"/>
    </xf>
    <xf numFmtId="209" fontId="3" fillId="0" borderId="0" xfId="2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210" fontId="5" fillId="0" borderId="0" xfId="0" applyNumberFormat="1" applyFont="1" applyAlignment="1" applyProtection="1">
      <alignment horizontal="center"/>
    </xf>
    <xf numFmtId="193" fontId="0" fillId="39" borderId="4" xfId="0" applyNumberFormat="1" applyFill="1" applyBorder="1" applyAlignment="1" applyProtection="1">
      <alignment wrapText="1"/>
    </xf>
    <xf numFmtId="0" fontId="71" fillId="38" borderId="2" xfId="0" applyNumberFormat="1" applyFont="1" applyFill="1" applyBorder="1" applyAlignment="1" applyProtection="1">
      <alignment horizontal="center"/>
    </xf>
  </cellXfs>
  <cellStyles count="264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2" xfId="8" xr:uid="{00000000-0005-0000-0000-000044000000}"/>
    <cellStyle name="Comma 2 2" xfId="73" xr:uid="{00000000-0005-0000-0000-000045000000}"/>
    <cellStyle name="Comma 2 3" xfId="74" xr:uid="{00000000-0005-0000-0000-000046000000}"/>
    <cellStyle name="Comma 2 3 2" xfId="75" xr:uid="{00000000-0005-0000-0000-000047000000}"/>
    <cellStyle name="Comma 2 4" xfId="76" xr:uid="{00000000-0005-0000-0000-000048000000}"/>
    <cellStyle name="Comma 2 5" xfId="77" xr:uid="{00000000-0005-0000-0000-000049000000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4" xfId="81" xr:uid="{00000000-0005-0000-0000-00004D000000}"/>
    <cellStyle name="Comma 5" xfId="82" xr:uid="{00000000-0005-0000-0000-00004E000000}"/>
    <cellStyle name="Comma 6" xfId="83" xr:uid="{00000000-0005-0000-0000-00004F000000}"/>
    <cellStyle name="Comma 7" xfId="84" xr:uid="{00000000-0005-0000-0000-000050000000}"/>
    <cellStyle name="Comma 8" xfId="85" xr:uid="{00000000-0005-0000-0000-000051000000}"/>
    <cellStyle name="Comma0" xfId="86" xr:uid="{00000000-0005-0000-0000-000052000000}"/>
    <cellStyle name="Currency 11" xfId="87" xr:uid="{00000000-0005-0000-0000-000053000000}"/>
    <cellStyle name="Currency 11 2" xfId="88" xr:uid="{00000000-0005-0000-0000-000054000000}"/>
    <cellStyle name="Currency 2" xfId="89" xr:uid="{00000000-0005-0000-0000-000055000000}"/>
    <cellStyle name="Currency 2 2" xfId="90" xr:uid="{00000000-0005-0000-0000-000056000000}"/>
    <cellStyle name="Currency 3" xfId="91" xr:uid="{00000000-0005-0000-0000-000057000000}"/>
    <cellStyle name="Currency 3 2" xfId="92" xr:uid="{00000000-0005-0000-0000-000058000000}"/>
    <cellStyle name="Currency 4" xfId="93" xr:uid="{00000000-0005-0000-0000-000059000000}"/>
    <cellStyle name="Currency 4 2" xfId="94" xr:uid="{00000000-0005-0000-0000-00005A000000}"/>
    <cellStyle name="Currency 5" xfId="243" xr:uid="{00000000-0005-0000-0000-00005B000000}"/>
    <cellStyle name="D4_B8B1_005004B79812_.wvu.PrintTitlest" xfId="95" xr:uid="{00000000-0005-0000-0000-00005C000000}"/>
    <cellStyle name="Date" xfId="96" xr:uid="{00000000-0005-0000-0000-00005D000000}"/>
    <cellStyle name="Date 2" xfId="97" xr:uid="{00000000-0005-0000-0000-00005E000000}"/>
    <cellStyle name="Emphasis 1" xfId="98" xr:uid="{00000000-0005-0000-0000-00005F000000}"/>
    <cellStyle name="Emphasis 2" xfId="99" xr:uid="{00000000-0005-0000-0000-000060000000}"/>
    <cellStyle name="Emphasis 3" xfId="100" xr:uid="{00000000-0005-0000-0000-000061000000}"/>
    <cellStyle name="Empty_Cell" xfId="247" xr:uid="{00000000-0005-0000-0000-000062000000}"/>
    <cellStyle name="Euro" xfId="101" xr:uid="{00000000-0005-0000-0000-000063000000}"/>
    <cellStyle name="Explanatory Text 2" xfId="102" xr:uid="{00000000-0005-0000-0000-000064000000}"/>
    <cellStyle name="Fixed" xfId="103" xr:uid="{00000000-0005-0000-0000-000065000000}"/>
    <cellStyle name="Fixed 2" xfId="104" xr:uid="{00000000-0005-0000-0000-000066000000}"/>
    <cellStyle name="Gilsans" xfId="105" xr:uid="{00000000-0005-0000-0000-000067000000}"/>
    <cellStyle name="Gilsansl" xfId="106" xr:uid="{00000000-0005-0000-0000-000068000000}"/>
    <cellStyle name="Good 2" xfId="107" xr:uid="{00000000-0005-0000-0000-000069000000}"/>
    <cellStyle name="Header1" xfId="248" xr:uid="{00000000-0005-0000-0000-00006A000000}"/>
    <cellStyle name="Header2" xfId="249" xr:uid="{00000000-0005-0000-0000-00006B000000}"/>
    <cellStyle name="Header3" xfId="250" xr:uid="{00000000-0005-0000-0000-00006C000000}"/>
    <cellStyle name="Header4" xfId="251" xr:uid="{00000000-0005-0000-0000-00006D000000}"/>
    <cellStyle name="Header5" xfId="252" xr:uid="{00000000-0005-0000-0000-00006E000000}"/>
    <cellStyle name="Heading 1 2" xfId="108" xr:uid="{00000000-0005-0000-0000-00006F000000}"/>
    <cellStyle name="Heading 1 2 2" xfId="109" xr:uid="{00000000-0005-0000-0000-000070000000}"/>
    <cellStyle name="Heading 1 3" xfId="110" xr:uid="{00000000-0005-0000-0000-000071000000}"/>
    <cellStyle name="Heading 2 2" xfId="111" xr:uid="{00000000-0005-0000-0000-000072000000}"/>
    <cellStyle name="Heading 2 2 2" xfId="112" xr:uid="{00000000-0005-0000-0000-000073000000}"/>
    <cellStyle name="Heading 2 3" xfId="113" xr:uid="{00000000-0005-0000-0000-000074000000}"/>
    <cellStyle name="Heading 3 2" xfId="114" xr:uid="{00000000-0005-0000-0000-000075000000}"/>
    <cellStyle name="Heading 3 2 2" xfId="115" xr:uid="{00000000-0005-0000-0000-000076000000}"/>
    <cellStyle name="Heading 3 3" xfId="116" xr:uid="{00000000-0005-0000-0000-000077000000}"/>
    <cellStyle name="Heading 4 2" xfId="117" xr:uid="{00000000-0005-0000-0000-000078000000}"/>
    <cellStyle name="Heading 4 2 2" xfId="118" xr:uid="{00000000-0005-0000-0000-000079000000}"/>
    <cellStyle name="Heading 4 3" xfId="119" xr:uid="{00000000-0005-0000-0000-00007A000000}"/>
    <cellStyle name="Heading(4)" xfId="120" xr:uid="{00000000-0005-0000-0000-00007B000000}"/>
    <cellStyle name="Hyperlink" xfId="3" builtinId="8"/>
    <cellStyle name="Hyperlink 2" xfId="121" xr:uid="{00000000-0005-0000-0000-00007D000000}"/>
    <cellStyle name="Hyperlink Arrow" xfId="122" xr:uid="{00000000-0005-0000-0000-00007E000000}"/>
    <cellStyle name="Hyperlink Text" xfId="123" xr:uid="{00000000-0005-0000-0000-00007F000000}"/>
    <cellStyle name="Input 2" xfId="124" xr:uid="{00000000-0005-0000-0000-000080000000}"/>
    <cellStyle name="Input|Date" xfId="1" xr:uid="{00000000-0005-0000-0000-000081000000}"/>
    <cellStyle name="Input1" xfId="125" xr:uid="{00000000-0005-0000-0000-000082000000}"/>
    <cellStyle name="Input1 2" xfId="126" xr:uid="{00000000-0005-0000-0000-000083000000}"/>
    <cellStyle name="Input2" xfId="127" xr:uid="{00000000-0005-0000-0000-000084000000}"/>
    <cellStyle name="Input2 2" xfId="128" xr:uid="{00000000-0005-0000-0000-000085000000}"/>
    <cellStyle name="Input3" xfId="129" xr:uid="{00000000-0005-0000-0000-000086000000}"/>
    <cellStyle name="Input3 2" xfId="130" xr:uid="{00000000-0005-0000-0000-000087000000}"/>
    <cellStyle name="Inputs_Divider" xfId="253" xr:uid="{00000000-0005-0000-0000-000088000000}"/>
    <cellStyle name="InSheet" xfId="254" xr:uid="{00000000-0005-0000-0000-000089000000}"/>
    <cellStyle name="Lines" xfId="131" xr:uid="{00000000-0005-0000-0000-00008A000000}"/>
    <cellStyle name="Linked Cell 2" xfId="132" xr:uid="{00000000-0005-0000-0000-00008B000000}"/>
    <cellStyle name="Mine" xfId="133" xr:uid="{00000000-0005-0000-0000-00008C000000}"/>
    <cellStyle name="Model Name" xfId="134" xr:uid="{00000000-0005-0000-0000-00008D000000}"/>
    <cellStyle name="Neutral 2" xfId="135" xr:uid="{00000000-0005-0000-0000-00008E000000}"/>
    <cellStyle name="Normal" xfId="0" builtinId="0"/>
    <cellStyle name="Normal - Style1" xfId="136" xr:uid="{00000000-0005-0000-0000-000090000000}"/>
    <cellStyle name="Normal 10" xfId="241" xr:uid="{00000000-0005-0000-0000-000091000000}"/>
    <cellStyle name="Normal 13" xfId="137" xr:uid="{00000000-0005-0000-0000-000092000000}"/>
    <cellStyle name="Normal 13 2" xfId="7" xr:uid="{00000000-0005-0000-0000-000093000000}"/>
    <cellStyle name="Normal 13_29(d) - Gas extensions -tariffs" xfId="138" xr:uid="{00000000-0005-0000-0000-000094000000}"/>
    <cellStyle name="Normal 15" xfId="139" xr:uid="{00000000-0005-0000-0000-000095000000}"/>
    <cellStyle name="Normal 16" xfId="140" xr:uid="{00000000-0005-0000-0000-000096000000}"/>
    <cellStyle name="Normal 2" xfId="141" xr:uid="{00000000-0005-0000-0000-000097000000}"/>
    <cellStyle name="Normal 2 2" xfId="142" xr:uid="{00000000-0005-0000-0000-000098000000}"/>
    <cellStyle name="Normal 2 2 2" xfId="143" xr:uid="{00000000-0005-0000-0000-000099000000}"/>
    <cellStyle name="Normal 2 3" xfId="144" xr:uid="{00000000-0005-0000-0000-00009A000000}"/>
    <cellStyle name="Normal 2 3 2" xfId="145" xr:uid="{00000000-0005-0000-0000-00009B000000}"/>
    <cellStyle name="Normal 2 3_29(d) - Gas extensions -tariffs" xfId="146" xr:uid="{00000000-0005-0000-0000-00009C000000}"/>
    <cellStyle name="Normal 2 4" xfId="147" xr:uid="{00000000-0005-0000-0000-00009D000000}"/>
    <cellStyle name="Normal 2 5" xfId="148" xr:uid="{00000000-0005-0000-0000-00009E000000}"/>
    <cellStyle name="Normal 2_29(d) - Gas extensions -tariffs" xfId="149" xr:uid="{00000000-0005-0000-0000-00009F000000}"/>
    <cellStyle name="Normal 3" xfId="150" xr:uid="{00000000-0005-0000-0000-0000A0000000}"/>
    <cellStyle name="Normal 3 2" xfId="151" xr:uid="{00000000-0005-0000-0000-0000A1000000}"/>
    <cellStyle name="Normal 3_29(d) - Gas extensions -tariffs" xfId="152" xr:uid="{00000000-0005-0000-0000-0000A2000000}"/>
    <cellStyle name="Normal 38" xfId="153" xr:uid="{00000000-0005-0000-0000-0000A3000000}"/>
    <cellStyle name="Normal 38 2" xfId="154" xr:uid="{00000000-0005-0000-0000-0000A4000000}"/>
    <cellStyle name="Normal 38_29(d) - Gas extensions -tariffs" xfId="155" xr:uid="{00000000-0005-0000-0000-0000A5000000}"/>
    <cellStyle name="Normal 4" xfId="156" xr:uid="{00000000-0005-0000-0000-0000A6000000}"/>
    <cellStyle name="Normal 4 2" xfId="157" xr:uid="{00000000-0005-0000-0000-0000A7000000}"/>
    <cellStyle name="Normal 4 3" xfId="158" xr:uid="{00000000-0005-0000-0000-0000A8000000}"/>
    <cellStyle name="Normal 4_29(d) - Gas extensions -tariffs" xfId="159" xr:uid="{00000000-0005-0000-0000-0000A9000000}"/>
    <cellStyle name="Normal 40" xfId="160" xr:uid="{00000000-0005-0000-0000-0000AA000000}"/>
    <cellStyle name="Normal 40 2" xfId="161" xr:uid="{00000000-0005-0000-0000-0000AB000000}"/>
    <cellStyle name="Normal 40_29(d) - Gas extensions -tariffs" xfId="162" xr:uid="{00000000-0005-0000-0000-0000AC000000}"/>
    <cellStyle name="Normal 5" xfId="163" xr:uid="{00000000-0005-0000-0000-0000AD000000}"/>
    <cellStyle name="Normal 5 2" xfId="164" xr:uid="{00000000-0005-0000-0000-0000AE000000}"/>
    <cellStyle name="Normal 6" xfId="165" xr:uid="{00000000-0005-0000-0000-0000AF000000}"/>
    <cellStyle name="Normal 6 2" xfId="166" xr:uid="{00000000-0005-0000-0000-0000B0000000}"/>
    <cellStyle name="Normal 7" xfId="9" xr:uid="{00000000-0005-0000-0000-0000B1000000}"/>
    <cellStyle name="Normal 7 2" xfId="167" xr:uid="{00000000-0005-0000-0000-0000B2000000}"/>
    <cellStyle name="Normal 8" xfId="168" xr:uid="{00000000-0005-0000-0000-0000B3000000}"/>
    <cellStyle name="Normal 9" xfId="169" xr:uid="{00000000-0005-0000-0000-0000B4000000}"/>
    <cellStyle name="Note 2" xfId="170" xr:uid="{00000000-0005-0000-0000-0000B5000000}"/>
    <cellStyle name="OffSheet" xfId="255" xr:uid="{00000000-0005-0000-0000-0000B6000000}"/>
    <cellStyle name="Output 2" xfId="171" xr:uid="{00000000-0005-0000-0000-0000B7000000}"/>
    <cellStyle name="Percent" xfId="2" builtinId="5"/>
    <cellStyle name="Percent [2]" xfId="172" xr:uid="{00000000-0005-0000-0000-0000B9000000}"/>
    <cellStyle name="Percent [2] 2" xfId="173" xr:uid="{00000000-0005-0000-0000-0000BA000000}"/>
    <cellStyle name="Percent [2]_29(d) - Gas extensions -tariffs" xfId="174" xr:uid="{00000000-0005-0000-0000-0000BB000000}"/>
    <cellStyle name="Percent 2" xfId="4" xr:uid="{00000000-0005-0000-0000-0000BC000000}"/>
    <cellStyle name="Percent 2 2" xfId="175" xr:uid="{00000000-0005-0000-0000-0000BD000000}"/>
    <cellStyle name="Percent 3" xfId="176" xr:uid="{00000000-0005-0000-0000-0000BE000000}"/>
    <cellStyle name="Percent 3 2" xfId="177" xr:uid="{00000000-0005-0000-0000-0000BF000000}"/>
    <cellStyle name="Percent 4" xfId="178" xr:uid="{00000000-0005-0000-0000-0000C0000000}"/>
    <cellStyle name="Percent 5" xfId="242" xr:uid="{00000000-0005-0000-0000-0000C1000000}"/>
    <cellStyle name="Percent 7" xfId="179" xr:uid="{00000000-0005-0000-0000-0000C2000000}"/>
    <cellStyle name="Percentage" xfId="180" xr:uid="{00000000-0005-0000-0000-0000C3000000}"/>
    <cellStyle name="Period Title" xfId="181" xr:uid="{00000000-0005-0000-0000-0000C4000000}"/>
    <cellStyle name="PSChar" xfId="182" xr:uid="{00000000-0005-0000-0000-0000C5000000}"/>
    <cellStyle name="PSDate" xfId="183" xr:uid="{00000000-0005-0000-0000-0000C6000000}"/>
    <cellStyle name="PSDec" xfId="184" xr:uid="{00000000-0005-0000-0000-0000C7000000}"/>
    <cellStyle name="PSDetail" xfId="185" xr:uid="{00000000-0005-0000-0000-0000C8000000}"/>
    <cellStyle name="PSHeading" xfId="186" xr:uid="{00000000-0005-0000-0000-0000C9000000}"/>
    <cellStyle name="PSInt" xfId="187" xr:uid="{00000000-0005-0000-0000-0000CA000000}"/>
    <cellStyle name="PSSpacer" xfId="188" xr:uid="{00000000-0005-0000-0000-0000CB000000}"/>
    <cellStyle name="Ratio" xfId="189" xr:uid="{00000000-0005-0000-0000-0000CC000000}"/>
    <cellStyle name="Ratio 2" xfId="190" xr:uid="{00000000-0005-0000-0000-0000CD000000}"/>
    <cellStyle name="Ratio_29(d) - Gas extensions -tariffs" xfId="191" xr:uid="{00000000-0005-0000-0000-0000CE000000}"/>
    <cellStyle name="Right Date" xfId="192" xr:uid="{00000000-0005-0000-0000-0000CF000000}"/>
    <cellStyle name="Right Number" xfId="193" xr:uid="{00000000-0005-0000-0000-0000D0000000}"/>
    <cellStyle name="Right Year" xfId="194" xr:uid="{00000000-0005-0000-0000-0000D1000000}"/>
    <cellStyle name="SAPError" xfId="195" xr:uid="{00000000-0005-0000-0000-0000D2000000}"/>
    <cellStyle name="SAPError 2" xfId="196" xr:uid="{00000000-0005-0000-0000-0000D3000000}"/>
    <cellStyle name="SAPKey" xfId="197" xr:uid="{00000000-0005-0000-0000-0000D4000000}"/>
    <cellStyle name="SAPKey 2" xfId="198" xr:uid="{00000000-0005-0000-0000-0000D5000000}"/>
    <cellStyle name="SAPLocked" xfId="199" xr:uid="{00000000-0005-0000-0000-0000D6000000}"/>
    <cellStyle name="SAPLocked 2" xfId="200" xr:uid="{00000000-0005-0000-0000-0000D7000000}"/>
    <cellStyle name="SAPOutput" xfId="201" xr:uid="{00000000-0005-0000-0000-0000D8000000}"/>
    <cellStyle name="SAPOutput 2" xfId="202" xr:uid="{00000000-0005-0000-0000-0000D9000000}"/>
    <cellStyle name="SAPSpace" xfId="203" xr:uid="{00000000-0005-0000-0000-0000DA000000}"/>
    <cellStyle name="SAPSpace 2" xfId="204" xr:uid="{00000000-0005-0000-0000-0000DB000000}"/>
    <cellStyle name="SAPText" xfId="205" xr:uid="{00000000-0005-0000-0000-0000DC000000}"/>
    <cellStyle name="SAPText 2" xfId="206" xr:uid="{00000000-0005-0000-0000-0000DD000000}"/>
    <cellStyle name="SAPUnLocked" xfId="207" xr:uid="{00000000-0005-0000-0000-0000DE000000}"/>
    <cellStyle name="SAPUnLocked 2" xfId="208" xr:uid="{00000000-0005-0000-0000-0000DF000000}"/>
    <cellStyle name="Sheet Title" xfId="209" xr:uid="{00000000-0005-0000-0000-0000E0000000}"/>
    <cellStyle name="SheetHeader1" xfId="256" xr:uid="{00000000-0005-0000-0000-0000E1000000}"/>
    <cellStyle name="SheetHeader2" xfId="257" xr:uid="{00000000-0005-0000-0000-0000E2000000}"/>
    <cellStyle name="SheetHeader3" xfId="258" xr:uid="{00000000-0005-0000-0000-0000E3000000}"/>
    <cellStyle name="Style 1" xfId="210" xr:uid="{00000000-0005-0000-0000-0000E4000000}"/>
    <cellStyle name="Style 1 2" xfId="211" xr:uid="{00000000-0005-0000-0000-0000E5000000}"/>
    <cellStyle name="Style 1_29(d) - Gas extensions -tariffs" xfId="212" xr:uid="{00000000-0005-0000-0000-0000E6000000}"/>
    <cellStyle name="Style2" xfId="213" xr:uid="{00000000-0005-0000-0000-0000E7000000}"/>
    <cellStyle name="Style3" xfId="214" xr:uid="{00000000-0005-0000-0000-0000E8000000}"/>
    <cellStyle name="Style4" xfId="215" xr:uid="{00000000-0005-0000-0000-0000E9000000}"/>
    <cellStyle name="Style4 2" xfId="216" xr:uid="{00000000-0005-0000-0000-0000EA000000}"/>
    <cellStyle name="Style4_29(d) - Gas extensions -tariffs" xfId="217" xr:uid="{00000000-0005-0000-0000-0000EB000000}"/>
    <cellStyle name="Style5" xfId="218" xr:uid="{00000000-0005-0000-0000-0000EC000000}"/>
    <cellStyle name="Style5 2" xfId="219" xr:uid="{00000000-0005-0000-0000-0000ED000000}"/>
    <cellStyle name="Style5_29(d) - Gas extensions -tariffs" xfId="220" xr:uid="{00000000-0005-0000-0000-0000EE000000}"/>
    <cellStyle name="Table Head Green" xfId="221" xr:uid="{00000000-0005-0000-0000-0000EF000000}"/>
    <cellStyle name="Table Head_pldt" xfId="222" xr:uid="{00000000-0005-0000-0000-0000F0000000}"/>
    <cellStyle name="Table Source" xfId="223" xr:uid="{00000000-0005-0000-0000-0000F1000000}"/>
    <cellStyle name="Table Units" xfId="224" xr:uid="{00000000-0005-0000-0000-0000F2000000}"/>
    <cellStyle name="Table_Heading" xfId="259" xr:uid="{00000000-0005-0000-0000-0000F3000000}"/>
    <cellStyle name="Technical_Input" xfId="260" xr:uid="{00000000-0005-0000-0000-0000F4000000}"/>
    <cellStyle name="Text" xfId="225" xr:uid="{00000000-0005-0000-0000-0000F5000000}"/>
    <cellStyle name="Text 2" xfId="226" xr:uid="{00000000-0005-0000-0000-0000F6000000}"/>
    <cellStyle name="Text 3" xfId="227" xr:uid="{00000000-0005-0000-0000-0000F7000000}"/>
    <cellStyle name="Text Head 1" xfId="228" xr:uid="{00000000-0005-0000-0000-0000F8000000}"/>
    <cellStyle name="Text Head 2" xfId="229" xr:uid="{00000000-0005-0000-0000-0000F9000000}"/>
    <cellStyle name="Text Indent 2" xfId="230" xr:uid="{00000000-0005-0000-0000-0000FA000000}"/>
    <cellStyle name="Theirs" xfId="231" xr:uid="{00000000-0005-0000-0000-0000FB000000}"/>
    <cellStyle name="Title 2" xfId="232" xr:uid="{00000000-0005-0000-0000-0000FC000000}"/>
    <cellStyle name="TOC 1" xfId="233" xr:uid="{00000000-0005-0000-0000-0000FD000000}"/>
    <cellStyle name="TOC 2" xfId="234" xr:uid="{00000000-0005-0000-0000-0000FE000000}"/>
    <cellStyle name="TOC 3" xfId="235" xr:uid="{00000000-0005-0000-0000-0000FF000000}"/>
    <cellStyle name="Total 2" xfId="236" xr:uid="{00000000-0005-0000-0000-000000010000}"/>
    <cellStyle name="Totals" xfId="261" xr:uid="{00000000-0005-0000-0000-000001010000}"/>
    <cellStyle name="unit" xfId="262" xr:uid="{00000000-0005-0000-0000-000002010000}"/>
    <cellStyle name="User_Input" xfId="263" xr:uid="{00000000-0005-0000-0000-000003010000}"/>
    <cellStyle name="Warning Text 2" xfId="237" xr:uid="{00000000-0005-0000-0000-000004010000}"/>
    <cellStyle name="year" xfId="238" xr:uid="{00000000-0005-0000-0000-000005010000}"/>
    <cellStyle name="year 2" xfId="239" xr:uid="{00000000-0005-0000-0000-000006010000}"/>
    <cellStyle name="year_29(d) - Gas extensions -tariffs" xfId="240" xr:uid="{00000000-0005-0000-0000-000007010000}"/>
  </cellStyles>
  <dxfs count="19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ERG%20PTRM%20Final%20AER%20version.xlsm?8602B1A9" TargetMode="External"/><Relationship Id="rId1" Type="http://schemas.openxmlformats.org/officeDocument/2006/relationships/externalLinkPath" Target="file:///\\8602B1A9\ERG%20PTRM%20Final%20AER%20ver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DMIAM"/>
      <sheetName val="Debt Raising Costs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>
        <row r="340">
          <cell r="G340">
            <v>8.1429632817569217</v>
          </cell>
          <cell r="H340">
            <v>8.3938479665678472</v>
          </cell>
          <cell r="I340">
            <v>8.629844983659682</v>
          </cell>
          <cell r="J340">
            <v>8.8573149358201348</v>
          </cell>
          <cell r="K340">
            <v>9.0822723411426907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9"/>
  <sheetViews>
    <sheetView showGridLines="0" workbookViewId="0">
      <selection activeCell="C14" sqref="C14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188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195</v>
      </c>
      <c r="D10" s="7" t="s">
        <v>189</v>
      </c>
    </row>
    <row r="11" spans="1:47">
      <c r="C11" s="19" t="s">
        <v>60</v>
      </c>
      <c r="D11" s="7" t="s">
        <v>51</v>
      </c>
    </row>
    <row r="12" spans="1:47">
      <c r="C12" s="19" t="s">
        <v>196</v>
      </c>
      <c r="D12" s="7" t="s">
        <v>190</v>
      </c>
    </row>
    <row r="13" spans="1:47">
      <c r="C13" s="19" t="s">
        <v>197</v>
      </c>
      <c r="D13" s="7" t="s">
        <v>191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3"/>
    <row r="34"/>
    <row r="35"/>
    <row r="36"/>
    <row r="37"/>
    <row r="38"/>
    <row r="39"/>
  </sheetData>
  <hyperlinks>
    <hyperlink ref="C12" location="'Calc|Opex forecast_final'!A1" display="Calc | Opex Forecast_final" xr:uid="{00000000-0004-0000-0000-000000000000}"/>
    <hyperlink ref="C7" location="'Input|General'!A1" display="Input | General" xr:uid="{00000000-0004-0000-0000-000001000000}"/>
    <hyperlink ref="C9" location="'Input|Reported opex'!A1" display="Input | Reported opex" xr:uid="{00000000-0004-0000-0000-000002000000}"/>
    <hyperlink ref="C10" location="'Input|Rate of change_final'!A1" display="Input | Rate of change_final" xr:uid="{00000000-0004-0000-0000-000003000000}"/>
    <hyperlink ref="C8" location="'Input|Inflation'!A1" display="Input | Inflation" xr:uid="{00000000-0004-0000-0000-000004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7"/>
  <sheetViews>
    <sheetView showGridLines="0" zoomScaleNormal="100" workbookViewId="0">
      <selection activeCell="L7" sqref="L7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IF(COUNTA($S$5:$S$16)=COUNTIF($S5:$S17,"OK"),"OK","Check")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>
      <c r="C7" s="29" t="s">
        <v>64</v>
      </c>
      <c r="D7" s="30" t="s">
        <v>68</v>
      </c>
      <c r="E7" s="29"/>
      <c r="F7" s="29"/>
      <c r="G7" s="52" t="s">
        <v>210</v>
      </c>
      <c r="H7" s="29"/>
      <c r="I7" s="29"/>
      <c r="S7" s="131" t="str">
        <f>IF(COUNTBLANK($G7),"Check","Ok")</f>
        <v>Ok</v>
      </c>
    </row>
    <row r="8" spans="1:47">
      <c r="C8" s="29" t="s">
        <v>135</v>
      </c>
      <c r="D8" s="30" t="s">
        <v>69</v>
      </c>
      <c r="E8" s="29"/>
      <c r="F8" s="29"/>
      <c r="G8" s="52" t="s">
        <v>203</v>
      </c>
      <c r="H8" s="29"/>
      <c r="I8" s="29"/>
      <c r="S8" s="131" t="str">
        <f>IF(COUNTBLANK($G8),"Check","Ok")</f>
        <v>Ok</v>
      </c>
    </row>
    <row r="9" spans="1:47">
      <c r="C9" s="29" t="s">
        <v>119</v>
      </c>
      <c r="D9" s="30" t="s">
        <v>68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149</v>
      </c>
      <c r="D10" s="30" t="s">
        <v>68</v>
      </c>
      <c r="E10" s="29"/>
      <c r="F10" s="29"/>
      <c r="G10" s="155">
        <v>2021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71</v>
      </c>
      <c r="D11" s="30" t="s">
        <v>68</v>
      </c>
      <c r="E11" s="29"/>
      <c r="F11" s="29"/>
      <c r="G11" s="155">
        <v>2024</v>
      </c>
      <c r="H11" s="29"/>
      <c r="I11" s="29"/>
      <c r="S11" s="131" t="str">
        <f t="shared" si="0"/>
        <v>Ok</v>
      </c>
    </row>
    <row r="12" spans="1:47">
      <c r="C12" s="29" t="s">
        <v>150</v>
      </c>
      <c r="D12" s="30" t="s">
        <v>68</v>
      </c>
      <c r="E12" s="29"/>
      <c r="F12" s="29"/>
      <c r="G12" s="155">
        <v>2025</v>
      </c>
      <c r="H12" s="29"/>
      <c r="I12" s="29"/>
      <c r="S12" s="131" t="str">
        <f t="shared" si="0"/>
        <v>Ok</v>
      </c>
    </row>
    <row r="13" spans="1:47">
      <c r="C13" s="29" t="s">
        <v>65</v>
      </c>
      <c r="D13" s="30" t="s">
        <v>68</v>
      </c>
      <c r="E13" s="29"/>
      <c r="F13" s="29"/>
      <c r="G13" s="155">
        <v>2026</v>
      </c>
      <c r="H13" s="29"/>
      <c r="I13" s="29"/>
      <c r="S13" s="131" t="str">
        <f t="shared" si="0"/>
        <v>Ok</v>
      </c>
    </row>
    <row r="14" spans="1:47">
      <c r="C14" s="29" t="s">
        <v>66</v>
      </c>
      <c r="D14" s="30" t="s">
        <v>68</v>
      </c>
      <c r="E14" s="29"/>
      <c r="F14" s="29"/>
      <c r="G14" s="155">
        <v>2030</v>
      </c>
      <c r="H14" s="29"/>
      <c r="I14" s="29"/>
      <c r="S14" s="131" t="str">
        <f t="shared" si="0"/>
        <v>Ok</v>
      </c>
    </row>
    <row r="15" spans="1:47">
      <c r="C15" s="29" t="s">
        <v>184</v>
      </c>
      <c r="D15" s="30" t="s">
        <v>69</v>
      </c>
      <c r="E15" s="29"/>
      <c r="F15" s="29"/>
      <c r="G15" s="155" t="s">
        <v>107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194" priority="13" operator="equal">
      <formula>"Check"</formula>
    </cfRule>
    <cfRule type="cellIs" dxfId="193" priority="14" operator="equal">
      <formula>"Ok"</formula>
    </cfRule>
  </conditionalFormatting>
  <conditionalFormatting sqref="V1">
    <cfRule type="cellIs" dxfId="192" priority="3" operator="equal">
      <formula>"Check"</formula>
    </cfRule>
    <cfRule type="cellIs" dxfId="191" priority="4" operator="equal">
      <formula>"Ok"</formula>
    </cfRule>
  </conditionalFormatting>
  <conditionalFormatting sqref="S7:S15">
    <cfRule type="cellIs" dxfId="190" priority="5" operator="equal">
      <formula>"Check"</formula>
    </cfRule>
    <cfRule type="cellIs" dxfId="189" priority="6" operator="equal">
      <formula>"Ok"</formula>
    </cfRule>
  </conditionalFormatting>
  <conditionalFormatting sqref="S1">
    <cfRule type="cellIs" dxfId="188" priority="1" operator="equal">
      <formula>"Check"</formula>
    </cfRule>
    <cfRule type="cellIs" dxfId="187" priority="2" operator="equal">
      <formula>"Ok"</formula>
    </cfRule>
  </conditionalFormatting>
  <dataValidations count="4">
    <dataValidation type="list" allowBlank="1" showInputMessage="1" showErrorMessage="1" sqref="F12:F13" xr:uid="{00000000-0002-0000-0100-000000000000}">
      <formula1>#REF!</formula1>
    </dataValidation>
    <dataValidation type="list" allowBlank="1" showInputMessage="1" showErrorMessage="1" sqref="F14:F16" xr:uid="{00000000-0002-0000-0100-000001000000}">
      <formula1>"Real 2010,Real 2011,Real 2012,Real 2013,Real 2014,Real 2015,Nominal"</formula1>
    </dataValidation>
    <dataValidation type="list" allowBlank="1" showInputMessage="1" showErrorMessage="1" sqref="I12:I16" xr:uid="{00000000-0002-0000-0100-000002000000}">
      <formula1>#REF!</formula1>
    </dataValidation>
    <dataValidation type="list" allowBlank="1" showInputMessage="1" showErrorMessage="1" sqref="G8" xr:uid="{00000000-0002-0000-0100-000003000000}">
      <formula1>"draft,final"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'Lookup|Tables'!$G$25:$G$36</xm:f>
          </x14:formula1>
          <xm:sqref>G9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G10:G14</xm:sqref>
        </x14:dataValidation>
        <x14:dataValidation type="list" allowBlank="1" showInputMessage="1" showErrorMessage="1" xr:uid="{00000000-0002-0000-0100-000006000000}">
          <x14:formula1>
            <xm:f>'Lookup|Tables'!$G$80:$G$81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96"/>
  <sheetViews>
    <sheetView showGridLines="0" tabSelected="1" topLeftCell="A65" workbookViewId="0">
      <selection activeCell="G69" sqref="G69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v1.8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IF(COUNTA($T$5:$T$85)=COUNTIF($T5:$T86,"OK"),"OK","Check")</f>
        <v>OK</v>
      </c>
      <c r="V1" s="187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133</v>
      </c>
      <c r="F6" s="62" t="s">
        <v>97</v>
      </c>
      <c r="G6" s="62" t="s">
        <v>133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>
      <c r="C9" s="64">
        <v>39172</v>
      </c>
      <c r="D9" s="225">
        <v>155.6</v>
      </c>
      <c r="E9" s="197"/>
      <c r="F9" s="197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225">
        <v>157.5</v>
      </c>
      <c r="E10" s="197"/>
      <c r="F10" s="197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225">
        <v>158.6</v>
      </c>
      <c r="E11" s="197"/>
      <c r="F11" s="197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225">
        <v>160.1</v>
      </c>
      <c r="E12" s="197"/>
      <c r="F12" s="197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225">
        <v>162.19999999999999</v>
      </c>
      <c r="E13" s="226">
        <f>D13/D9-1</f>
        <v>4.2416452442159303E-2</v>
      </c>
      <c r="F13" s="197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225">
        <v>164.6</v>
      </c>
      <c r="E14" s="226">
        <f t="shared" ref="E14:E29" si="0">D14/D10-1</f>
        <v>4.5079365079365052E-2</v>
      </c>
      <c r="F14" s="197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225">
        <v>166.5</v>
      </c>
      <c r="E15" s="226">
        <f t="shared" si="0"/>
        <v>4.9810844892812067E-2</v>
      </c>
      <c r="F15" s="197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225">
        <v>166</v>
      </c>
      <c r="E16" s="226">
        <f t="shared" si="0"/>
        <v>3.6851967520299844E-2</v>
      </c>
      <c r="F16" s="197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225">
        <v>166.2</v>
      </c>
      <c r="E17" s="226">
        <f t="shared" si="0"/>
        <v>2.4660912453760897E-2</v>
      </c>
      <c r="F17" s="197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225">
        <v>167</v>
      </c>
      <c r="E18" s="226">
        <f t="shared" si="0"/>
        <v>1.4580801944106936E-2</v>
      </c>
      <c r="F18" s="197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225">
        <v>168.6</v>
      </c>
      <c r="E19" s="226">
        <f t="shared" si="0"/>
        <v>1.2612612612612484E-2</v>
      </c>
      <c r="F19" s="197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225">
        <v>169.5</v>
      </c>
      <c r="E20" s="226">
        <f t="shared" si="0"/>
        <v>2.108433734939763E-2</v>
      </c>
      <c r="F20" s="197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225">
        <v>171</v>
      </c>
      <c r="E21" s="226">
        <f t="shared" si="0"/>
        <v>2.8880866425992746E-2</v>
      </c>
      <c r="F21" s="225">
        <v>95.2</v>
      </c>
      <c r="G21" s="65"/>
      <c r="H21" s="188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225">
        <v>172.1</v>
      </c>
      <c r="E22" s="226">
        <f t="shared" si="0"/>
        <v>3.0538922155688653E-2</v>
      </c>
      <c r="F22" s="225">
        <v>95.8</v>
      </c>
      <c r="G22" s="65"/>
      <c r="H22" s="188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225">
        <v>173.3</v>
      </c>
      <c r="E23" s="226">
        <f t="shared" si="0"/>
        <v>2.7876631079478242E-2</v>
      </c>
      <c r="F23" s="225">
        <v>96.5</v>
      </c>
      <c r="G23" s="65"/>
      <c r="H23" s="188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225">
        <v>174</v>
      </c>
      <c r="E24" s="226">
        <f t="shared" si="0"/>
        <v>2.6548672566371723E-2</v>
      </c>
      <c r="F24" s="225">
        <v>96.9</v>
      </c>
      <c r="G24" s="65"/>
      <c r="H24" s="188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225">
        <v>176.7</v>
      </c>
      <c r="E25" s="226">
        <f t="shared" si="0"/>
        <v>3.3333333333333215E-2</v>
      </c>
      <c r="F25" s="225">
        <v>98.3</v>
      </c>
      <c r="G25" s="117">
        <f>IF(ISBLANK(F25),"",F25/F21-1)</f>
        <v>3.2563025210083918E-2</v>
      </c>
      <c r="H25" s="188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225">
        <v>178.3</v>
      </c>
      <c r="E26" s="226">
        <f t="shared" si="0"/>
        <v>3.6025566531086683E-2</v>
      </c>
      <c r="F26" s="225">
        <v>99.2</v>
      </c>
      <c r="G26" s="117">
        <f t="shared" ref="G26:G84" si="1">IF(ISBLANK(F26),"",F26/F22-1)</f>
        <v>3.5490605427975108E-2</v>
      </c>
      <c r="H26" s="188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225">
        <v>179.4</v>
      </c>
      <c r="E27" s="226">
        <f t="shared" si="0"/>
        <v>3.5199076745527913E-2</v>
      </c>
      <c r="F27" s="225">
        <v>99.8</v>
      </c>
      <c r="G27" s="117">
        <f t="shared" si="1"/>
        <v>3.4196891191709877E-2</v>
      </c>
      <c r="H27" s="188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225">
        <v>179.4</v>
      </c>
      <c r="E28" s="226">
        <f t="shared" si="0"/>
        <v>3.1034482758620641E-2</v>
      </c>
      <c r="F28" s="225">
        <v>99.8</v>
      </c>
      <c r="G28" s="117">
        <f t="shared" si="1"/>
        <v>2.9927760577915352E-2</v>
      </c>
      <c r="H28" s="188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225">
        <v>179.5</v>
      </c>
      <c r="E29" s="226">
        <f t="shared" si="0"/>
        <v>1.5846066779853007E-2</v>
      </c>
      <c r="F29" s="225">
        <v>99.9</v>
      </c>
      <c r="G29" s="117">
        <f t="shared" si="1"/>
        <v>1.6276703967446737E-2</v>
      </c>
      <c r="H29" s="188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197"/>
      <c r="E30" s="197"/>
      <c r="F30" s="225">
        <v>100.4</v>
      </c>
      <c r="G30" s="117">
        <f t="shared" si="1"/>
        <v>1.2096774193548487E-2</v>
      </c>
      <c r="H30" s="188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197"/>
      <c r="E31" s="197"/>
      <c r="F31" s="225">
        <v>101.8</v>
      </c>
      <c r="G31" s="117">
        <f t="shared" si="1"/>
        <v>2.0040080160320661E-2</v>
      </c>
      <c r="H31" s="188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197"/>
      <c r="E32" s="197"/>
      <c r="F32" s="225">
        <v>102</v>
      </c>
      <c r="G32" s="117">
        <f t="shared" si="1"/>
        <v>2.2044088176352838E-2</v>
      </c>
      <c r="H32" s="188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197"/>
      <c r="E33" s="197"/>
      <c r="F33" s="225">
        <v>102.4</v>
      </c>
      <c r="G33" s="117">
        <f t="shared" si="1"/>
        <v>2.5025025025025016E-2</v>
      </c>
      <c r="H33" s="188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197"/>
      <c r="E34" s="197"/>
      <c r="F34" s="225">
        <v>102.8</v>
      </c>
      <c r="G34" s="117">
        <f t="shared" si="1"/>
        <v>2.3904382470119501E-2</v>
      </c>
      <c r="H34" s="188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197"/>
      <c r="E35" s="197"/>
      <c r="F35" s="225">
        <v>104</v>
      </c>
      <c r="G35" s="117">
        <f t="shared" si="1"/>
        <v>2.16110019646365E-2</v>
      </c>
      <c r="H35" s="188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197"/>
      <c r="E36" s="197"/>
      <c r="F36" s="225">
        <v>104.8</v>
      </c>
      <c r="G36" s="117">
        <f t="shared" si="1"/>
        <v>2.7450980392156765E-2</v>
      </c>
      <c r="H36" s="188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197"/>
      <c r="E37" s="197"/>
      <c r="F37" s="225">
        <v>105.4</v>
      </c>
      <c r="G37" s="117">
        <f t="shared" si="1"/>
        <v>2.9296875E-2</v>
      </c>
      <c r="H37" s="188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197"/>
      <c r="E38" s="197"/>
      <c r="F38" s="225">
        <v>105.9</v>
      </c>
      <c r="G38" s="117">
        <f t="shared" si="1"/>
        <v>3.0155642023346418E-2</v>
      </c>
      <c r="H38" s="188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197"/>
      <c r="E39" s="197"/>
      <c r="F39" s="225">
        <v>106.4</v>
      </c>
      <c r="G39" s="117">
        <f t="shared" si="1"/>
        <v>2.3076923076923217E-2</v>
      </c>
      <c r="H39" s="188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197"/>
      <c r="E40" s="197"/>
      <c r="F40" s="225">
        <v>106.6</v>
      </c>
      <c r="G40" s="117">
        <f t="shared" si="1"/>
        <v>1.7175572519083859E-2</v>
      </c>
      <c r="H40" s="188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197"/>
      <c r="E41" s="197"/>
      <c r="F41" s="225">
        <v>106.8</v>
      </c>
      <c r="G41" s="117">
        <f t="shared" si="1"/>
        <v>1.3282732447817747E-2</v>
      </c>
      <c r="H41" s="188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197"/>
      <c r="E42" s="197"/>
      <c r="F42" s="225">
        <v>107.5</v>
      </c>
      <c r="G42" s="117">
        <f t="shared" si="1"/>
        <v>1.5108593012275628E-2</v>
      </c>
      <c r="H42" s="188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197"/>
      <c r="E43" s="197"/>
      <c r="F43" s="225">
        <v>108</v>
      </c>
      <c r="G43" s="117">
        <f t="shared" si="1"/>
        <v>1.5037593984962294E-2</v>
      </c>
      <c r="H43" s="188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197"/>
      <c r="E44" s="197"/>
      <c r="F44" s="225">
        <v>108.4</v>
      </c>
      <c r="G44" s="117">
        <f t="shared" si="1"/>
        <v>1.6885553470919357E-2</v>
      </c>
      <c r="H44" s="188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8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8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8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8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8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9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8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8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8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8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8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8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8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8"/>
      <c r="I58" s="29" t="s">
        <v>198</v>
      </c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1.6740088105726914E-2</v>
      </c>
      <c r="H59" s="188"/>
      <c r="I59" s="152" t="s">
        <v>199</v>
      </c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8"/>
      <c r="I60" s="152" t="s">
        <v>200</v>
      </c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8"/>
      <c r="I61" s="152" t="s">
        <v>201</v>
      </c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8"/>
      <c r="I62" s="188" t="s">
        <v>202</v>
      </c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v>116.2</v>
      </c>
      <c r="G63" s="117">
        <f t="shared" si="1"/>
        <v>6.9324090121316573E-3</v>
      </c>
      <c r="H63" s="188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v>117.2</v>
      </c>
      <c r="G64" s="117">
        <f t="shared" si="1"/>
        <v>8.6058519793459354E-3</v>
      </c>
      <c r="H64" s="188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3:20">
      <c r="C65" s="64">
        <v>44286</v>
      </c>
      <c r="D65" s="29"/>
      <c r="E65" s="29"/>
      <c r="F65" s="63">
        <v>117.9</v>
      </c>
      <c r="G65" s="117">
        <f t="shared" si="1"/>
        <v>1.1149228130360234E-2</v>
      </c>
      <c r="H65" s="188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3:20">
      <c r="C66" s="64">
        <v>44377</v>
      </c>
      <c r="D66" s="29"/>
      <c r="E66" s="29"/>
      <c r="F66" s="63">
        <v>118.8</v>
      </c>
      <c r="G66" s="117">
        <f t="shared" si="1"/>
        <v>3.8461538461538325E-2</v>
      </c>
      <c r="H66" s="188"/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v>119.7</v>
      </c>
      <c r="G67" s="117">
        <f t="shared" si="1"/>
        <v>3.0120481927710774E-2</v>
      </c>
      <c r="H67" s="188"/>
      <c r="I67" s="29"/>
      <c r="J67" s="29"/>
      <c r="T67" s="131" t="str">
        <f>IF(C67&gt;EOMONTH(DATE('Input|General'!$G$12,MONTH('Input|General'!$G$9),1),0),"Ok",IF(ISBLANK($F67),"Check","Ok"))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v>121.3</v>
      </c>
      <c r="G68" s="117">
        <f t="shared" si="1"/>
        <v>3.4982935153583528E-2</v>
      </c>
      <c r="H68" s="188"/>
      <c r="I68" s="29"/>
      <c r="J68" s="29"/>
      <c r="T68" s="131" t="str">
        <f>IF(C68&gt;EOMONTH(DATE('Input|General'!$G$12,MONTH('Input|General'!$G$9),1),0),"Ok",IF(ISBLANK($F68),"Check","Ok"))</f>
        <v>Ok</v>
      </c>
    </row>
    <row r="69" spans="3:20">
      <c r="C69" s="64">
        <v>44651</v>
      </c>
      <c r="D69" s="29"/>
      <c r="E69" s="29"/>
      <c r="F69" s="63">
        <v>123.9</v>
      </c>
      <c r="G69" s="117">
        <f t="shared" si="1"/>
        <v>5.0890585241730291E-2</v>
      </c>
      <c r="H69" s="188"/>
      <c r="I69" s="29"/>
      <c r="J69" s="29"/>
      <c r="T69" s="131" t="str">
        <f>IF(C69&gt;EOMONTH(DATE('Input|General'!$G$12,MONTH('Input|General'!$G$9),1),0),"Ok",IF(ISBLANK($F69),"Check","Ok"))</f>
        <v>Ok</v>
      </c>
    </row>
    <row r="70" spans="3:20">
      <c r="C70" s="64">
        <v>44742</v>
      </c>
      <c r="D70" s="29"/>
      <c r="E70" s="29"/>
      <c r="F70" s="63">
        <v>126.1</v>
      </c>
      <c r="G70" s="117">
        <f t="shared" si="1"/>
        <v>6.1447811447811418E-2</v>
      </c>
      <c r="H70" s="188"/>
      <c r="I70" s="29"/>
      <c r="J70" s="29"/>
      <c r="T70" s="131" t="str">
        <f>IF(C70&gt;EOMONTH(DATE('Input|General'!$G$12,MONTH('Input|General'!$G$9),1),0),"Ok",IF(ISBLANK($F70),"Check","Ok"))</f>
        <v>Ok</v>
      </c>
    </row>
    <row r="71" spans="3:20">
      <c r="C71" s="64">
        <v>44834</v>
      </c>
      <c r="D71" s="29"/>
      <c r="E71" s="29"/>
      <c r="F71" s="63">
        <v>128.4</v>
      </c>
      <c r="G71" s="117">
        <f t="shared" si="1"/>
        <v>7.268170426065157E-2</v>
      </c>
      <c r="H71" s="188"/>
      <c r="I71" s="29"/>
      <c r="J71" s="29"/>
      <c r="T71" s="131" t="str">
        <f>IF(C71&gt;EOMONTH(DATE('Input|General'!$G$12,MONTH('Input|General'!$G$9),1),0),"Ok",IF(ISBLANK($F71),"Check","Ok"))</f>
        <v>Ok</v>
      </c>
    </row>
    <row r="72" spans="3:20">
      <c r="C72" s="64">
        <v>44926</v>
      </c>
      <c r="D72" s="29"/>
      <c r="E72" s="29"/>
      <c r="F72" s="63">
        <v>130.80000000000001</v>
      </c>
      <c r="G72" s="117">
        <f t="shared" si="1"/>
        <v>7.8318219291014124E-2</v>
      </c>
      <c r="H72" s="188"/>
      <c r="I72" s="29"/>
      <c r="J72" s="29"/>
      <c r="T72" s="131" t="str">
        <f>IF(C72&gt;EOMONTH(DATE('Input|General'!$G$12,MONTH('Input|General'!$G$9),1),0),"Ok",IF(ISBLANK($F72),"Check","Ok"))</f>
        <v>Ok</v>
      </c>
    </row>
    <row r="73" spans="3:20">
      <c r="C73" s="64">
        <v>45016</v>
      </c>
      <c r="D73" s="29"/>
      <c r="E73" s="29"/>
      <c r="F73" s="63">
        <v>132.6</v>
      </c>
      <c r="G73" s="117">
        <f t="shared" si="1"/>
        <v>7.0217917675544639E-2</v>
      </c>
      <c r="H73" s="188"/>
      <c r="I73" s="29"/>
      <c r="J73" s="29"/>
      <c r="T73" s="131" t="str">
        <f>IF(C73&gt;EOMONTH(DATE('Input|General'!$G$12,MONTH('Input|General'!$G$9),1),0),"Ok",IF(ISBLANK($F73),"Check","Ok"))</f>
        <v>Ok</v>
      </c>
    </row>
    <row r="74" spans="3:20">
      <c r="C74" s="64">
        <v>45107</v>
      </c>
      <c r="D74" s="29"/>
      <c r="E74" s="29"/>
      <c r="F74" s="63">
        <v>133.69999999999999</v>
      </c>
      <c r="G74" s="117">
        <f t="shared" si="1"/>
        <v>6.0269627279936566E-2</v>
      </c>
      <c r="H74" s="188"/>
      <c r="I74" s="29"/>
      <c r="J74" s="29"/>
      <c r="T74" s="131" t="str">
        <f>IF(C74&gt;EOMONTH(DATE('Input|General'!$G$12,MONTH('Input|General'!$G$9),1),0),"Ok",IF(ISBLANK($F74),"Check","Ok"))</f>
        <v>Ok</v>
      </c>
    </row>
    <row r="75" spans="3:20">
      <c r="C75" s="64">
        <v>45199</v>
      </c>
      <c r="D75" s="29"/>
      <c r="E75" s="29"/>
      <c r="F75" s="63">
        <v>135.30000000000001</v>
      </c>
      <c r="G75" s="117">
        <f t="shared" si="1"/>
        <v>5.3738317757009435E-2</v>
      </c>
      <c r="H75" s="188"/>
      <c r="I75" s="29"/>
      <c r="J75" s="29"/>
      <c r="T75" s="131" t="str">
        <f>IF(C75&gt;EOMONTH(DATE('Input|General'!$G$12,MONTH('Input|General'!$G$9),1),0),"Ok",IF(ISBLANK($F75),"Check","Ok"))</f>
        <v>Ok</v>
      </c>
    </row>
    <row r="76" spans="3:20">
      <c r="C76" s="64">
        <v>45291</v>
      </c>
      <c r="D76" s="29"/>
      <c r="E76" s="29"/>
      <c r="F76" s="63">
        <v>136.1628</v>
      </c>
      <c r="G76" s="117">
        <f t="shared" si="1"/>
        <v>4.0999999999999925E-2</v>
      </c>
      <c r="H76" s="188"/>
      <c r="I76" s="29"/>
      <c r="J76" s="29"/>
      <c r="T76" s="131" t="str">
        <f>IF(C76&gt;EOMONTH(DATE('Input|General'!$G$12,MONTH('Input|General'!$G$9),1),0),"Ok",IF(ISBLANK($F76),"Check","Ok"))</f>
        <v>Ok</v>
      </c>
    </row>
    <row r="77" spans="3:20">
      <c r="C77" s="64">
        <v>45382</v>
      </c>
      <c r="D77" s="29"/>
      <c r="E77" s="29"/>
      <c r="F77" s="63">
        <v>137.70509999999999</v>
      </c>
      <c r="G77" s="117">
        <f t="shared" si="1"/>
        <v>3.8499999999999979E-2</v>
      </c>
      <c r="H77" s="188"/>
      <c r="I77" s="29"/>
      <c r="J77" s="29"/>
      <c r="T77" s="131" t="str">
        <f>IF(C77&gt;EOMONTH(DATE('Input|General'!$G$12,MONTH('Input|General'!$G$9),1),0),"Ok",IF(ISBLANK($F77),"Check","Ok"))</f>
        <v>Ok</v>
      </c>
    </row>
    <row r="78" spans="3:20">
      <c r="C78" s="64">
        <v>45473</v>
      </c>
      <c r="D78" s="29"/>
      <c r="E78" s="29"/>
      <c r="F78" s="63">
        <v>138.51319999999998</v>
      </c>
      <c r="G78" s="117">
        <f t="shared" si="1"/>
        <v>3.6000000000000032E-2</v>
      </c>
      <c r="H78" s="188"/>
      <c r="I78" s="29"/>
      <c r="J78" s="29"/>
      <c r="T78" s="131" t="str">
        <f>IF(C78&gt;EOMONTH(DATE('Input|General'!$G$12,MONTH('Input|General'!$G$9),1),0),"Ok",IF(ISBLANK($F78),"Check","Ok"))</f>
        <v>Ok</v>
      </c>
    </row>
    <row r="79" spans="3:20">
      <c r="C79" s="64">
        <v>45565</v>
      </c>
      <c r="D79" s="29"/>
      <c r="E79" s="29"/>
      <c r="F79" s="63">
        <v>139.96785</v>
      </c>
      <c r="G79" s="117">
        <f t="shared" si="1"/>
        <v>3.4499999999999975E-2</v>
      </c>
      <c r="H79" s="188"/>
      <c r="I79" s="29"/>
      <c r="J79" s="29"/>
      <c r="T79" s="131" t="str">
        <f>IF(C79&gt;EOMONTH(DATE('Input|General'!$G$12,MONTH('Input|General'!$G$9),1),0),"Ok",IF(ISBLANK($F79),"Check","Ok"))</f>
        <v>Ok</v>
      </c>
    </row>
    <row r="80" spans="3:20">
      <c r="C80" s="64">
        <v>45657</v>
      </c>
      <c r="D80" s="29"/>
      <c r="E80" s="29"/>
      <c r="F80" s="63">
        <v>140.6561724</v>
      </c>
      <c r="G80" s="117">
        <f t="shared" si="1"/>
        <v>3.2999999999999918E-2</v>
      </c>
      <c r="H80" s="188"/>
      <c r="I80" s="29"/>
      <c r="J80" s="29"/>
      <c r="T80" s="131" t="str">
        <f>IF(C80&gt;EOMONTH(DATE('Input|General'!$G$12,MONTH('Input|General'!$G$9),1),0),"Ok",IF(ISBLANK($F80),"Check","Ok"))</f>
        <v>Ok</v>
      </c>
    </row>
    <row r="81" spans="1:48">
      <c r="C81" s="64">
        <v>45747</v>
      </c>
      <c r="D81" s="29"/>
      <c r="E81" s="29"/>
      <c r="F81" s="63">
        <v>142.11166319999998</v>
      </c>
      <c r="G81" s="117">
        <f t="shared" si="1"/>
        <v>3.2000000000000028E-2</v>
      </c>
      <c r="H81" s="188"/>
      <c r="I81" s="29"/>
      <c r="J81" s="29"/>
      <c r="T81" s="131" t="str">
        <f>IF(C81&gt;EOMONTH(DATE('Input|General'!$G$12,MONTH('Input|General'!$G$9),1),0),"Ok",IF(ISBLANK($F81),"Check","Ok"))</f>
        <v>Ok</v>
      </c>
    </row>
    <row r="82" spans="1:48">
      <c r="C82" s="64">
        <v>45838</v>
      </c>
      <c r="D82" s="29"/>
      <c r="E82" s="29"/>
      <c r="F82" s="63">
        <v>142.80710919999999</v>
      </c>
      <c r="G82" s="117">
        <f t="shared" si="1"/>
        <v>3.0999999999999917E-2</v>
      </c>
      <c r="H82" s="188"/>
      <c r="I82" s="29"/>
      <c r="J82" s="29"/>
      <c r="T82" s="131" t="str">
        <f>IF(C82&gt;EOMONTH(DATE('Input|General'!$G$12,MONTH('Input|General'!$G$9),1),0),"Ok",IF(ISBLANK($F82),"Check","Ok"))</f>
        <v>Ok</v>
      </c>
    </row>
    <row r="83" spans="1:48">
      <c r="C83" s="64">
        <v>45930</v>
      </c>
      <c r="D83" s="29"/>
      <c r="E83" s="29"/>
      <c r="F83" s="63">
        <v>144.09674839967553</v>
      </c>
      <c r="G83" s="117">
        <f t="shared" si="1"/>
        <v>2.9498905639227413E-2</v>
      </c>
      <c r="H83" s="188"/>
      <c r="I83" s="29"/>
      <c r="J83" s="29"/>
      <c r="T83" s="131" t="str">
        <f>IF(C83&gt;EOMONTH(DATE('Input|General'!$G$12,MONTH('Input|General'!$G$9),1),0),"Ok",IF(ISBLANK($F83),"Check","Ok"))</f>
        <v>Ok</v>
      </c>
    </row>
    <row r="84" spans="1:48">
      <c r="C84" s="64">
        <v>46022</v>
      </c>
      <c r="D84" s="29"/>
      <c r="E84" s="29"/>
      <c r="F84" s="63">
        <v>144.59423737000498</v>
      </c>
      <c r="G84" s="117">
        <f t="shared" si="1"/>
        <v>2.7997811278454687E-2</v>
      </c>
      <c r="H84" s="188"/>
      <c r="I84" s="29"/>
      <c r="J84" s="29"/>
      <c r="T84" s="131" t="str">
        <f>IF(C84&gt;EOMONTH(DATE('Input|General'!$G$12,MONTH('Input|General'!$G$9),1),0),"Ok",IF(ISBLANK($F84),"Check","Ok"))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</sheetData>
  <conditionalFormatting sqref="X14:X50 T85 X63:X85">
    <cfRule type="cellIs" dxfId="186" priority="11" operator="equal">
      <formula>"Check"</formula>
    </cfRule>
    <cfRule type="cellIs" dxfId="185" priority="12" operator="equal">
      <formula>"Ok"</formula>
    </cfRule>
  </conditionalFormatting>
  <conditionalFormatting sqref="W1">
    <cfRule type="cellIs" dxfId="184" priority="7" operator="equal">
      <formula>"Check"</formula>
    </cfRule>
    <cfRule type="cellIs" dxfId="183" priority="8" operator="equal">
      <formula>"Ok"</formula>
    </cfRule>
  </conditionalFormatting>
  <conditionalFormatting sqref="T1">
    <cfRule type="cellIs" dxfId="182" priority="5" operator="equal">
      <formula>"Check"</formula>
    </cfRule>
    <cfRule type="cellIs" dxfId="181" priority="6" operator="equal">
      <formula>"Ok"</formula>
    </cfRule>
  </conditionalFormatting>
  <conditionalFormatting sqref="X51:X57">
    <cfRule type="cellIs" dxfId="180" priority="3" operator="equal">
      <formula>"Check"</formula>
    </cfRule>
    <cfRule type="cellIs" dxfId="179" priority="4" operator="equal">
      <formula>"Ok"</formula>
    </cfRule>
  </conditionalFormatting>
  <conditionalFormatting sqref="X58:X62 T9:T84">
    <cfRule type="cellIs" dxfId="178" priority="1" operator="equal">
      <formula>"Check"</formula>
    </cfRule>
    <cfRule type="cellIs" dxfId="177" priority="2" operator="equal">
      <formula>"Ok"</formula>
    </cfRule>
  </conditionalFormatting>
  <dataValidations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W72"/>
  <sheetViews>
    <sheetView topLeftCell="A25" zoomScale="115" zoomScaleNormal="115" workbookViewId="0">
      <selection activeCell="R25" sqref="A22:R25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 v1.8</v>
      </c>
      <c r="D1" s="70"/>
      <c r="E1" s="70"/>
      <c r="F1" s="71"/>
      <c r="G1" s="71"/>
      <c r="H1" s="71"/>
      <c r="I1" s="71"/>
      <c r="J1" s="21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IF(COUNTA($W$29:$W$265)=COUNTIF($W$29:$W$265,"OK"),"OK","Check")</f>
        <v>OK</v>
      </c>
      <c r="T1" s="69"/>
      <c r="U1" s="187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119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44348</v>
      </c>
      <c r="K4" s="156">
        <f>DATE(PPFirstYear+1,MONTH('Input|General'!$G$9),1)</f>
        <v>44713</v>
      </c>
      <c r="L4" s="156">
        <f>DATE(PPFirstYear+2,MONTH('Input|General'!$G$9),1)</f>
        <v>45078</v>
      </c>
      <c r="M4" s="156">
        <f>DATE(PPFirstYear+3,MONTH('Input|General'!$G$9),1)</f>
        <v>45444</v>
      </c>
      <c r="N4" s="156">
        <f>DATE(PPFirstYear+4,MONTH('Input|General'!$G$9),1)</f>
        <v>45809</v>
      </c>
      <c r="O4" s="156">
        <f>DATE(PPFirstYear+5,MONTH('Input|General'!$G$9),1)</f>
        <v>46174</v>
      </c>
      <c r="P4" s="156">
        <f>DATE(PPFirstYear+6,MONTH('Input|General'!$G$9),1)</f>
        <v>46539</v>
      </c>
      <c r="Q4" s="156">
        <f>DATE(PPFirstYear+7,MONTH('Input|General'!$G$9),1)</f>
        <v>46905</v>
      </c>
      <c r="R4" s="156">
        <f>DATE(PPFirstYear+8,MONTH('Input|General'!$G$9),1)</f>
        <v>47270</v>
      </c>
      <c r="S4" s="156">
        <f>DATE(PPFirstYear+9,MONTH('Input|General'!$G$9),1)</f>
        <v>47635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44348</v>
      </c>
      <c r="K10" s="159">
        <f t="shared" si="0"/>
        <v>44713</v>
      </c>
      <c r="L10" s="159">
        <f t="shared" si="0"/>
        <v>45078</v>
      </c>
      <c r="M10" s="159">
        <f t="shared" si="0"/>
        <v>45444</v>
      </c>
      <c r="N10" s="159">
        <f t="shared" si="0"/>
        <v>45809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54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73</v>
      </c>
      <c r="D13" s="30" t="s">
        <v>69</v>
      </c>
      <c r="E13" s="171" t="s">
        <v>15</v>
      </c>
      <c r="F13" s="171">
        <v>43983</v>
      </c>
      <c r="G13" s="32"/>
      <c r="H13" s="32"/>
      <c r="I13" s="30"/>
      <c r="J13" s="164">
        <v>371.21039600211844</v>
      </c>
      <c r="K13" s="164">
        <v>365.91087494806601</v>
      </c>
      <c r="L13" s="164">
        <v>361.2987996321001</v>
      </c>
      <c r="M13" s="164">
        <v>356.30571214300102</v>
      </c>
      <c r="N13" s="164">
        <v>351.38586628349611</v>
      </c>
      <c r="O13" s="152"/>
      <c r="P13" s="152"/>
      <c r="Q13" s="152"/>
      <c r="R13" s="152"/>
      <c r="S13" s="152"/>
      <c r="T13" s="29" t="s">
        <v>168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73</v>
      </c>
      <c r="D15" s="140" t="str">
        <f>D13</f>
        <v>AER</v>
      </c>
      <c r="E15" s="203" t="str">
        <f>E13</f>
        <v>$millions</v>
      </c>
      <c r="F15" s="203">
        <f>F13</f>
        <v>43983</v>
      </c>
      <c r="G15" s="32"/>
      <c r="H15" s="32"/>
      <c r="I15" s="30"/>
      <c r="J15" s="129">
        <f>J13</f>
        <v>371.21039600211844</v>
      </c>
      <c r="K15" s="129">
        <f t="shared" ref="K15:S15" si="1">K13</f>
        <v>365.91087494806601</v>
      </c>
      <c r="L15" s="129">
        <f t="shared" si="1"/>
        <v>361.2987996321001</v>
      </c>
      <c r="M15" s="129">
        <f t="shared" si="1"/>
        <v>356.30571214300102</v>
      </c>
      <c r="N15" s="129">
        <f t="shared" si="1"/>
        <v>351.38586628349611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159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69</v>
      </c>
      <c r="E19" s="30" t="str">
        <f>$E$29</f>
        <v>$millions</v>
      </c>
      <c r="F19" s="161">
        <f t="shared" ref="F19:F27" si="2">$F$15</f>
        <v>43983</v>
      </c>
      <c r="G19" s="32"/>
      <c r="H19" s="32"/>
      <c r="I19" s="30"/>
      <c r="J19" s="164">
        <v>5.6191699933410879</v>
      </c>
      <c r="K19" s="164">
        <v>5.664009738503414</v>
      </c>
      <c r="L19" s="164">
        <v>5.7054343063697113</v>
      </c>
      <c r="M19" s="164">
        <v>5.7500601094115762</v>
      </c>
      <c r="N19" s="164">
        <v>5.7825189821237561</v>
      </c>
      <c r="O19" s="152"/>
      <c r="P19" s="152"/>
      <c r="Q19" s="152"/>
      <c r="R19" s="152"/>
      <c r="S19" s="152"/>
      <c r="T19" s="29" t="s">
        <v>178</v>
      </c>
      <c r="U19" s="29"/>
      <c r="V19" s="29"/>
      <c r="W19" s="29"/>
    </row>
    <row r="20" spans="1:23">
      <c r="A20" s="29"/>
      <c r="B20" s="29"/>
      <c r="C20" s="61" t="s">
        <v>193</v>
      </c>
      <c r="D20" s="30" t="s">
        <v>69</v>
      </c>
      <c r="E20" s="30" t="str">
        <f t="shared" ref="E20:E27" si="3">$E$15</f>
        <v>$millions</v>
      </c>
      <c r="F20" s="161">
        <f t="shared" si="2"/>
        <v>43983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69</v>
      </c>
      <c r="E21" s="30" t="str">
        <f t="shared" si="3"/>
        <v>$millions</v>
      </c>
      <c r="F21" s="161">
        <f t="shared" si="2"/>
        <v>43983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69</v>
      </c>
      <c r="E22" s="30" t="str">
        <f t="shared" si="3"/>
        <v>$millions</v>
      </c>
      <c r="F22" s="161">
        <f t="shared" si="2"/>
        <v>43983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69</v>
      </c>
      <c r="E23" s="30" t="str">
        <f t="shared" si="3"/>
        <v>$millions</v>
      </c>
      <c r="F23" s="161">
        <f t="shared" si="2"/>
        <v>43983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69</v>
      </c>
      <c r="E24" s="30" t="str">
        <f t="shared" si="3"/>
        <v>$millions</v>
      </c>
      <c r="F24" s="161">
        <f t="shared" si="2"/>
        <v>43983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69</v>
      </c>
      <c r="E25" s="30" t="str">
        <f t="shared" si="3"/>
        <v>$millions</v>
      </c>
      <c r="F25" s="161">
        <f t="shared" si="2"/>
        <v>43983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69</v>
      </c>
      <c r="E26" s="30" t="str">
        <f t="shared" si="3"/>
        <v>$millions</v>
      </c>
      <c r="F26" s="161">
        <f t="shared" si="2"/>
        <v>43983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69</v>
      </c>
      <c r="E27" s="30" t="str">
        <f t="shared" si="3"/>
        <v>$millions</v>
      </c>
      <c r="F27" s="161">
        <f t="shared" si="2"/>
        <v>43983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157</v>
      </c>
      <c r="D29" s="140" t="s">
        <v>30</v>
      </c>
      <c r="E29" s="130" t="s">
        <v>15</v>
      </c>
      <c r="F29" s="162">
        <f>F27</f>
        <v>43983</v>
      </c>
      <c r="G29" s="32"/>
      <c r="H29" s="32"/>
      <c r="I29" s="30"/>
      <c r="J29" s="129">
        <f>SUM(J19:J27)</f>
        <v>5.6191699933410879</v>
      </c>
      <c r="K29" s="129">
        <f t="shared" ref="K29:S29" si="4">SUM(K19:K27)</f>
        <v>5.664009738503414</v>
      </c>
      <c r="L29" s="129">
        <f t="shared" si="4"/>
        <v>5.7054343063697113</v>
      </c>
      <c r="M29" s="129">
        <f t="shared" si="4"/>
        <v>5.7500601094115762</v>
      </c>
      <c r="N29" s="129">
        <f t="shared" si="4"/>
        <v>5.7825189821237561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74</v>
      </c>
      <c r="N33" s="164" t="s">
        <v>74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44348</v>
      </c>
      <c r="K34" s="159">
        <f t="shared" si="5"/>
        <v>44713</v>
      </c>
      <c r="L34" s="159">
        <f t="shared" si="5"/>
        <v>45078</v>
      </c>
      <c r="M34" s="159">
        <f t="shared" si="5"/>
        <v>45444</v>
      </c>
      <c r="N34" s="159">
        <f t="shared" si="5"/>
        <v>45809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54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73</v>
      </c>
      <c r="D37" s="30" t="s">
        <v>75</v>
      </c>
      <c r="E37" s="215" t="str">
        <f>$E$56</f>
        <v>$millions</v>
      </c>
      <c r="F37" s="216" t="s">
        <v>100</v>
      </c>
      <c r="G37" s="32"/>
      <c r="H37" s="32"/>
      <c r="I37" s="30"/>
      <c r="J37" s="164">
        <v>370.17271499999998</v>
      </c>
      <c r="K37" s="164">
        <v>380.35368199999999</v>
      </c>
      <c r="L37" s="164">
        <v>446.406003</v>
      </c>
      <c r="M37" s="228">
        <v>473.85760277456399</v>
      </c>
      <c r="N37" s="29"/>
      <c r="O37" s="29"/>
      <c r="P37" s="152"/>
      <c r="Q37" s="152"/>
      <c r="R37" s="152"/>
      <c r="S37" s="152"/>
      <c r="T37" s="29" t="s">
        <v>169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7" t="s">
        <v>183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209</v>
      </c>
      <c r="D41" s="30" t="s">
        <v>75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164">
        <v>1.304446</v>
      </c>
      <c r="K41" s="164">
        <v>4.3366540000000002</v>
      </c>
      <c r="L41" s="164">
        <v>6.8587350000000002</v>
      </c>
      <c r="M41" s="164"/>
      <c r="N41" s="164"/>
      <c r="O41" s="152"/>
      <c r="P41" s="152"/>
      <c r="Q41" s="152"/>
      <c r="R41" s="152"/>
      <c r="S41" s="152"/>
      <c r="T41" s="29" t="s">
        <v>182</v>
      </c>
      <c r="U41" s="29"/>
      <c r="V41" s="29"/>
      <c r="W41" s="29"/>
    </row>
    <row r="42" spans="1:23">
      <c r="A42" s="29"/>
      <c r="B42" s="29"/>
      <c r="C42" s="61" t="s">
        <v>179</v>
      </c>
      <c r="D42" s="30" t="s">
        <v>75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>
        <v>1.5745920200000001</v>
      </c>
      <c r="K42" s="164">
        <v>0.37887797000000001</v>
      </c>
      <c r="L42" s="164">
        <v>0.33393354999999997</v>
      </c>
      <c r="M42" s="164">
        <v>1.0212631458992281</v>
      </c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61"/>
      <c r="D43" s="30" t="s">
        <v>75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/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/>
      <c r="D44" s="30" t="s">
        <v>75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75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180</v>
      </c>
      <c r="D47" s="140" t="s">
        <v>30</v>
      </c>
      <c r="E47" s="190" t="str">
        <f>$E$56</f>
        <v>$millions</v>
      </c>
      <c r="F47" s="191" t="str">
        <f>F37</f>
        <v>nominal</v>
      </c>
      <c r="G47" s="32"/>
      <c r="H47" s="32"/>
      <c r="I47" s="30"/>
      <c r="J47" s="129">
        <f>J37-SUM(J41:J45)</f>
        <v>367.29367697999999</v>
      </c>
      <c r="K47" s="129">
        <f>K37-SUM(K41:K45)</f>
        <v>375.63815003000002</v>
      </c>
      <c r="L47" s="129">
        <f t="shared" ref="L47:S47" si="7">L37-SUM(L41:L45)</f>
        <v>439.21333444999999</v>
      </c>
      <c r="M47" s="129">
        <f>M37-SUM(M41:M45)</f>
        <v>472.83633962866475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111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75</v>
      </c>
      <c r="E51" s="30" t="str">
        <f>$E$56</f>
        <v>$millions</v>
      </c>
      <c r="F51" s="161" t="str">
        <f t="shared" ref="F51:F54" si="8">$F$56</f>
        <v>nominal</v>
      </c>
      <c r="G51" s="32"/>
      <c r="H51" s="32"/>
      <c r="I51" s="30"/>
      <c r="J51" s="164">
        <v>2.147767</v>
      </c>
      <c r="K51" s="164">
        <v>2.2215060000000002</v>
      </c>
      <c r="L51" s="164">
        <v>6.9824539999999997</v>
      </c>
      <c r="M51" s="164">
        <v>5.7500601094115762</v>
      </c>
      <c r="N51" s="221"/>
      <c r="O51" s="152"/>
      <c r="P51" s="152"/>
      <c r="Q51" s="152"/>
      <c r="R51" s="152"/>
      <c r="S51" s="152"/>
      <c r="T51" s="29" t="s">
        <v>178</v>
      </c>
      <c r="U51" s="29"/>
      <c r="V51" s="29"/>
      <c r="W51" s="29"/>
    </row>
    <row r="52" spans="1:23">
      <c r="A52" s="29"/>
      <c r="B52" s="29"/>
      <c r="C52" s="61" t="s">
        <v>193</v>
      </c>
      <c r="D52" s="30" t="s">
        <v>75</v>
      </c>
      <c r="E52" s="30" t="str">
        <f>$E$56</f>
        <v>$millions</v>
      </c>
      <c r="F52" s="161" t="str">
        <f t="shared" si="8"/>
        <v>nominal</v>
      </c>
      <c r="G52" s="32"/>
      <c r="H52" s="32"/>
      <c r="I52" s="30"/>
      <c r="J52" s="164"/>
      <c r="K52" s="164"/>
      <c r="L52" s="164"/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/>
      <c r="D53" s="30" t="s">
        <v>75</v>
      </c>
      <c r="E53" s="30" t="str">
        <f>$E$56</f>
        <v>$millions</v>
      </c>
      <c r="F53" s="161" t="str">
        <f t="shared" si="8"/>
        <v>nominal</v>
      </c>
      <c r="G53" s="32"/>
      <c r="H53" s="32"/>
      <c r="I53" s="30"/>
      <c r="J53" s="164"/>
      <c r="K53" s="164"/>
      <c r="L53" s="164"/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/>
      <c r="D54" s="30" t="s">
        <v>75</v>
      </c>
      <c r="E54" s="30" t="str">
        <f>$E$56</f>
        <v>$millions</v>
      </c>
      <c r="F54" s="161" t="str">
        <f t="shared" si="8"/>
        <v>nominal</v>
      </c>
      <c r="G54" s="32"/>
      <c r="H54" s="32"/>
      <c r="I54" s="30"/>
      <c r="J54" s="164"/>
      <c r="K54" s="164"/>
      <c r="L54" s="164"/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157</v>
      </c>
      <c r="D56" s="140" t="s">
        <v>30</v>
      </c>
      <c r="E56" s="130" t="s">
        <v>15</v>
      </c>
      <c r="F56" s="162" t="s">
        <v>100</v>
      </c>
      <c r="G56" s="32"/>
      <c r="H56" s="32"/>
      <c r="I56" s="30"/>
      <c r="J56" s="186">
        <f>SUM(J51:J54)</f>
        <v>2.147767</v>
      </c>
      <c r="K56" s="186">
        <f t="shared" ref="K56:S56" si="9">SUM(K51:K54)</f>
        <v>2.2215060000000002</v>
      </c>
      <c r="L56" s="186">
        <f t="shared" si="9"/>
        <v>6.9824539999999997</v>
      </c>
      <c r="M56" s="186">
        <f t="shared" si="9"/>
        <v>5.7500601094115762</v>
      </c>
      <c r="N56" s="186">
        <f t="shared" si="9"/>
        <v>0</v>
      </c>
      <c r="O56" s="186">
        <f t="shared" si="9"/>
        <v>0</v>
      </c>
      <c r="P56" s="186">
        <f t="shared" si="9"/>
        <v>0</v>
      </c>
      <c r="Q56" s="186">
        <f t="shared" si="9"/>
        <v>0</v>
      </c>
      <c r="R56" s="186">
        <f t="shared" si="9"/>
        <v>0</v>
      </c>
      <c r="S56" s="186">
        <f t="shared" si="9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112</v>
      </c>
      <c r="C58" s="94"/>
      <c r="D58" s="94"/>
      <c r="E58" s="94"/>
      <c r="F58" s="96"/>
      <c r="G58" s="96"/>
      <c r="H58" s="96"/>
      <c r="I58" s="96"/>
      <c r="J58" s="230">
        <f t="shared" ref="J58:N58" si="10">J37-J41-J42-J51</f>
        <v>365.14590998</v>
      </c>
      <c r="K58" s="230">
        <f t="shared" si="10"/>
        <v>373.41664402999999</v>
      </c>
      <c r="L58" s="230">
        <f t="shared" si="10"/>
        <v>432.23088044999997</v>
      </c>
      <c r="M58" s="230">
        <f>M37-M41-M42-M51</f>
        <v>467.0862795192532</v>
      </c>
      <c r="N58" s="230">
        <f t="shared" si="10"/>
        <v>0</v>
      </c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113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1">IF(YEAR(J$4)=PPLastYear,J$4,"")</f>
        <v/>
      </c>
      <c r="K60" s="159" t="str">
        <f t="shared" si="11"/>
        <v/>
      </c>
      <c r="L60" s="159" t="str">
        <f t="shared" si="11"/>
        <v/>
      </c>
      <c r="M60" s="159" t="str">
        <f t="shared" si="11"/>
        <v/>
      </c>
      <c r="N60" s="159">
        <f t="shared" si="11"/>
        <v>45809</v>
      </c>
      <c r="O60" s="159" t="str">
        <f t="shared" si="11"/>
        <v/>
      </c>
      <c r="P60" s="159" t="str">
        <f t="shared" si="11"/>
        <v/>
      </c>
      <c r="Q60" s="159" t="str">
        <f t="shared" si="11"/>
        <v/>
      </c>
      <c r="R60" s="159" t="str">
        <f t="shared" si="11"/>
        <v/>
      </c>
      <c r="S60" s="159" t="str">
        <f t="shared" si="11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204</v>
      </c>
      <c r="D62" s="30" t="s">
        <v>34</v>
      </c>
      <c r="E62" s="30" t="str">
        <f>$E$56</f>
        <v>$millions</v>
      </c>
      <c r="F62" s="171">
        <v>45078</v>
      </c>
      <c r="G62" s="32"/>
      <c r="H62" s="32"/>
      <c r="I62" s="32"/>
      <c r="J62" s="164"/>
      <c r="K62" s="164"/>
      <c r="L62" s="164"/>
      <c r="M62" s="164"/>
      <c r="N62" s="164">
        <v>-7.2053290592250629</v>
      </c>
      <c r="O62" s="164"/>
      <c r="P62" s="164"/>
      <c r="Q62" s="163"/>
      <c r="R62" s="163"/>
      <c r="S62" s="163"/>
      <c r="T62" s="29"/>
      <c r="U62" s="142"/>
      <c r="V62" s="142"/>
      <c r="W62" s="29"/>
    </row>
    <row r="63" spans="1:23">
      <c r="A63" s="29"/>
      <c r="B63" s="29"/>
      <c r="C63" s="61" t="s">
        <v>205</v>
      </c>
      <c r="D63" s="30" t="s">
        <v>34</v>
      </c>
      <c r="E63" s="30" t="str">
        <f t="shared" ref="E63:E68" si="12">$E$56</f>
        <v>$millions</v>
      </c>
      <c r="F63" s="171">
        <v>45078</v>
      </c>
      <c r="G63" s="32"/>
      <c r="H63" s="32"/>
      <c r="I63" s="32"/>
      <c r="J63" s="164"/>
      <c r="K63" s="164"/>
      <c r="L63" s="164"/>
      <c r="M63" s="164"/>
      <c r="N63" s="164">
        <v>-5.5197239742250055</v>
      </c>
      <c r="O63" s="164"/>
      <c r="P63" s="164"/>
      <c r="Q63" s="163"/>
      <c r="R63" s="163"/>
      <c r="S63" s="163"/>
      <c r="T63" s="29"/>
      <c r="U63" s="142"/>
      <c r="V63" s="142"/>
      <c r="W63" s="29"/>
    </row>
    <row r="64" spans="1:23">
      <c r="A64" s="29"/>
      <c r="B64" s="29"/>
      <c r="C64" s="61" t="s">
        <v>206</v>
      </c>
      <c r="D64" s="30" t="s">
        <v>34</v>
      </c>
      <c r="E64" s="30" t="str">
        <f t="shared" si="12"/>
        <v>$millions</v>
      </c>
      <c r="F64" s="171">
        <v>44713</v>
      </c>
      <c r="G64" s="32"/>
      <c r="H64" s="32"/>
      <c r="I64" s="32"/>
      <c r="J64" s="164"/>
      <c r="K64" s="164"/>
      <c r="L64" s="164"/>
      <c r="M64" s="164"/>
      <c r="N64" s="164">
        <v>0</v>
      </c>
      <c r="O64" s="164"/>
      <c r="P64" s="164"/>
      <c r="Q64" s="163"/>
      <c r="R64" s="163"/>
      <c r="S64" s="163"/>
      <c r="T64" s="29"/>
      <c r="U64" s="142"/>
      <c r="V64" s="142"/>
      <c r="W64" s="29"/>
    </row>
    <row r="65" spans="1:23">
      <c r="A65" s="29"/>
      <c r="B65" s="29"/>
      <c r="C65" s="61" t="s">
        <v>114</v>
      </c>
      <c r="D65" s="30" t="s">
        <v>34</v>
      </c>
      <c r="E65" s="30" t="str">
        <f t="shared" si="12"/>
        <v>$millions</v>
      </c>
      <c r="F65" s="171">
        <v>44713</v>
      </c>
      <c r="G65" s="32"/>
      <c r="H65" s="32"/>
      <c r="I65" s="32"/>
      <c r="J65" s="164"/>
      <c r="K65" s="164"/>
      <c r="L65" s="164"/>
      <c r="M65" s="164"/>
      <c r="N65" s="164">
        <v>0</v>
      </c>
      <c r="O65" s="164"/>
      <c r="P65" s="164"/>
      <c r="Q65" s="163"/>
      <c r="R65" s="163"/>
      <c r="S65" s="163"/>
      <c r="T65" s="29"/>
      <c r="U65" s="142"/>
      <c r="V65" s="142"/>
      <c r="W65" s="29"/>
    </row>
    <row r="66" spans="1:23">
      <c r="A66" s="29"/>
      <c r="B66" s="29"/>
      <c r="C66" s="61" t="s">
        <v>115</v>
      </c>
      <c r="D66" s="30" t="s">
        <v>34</v>
      </c>
      <c r="E66" s="30" t="str">
        <f t="shared" si="12"/>
        <v>$millions</v>
      </c>
      <c r="F66" s="171">
        <v>44713</v>
      </c>
      <c r="G66" s="32"/>
      <c r="H66" s="32"/>
      <c r="I66" s="32"/>
      <c r="J66" s="164"/>
      <c r="K66" s="164"/>
      <c r="L66" s="164"/>
      <c r="M66" s="164"/>
      <c r="N66" s="164">
        <v>0</v>
      </c>
      <c r="O66" s="164"/>
      <c r="P66" s="164"/>
      <c r="Q66" s="163"/>
      <c r="R66" s="163"/>
      <c r="S66" s="163"/>
      <c r="T66" s="29"/>
      <c r="U66" s="142"/>
      <c r="V66" s="142"/>
      <c r="W66" s="29"/>
    </row>
    <row r="67" spans="1:23" s="102" customFormat="1">
      <c r="A67" s="197"/>
      <c r="B67" s="197"/>
      <c r="C67" s="198"/>
      <c r="D67" s="105"/>
      <c r="E67" s="105"/>
      <c r="F67" s="199"/>
      <c r="G67" s="200"/>
      <c r="H67" s="200"/>
      <c r="I67" s="200"/>
      <c r="J67" s="201"/>
      <c r="K67" s="201"/>
      <c r="L67" s="201"/>
      <c r="M67" s="201"/>
      <c r="N67" s="201"/>
      <c r="O67" s="201"/>
      <c r="P67" s="201"/>
      <c r="Q67" s="163"/>
      <c r="R67" s="163"/>
      <c r="S67" s="163"/>
      <c r="T67" s="29"/>
      <c r="U67" s="142"/>
      <c r="V67" s="165"/>
      <c r="W67" s="197"/>
    </row>
    <row r="68" spans="1:23">
      <c r="A68" s="29"/>
      <c r="B68" s="29"/>
      <c r="C68" s="61" t="s">
        <v>181</v>
      </c>
      <c r="D68" s="30" t="s">
        <v>34</v>
      </c>
      <c r="E68" s="30" t="str">
        <f t="shared" si="12"/>
        <v>$millions</v>
      </c>
      <c r="F68" s="171">
        <v>44713</v>
      </c>
      <c r="G68" s="32"/>
      <c r="H68" s="32"/>
      <c r="I68" s="32"/>
      <c r="J68" s="164"/>
      <c r="K68" s="164"/>
      <c r="L68" s="164"/>
      <c r="M68" s="164"/>
      <c r="N68" s="164">
        <v>0</v>
      </c>
      <c r="O68" s="164"/>
      <c r="P68" s="164"/>
      <c r="Q68" s="163"/>
      <c r="R68" s="163"/>
      <c r="S68" s="163"/>
      <c r="T68" s="29"/>
      <c r="U68" s="142"/>
      <c r="V68" s="142"/>
      <c r="W68" s="29"/>
    </row>
    <row r="69" spans="1:23" s="102" customFormat="1">
      <c r="A69" s="197"/>
      <c r="B69" s="197"/>
      <c r="C69" s="198"/>
      <c r="D69" s="105"/>
      <c r="E69" s="105"/>
      <c r="F69" s="199"/>
      <c r="G69" s="200"/>
      <c r="H69" s="200"/>
      <c r="I69" s="200"/>
      <c r="J69" s="201"/>
      <c r="K69" s="201"/>
      <c r="L69" s="201"/>
      <c r="M69" s="201"/>
      <c r="N69" s="201"/>
      <c r="O69" s="201"/>
      <c r="P69" s="201"/>
      <c r="Q69" s="163"/>
      <c r="R69" s="163"/>
      <c r="S69" s="163"/>
      <c r="T69" s="29"/>
      <c r="U69" s="165"/>
      <c r="V69" s="165"/>
      <c r="W69" s="197"/>
    </row>
    <row r="70" spans="1:23">
      <c r="A70" s="29"/>
      <c r="B70" s="29"/>
      <c r="C70" s="61" t="s">
        <v>89</v>
      </c>
      <c r="D70" s="30" t="s">
        <v>34</v>
      </c>
      <c r="E70" s="30" t="s">
        <v>31</v>
      </c>
      <c r="F70" s="32"/>
      <c r="G70" s="32"/>
      <c r="H70" s="32"/>
      <c r="I70" s="32"/>
      <c r="J70" s="202"/>
      <c r="K70" s="202"/>
      <c r="L70" s="202"/>
      <c r="M70" s="202"/>
      <c r="N70" s="227">
        <v>-2.319361520653096E-2</v>
      </c>
      <c r="O70" s="202"/>
      <c r="P70" s="202"/>
      <c r="Q70" s="163"/>
      <c r="R70" s="163"/>
      <c r="S70" s="163"/>
      <c r="T70" s="29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1:W45">
    <cfRule type="cellIs" dxfId="176" priority="39" operator="equal">
      <formula>"Check"</formula>
    </cfRule>
    <cfRule type="cellIs" dxfId="175" priority="40" operator="equal">
      <formula>"Ok"</formula>
    </cfRule>
  </conditionalFormatting>
  <conditionalFormatting sqref="W56">
    <cfRule type="cellIs" dxfId="174" priority="37" operator="equal">
      <formula>"Check"</formula>
    </cfRule>
    <cfRule type="cellIs" dxfId="173" priority="38" operator="equal">
      <formula>"Ok"</formula>
    </cfRule>
  </conditionalFormatting>
  <conditionalFormatting sqref="W15">
    <cfRule type="cellIs" dxfId="172" priority="35" operator="equal">
      <formula>"Check"</formula>
    </cfRule>
    <cfRule type="cellIs" dxfId="171" priority="36" operator="equal">
      <formula>"Ok"</formula>
    </cfRule>
  </conditionalFormatting>
  <conditionalFormatting sqref="V1">
    <cfRule type="cellIs" dxfId="170" priority="33" operator="equal">
      <formula>"Check"</formula>
    </cfRule>
    <cfRule type="cellIs" dxfId="169" priority="34" operator="equal">
      <formula>"Ok"</formula>
    </cfRule>
  </conditionalFormatting>
  <conditionalFormatting sqref="S1">
    <cfRule type="cellIs" dxfId="168" priority="31" operator="equal">
      <formula>"Check"</formula>
    </cfRule>
    <cfRule type="cellIs" dxfId="167" priority="32" operator="equal">
      <formula>"Ok"</formula>
    </cfRule>
  </conditionalFormatting>
  <conditionalFormatting sqref="J15:S15">
    <cfRule type="cellIs" dxfId="166" priority="30" operator="equal">
      <formula>0</formula>
    </cfRule>
  </conditionalFormatting>
  <conditionalFormatting sqref="J56:S56">
    <cfRule type="cellIs" dxfId="165" priority="29" operator="equal">
      <formula>0</formula>
    </cfRule>
  </conditionalFormatting>
  <conditionalFormatting sqref="W48:W50">
    <cfRule type="cellIs" dxfId="164" priority="27" operator="equal">
      <formula>"Check"</formula>
    </cfRule>
    <cfRule type="cellIs" dxfId="163" priority="28" operator="equal">
      <formula>"Ok"</formula>
    </cfRule>
  </conditionalFormatting>
  <conditionalFormatting sqref="P37:S37 J41:S45 J33:S33 J51:S54">
    <cfRule type="expression" dxfId="162" priority="25">
      <formula>J$34=J$4</formula>
    </cfRule>
  </conditionalFormatting>
  <conditionalFormatting sqref="J13:S13 J19:S27">
    <cfRule type="expression" dxfId="161" priority="24">
      <formula>J$10=J$4</formula>
    </cfRule>
  </conditionalFormatting>
  <conditionalFormatting sqref="J37:L37">
    <cfRule type="expression" dxfId="160" priority="21">
      <formula>J$10=J$4</formula>
    </cfRule>
  </conditionalFormatting>
  <conditionalFormatting sqref="W47">
    <cfRule type="cellIs" dxfId="159" priority="19" operator="equal">
      <formula>"Check"</formula>
    </cfRule>
    <cfRule type="cellIs" dxfId="158" priority="20" operator="equal">
      <formula>"Ok"</formula>
    </cfRule>
  </conditionalFormatting>
  <conditionalFormatting sqref="J47:S47">
    <cfRule type="cellIs" dxfId="157" priority="17" operator="equal">
      <formula>0</formula>
    </cfRule>
  </conditionalFormatting>
  <conditionalFormatting sqref="J68:P68 J70:P70 J62:P66">
    <cfRule type="expression" dxfId="156" priority="16">
      <formula>J$60=J$4</formula>
    </cfRule>
  </conditionalFormatting>
  <conditionalFormatting sqref="W29">
    <cfRule type="cellIs" dxfId="155" priority="12" operator="equal">
      <formula>"Check"</formula>
    </cfRule>
    <cfRule type="cellIs" dxfId="154" priority="13" operator="equal">
      <formula>"Ok"</formula>
    </cfRule>
  </conditionalFormatting>
  <conditionalFormatting sqref="J29:S29">
    <cfRule type="cellIs" dxfId="153" priority="11" operator="equal">
      <formula>0</formula>
    </cfRule>
  </conditionalFormatting>
  <conditionalFormatting sqref="M37">
    <cfRule type="expression" dxfId="152" priority="1">
      <formula>M$10=M$4</formula>
    </cfRule>
  </conditionalFormatting>
  <dataValidations disablePrompts="1" count="1">
    <dataValidation type="list" allowBlank="1" showInputMessage="1" showErrorMessage="1" sqref="J33:S33" xr:uid="{00000000-0002-0000-0300-000000000000}">
      <formula1>"Actual,Estimate"</formula1>
    </dataValidation>
  </dataValidations>
  <hyperlinks>
    <hyperlink ref="U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09"/>
  <sheetViews>
    <sheetView showGridLines="0" topLeftCell="A18" zoomScaleNormal="100" workbookViewId="0">
      <selection activeCell="M35" sqref="M35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IF(COUNTIF(W5:W108,"Check")=0,"Ok","Check")</f>
        <v>Ok</v>
      </c>
      <c r="V1" s="187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2"/>
      <c r="E3" s="182"/>
      <c r="F3" s="182"/>
      <c r="G3" s="182"/>
      <c r="H3" s="182"/>
      <c r="I3" s="182"/>
      <c r="J3" s="158" t="s">
        <v>119</v>
      </c>
      <c r="K3" s="231"/>
      <c r="L3" s="231"/>
      <c r="M3" s="231"/>
      <c r="N3" s="182"/>
      <c r="O3" s="231"/>
      <c r="P3" s="231"/>
      <c r="Q3" s="231"/>
      <c r="R3" s="231"/>
      <c r="S3" s="231"/>
      <c r="T3" s="231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43983</v>
      </c>
      <c r="K4" s="156">
        <f>DATE(PPFirstYear,MONTH('Input|General'!$G$9),1)</f>
        <v>44348</v>
      </c>
      <c r="L4" s="156">
        <f>DATE(PPFirstYear+1,MONTH('Input|General'!$G$9),1)</f>
        <v>44713</v>
      </c>
      <c r="M4" s="156">
        <f>DATE(PPFirstYear+2,MONTH('Input|General'!$G$9),1)</f>
        <v>45078</v>
      </c>
      <c r="N4" s="156">
        <f>DATE(PPFirstYear+3,MONTH('Input|General'!$G$9),1)</f>
        <v>45444</v>
      </c>
      <c r="O4" s="156">
        <f>DATE(PPFirstYear+4,MONTH('Input|General'!$G$9),1)</f>
        <v>45809</v>
      </c>
      <c r="P4" s="156">
        <f>DATE(PPFirstYear+5,MONTH('Input|General'!$G$9),1)</f>
        <v>46174</v>
      </c>
      <c r="Q4" s="156">
        <f>DATE(PPFirstYear+6,MONTH('Input|General'!$G$9),1)</f>
        <v>46539</v>
      </c>
      <c r="R4" s="156">
        <f>DATE(PPFirstYear+7,MONTH('Input|General'!$G$9),1)</f>
        <v>46905</v>
      </c>
      <c r="S4" s="156">
        <f>DATE(PPFirstYear+8,MONTH('Input|General'!$G$9),1)</f>
        <v>47270</v>
      </c>
      <c r="T4" s="156">
        <f>DATE(PPFirstYear+9,MONTH('Input|General'!$G$9),1)</f>
        <v>47635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43983</v>
      </c>
      <c r="K10" s="159">
        <f t="shared" si="0"/>
        <v>44348</v>
      </c>
      <c r="L10" s="159">
        <f t="shared" si="0"/>
        <v>44713</v>
      </c>
      <c r="M10" s="159">
        <f t="shared" si="0"/>
        <v>45078</v>
      </c>
      <c r="N10" s="159">
        <f t="shared" si="0"/>
        <v>45444</v>
      </c>
      <c r="O10" s="159">
        <f t="shared" si="0"/>
        <v>45809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IF(J10=J4,LOOKUP(EOMONTH(J4,0),'Input|Inflation'!$C$9:$C$84,'Input|Inflation'!$G$9:$G$84),"")</f>
        <v>-3.4843205574912606E-3</v>
      </c>
      <c r="K12" s="143">
        <f>IF(K10=K4,LOOKUP(EOMONTH(K4,0),'Input|Inflation'!$C$9:$C$84,'Input|Inflation'!$G$9:$G$84),"")</f>
        <v>3.8461538461538325E-2</v>
      </c>
      <c r="L12" s="143">
        <f>IF(L10=L4,LOOKUP(EOMONTH(L4,0),'Input|Inflation'!$C$9:$C$84,'Input|Inflation'!$G$9:$G$84),"")</f>
        <v>6.1447811447811418E-2</v>
      </c>
      <c r="M12" s="143">
        <f>IF(M10=M4,LOOKUP(EOMONTH(M4,0),'Input|Inflation'!$C$9:$C$84,'Input|Inflation'!$G$9:$G$84),"")</f>
        <v>6.0269627279936566E-2</v>
      </c>
      <c r="N12" s="143">
        <f>IF(N10=N4,LOOKUP(EOMONTH(N4,0),'Input|Inflation'!$C$9:$C$84,'Input|Inflation'!$G$9:$G$84),"")</f>
        <v>3.6000000000000032E-2</v>
      </c>
      <c r="O12" s="143">
        <f>IF(O10=O4,LOOKUP(EOMONTH(O4,0),'Input|Inflation'!$C$9:$C$84,'Input|Inflation'!$G$9:$G$84),"")</f>
        <v>3.0999999999999917E-2</v>
      </c>
      <c r="P12" s="143" t="str">
        <f>IF(P10=P4,LOOKUP(EOMONTH(P4,0),'Input|Inflation'!$C$9:$C$84,'Input|Inflation'!$G$9:$G$84),"")</f>
        <v/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99</v>
      </c>
      <c r="I14" s="29"/>
      <c r="J14" s="159">
        <f t="shared" ref="J14:T14" si="1">IF(YEAR(J$4)&lt;=PPLastYear,J$4,"")</f>
        <v>43983</v>
      </c>
      <c r="K14" s="159">
        <f t="shared" si="1"/>
        <v>44348</v>
      </c>
      <c r="L14" s="159">
        <f t="shared" si="1"/>
        <v>44713</v>
      </c>
      <c r="M14" s="159">
        <f t="shared" si="1"/>
        <v>45078</v>
      </c>
      <c r="N14" s="159">
        <f t="shared" si="1"/>
        <v>45444</v>
      </c>
      <c r="O14" s="159">
        <f t="shared" si="1"/>
        <v>45809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43983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1.0384615384615383</v>
      </c>
      <c r="L16" s="22">
        <f t="shared" si="3"/>
        <v>1.1022727272727271</v>
      </c>
      <c r="M16" s="22">
        <f t="shared" si="3"/>
        <v>1.1687062937062935</v>
      </c>
      <c r="N16" s="22">
        <f t="shared" si="3"/>
        <v>1.2107797202797201</v>
      </c>
      <c r="O16" s="22">
        <f t="shared" ref="O16" si="4">IF(AND($C16&gt;O$14,ISNONTEXT($C16)),P16/(1+O$12),IF(AND($C16=O$14,O$14=O$4),1,IF(AND($C16&lt;O$14,O$14=O$4),N16*(1+O$12),0)))</f>
        <v>1.2483138916083913</v>
      </c>
      <c r="P16" s="208"/>
      <c r="Q16" s="208"/>
      <c r="R16" s="208"/>
      <c r="S16" s="208"/>
      <c r="T16" s="208"/>
    </row>
    <row r="17" spans="1:50" ht="11.25" customHeight="1" outlineLevel="1">
      <c r="C17" s="166">
        <v>44348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0.96296296296296313</v>
      </c>
      <c r="K17" s="22">
        <f t="shared" si="6"/>
        <v>1</v>
      </c>
      <c r="L17" s="22">
        <f t="shared" si="6"/>
        <v>1.0614478114478114</v>
      </c>
      <c r="M17" s="22">
        <f t="shared" si="6"/>
        <v>1.1254208754208754</v>
      </c>
      <c r="N17" s="22">
        <f t="shared" si="6"/>
        <v>1.165936026936027</v>
      </c>
      <c r="O17" s="22">
        <f t="shared" ref="O17" si="7">IF(AND($C17&gt;O$14,ISNONTEXT($C17)),P17/(1+O$12),IF(AND($C17=O$14,O$14=O$4),1,IF(AND($C17&lt;O$14,O$14=O$4),N17*(1+O$12),0)))</f>
        <v>1.2020800437710437</v>
      </c>
      <c r="P17" s="208"/>
      <c r="Q17" s="208"/>
      <c r="R17" s="208"/>
      <c r="S17" s="208"/>
      <c r="T17" s="208"/>
    </row>
    <row r="18" spans="1:50" ht="11.25" customHeight="1" outlineLevel="1">
      <c r="C18" s="166">
        <v>44713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0.90721649484536093</v>
      </c>
      <c r="K18" s="22">
        <f t="shared" si="8"/>
        <v>0.94210943695479776</v>
      </c>
      <c r="L18" s="22">
        <f t="shared" si="8"/>
        <v>1</v>
      </c>
      <c r="M18" s="22">
        <f t="shared" si="8"/>
        <v>1.0602696272799366</v>
      </c>
      <c r="N18" s="22">
        <f t="shared" si="8"/>
        <v>1.0984393338620144</v>
      </c>
      <c r="O18" s="22">
        <f t="shared" ref="O18" si="9">IF(AND($C18&gt;O$14,ISNONTEXT($C18)),P18/(1+O$12),IF(AND($C18=O$14,O$14=O$4),1,IF(AND($C18&lt;O$14,O$14=O$4),N18*(1+O$12),0)))</f>
        <v>1.1324909532117369</v>
      </c>
      <c r="P18" s="208"/>
      <c r="Q18" s="208"/>
      <c r="R18" s="208"/>
      <c r="S18" s="208"/>
      <c r="T18" s="208"/>
    </row>
    <row r="19" spans="1:50" ht="11.25" customHeight="1" outlineLevel="1">
      <c r="C19" s="166">
        <v>45078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0.85564697083021701</v>
      </c>
      <c r="K19" s="22">
        <f t="shared" si="10"/>
        <v>0.88855646970830215</v>
      </c>
      <c r="L19" s="22">
        <f t="shared" si="10"/>
        <v>0.94315632011967088</v>
      </c>
      <c r="M19" s="22">
        <f t="shared" si="10"/>
        <v>1</v>
      </c>
      <c r="N19" s="22">
        <f t="shared" si="10"/>
        <v>1.036</v>
      </c>
      <c r="O19" s="22">
        <f t="shared" ref="O19" si="11">IF(AND($C19&gt;O$14,ISNONTEXT($C19)),P19/(1+O$12),IF(AND($C19=O$14,O$14=O$4),1,IF(AND($C19&lt;O$14,O$14=O$4),N19*(1+O$12),0)))</f>
        <v>1.0681159999999998</v>
      </c>
      <c r="P19" s="208"/>
      <c r="Q19" s="208"/>
      <c r="R19" s="208"/>
      <c r="S19" s="208"/>
      <c r="T19" s="208"/>
    </row>
    <row r="20" spans="1:50" ht="11.25" customHeight="1" outlineLevel="1">
      <c r="C20" s="166">
        <v>45444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0.82591406450793137</v>
      </c>
      <c r="K20" s="22">
        <f t="shared" ref="K20:N20" si="12">IF(AND($C20&gt;K$14,ISNONTEXT($C20)),L20/(1+L$12),IF(AND($C20=K$14,K$14=K$4),1,IF(AND($C20&lt;K$14,K$14=K$4),J20*(1+K$12),0)))</f>
        <v>0.85767999006592865</v>
      </c>
      <c r="L20" s="22">
        <f t="shared" si="12"/>
        <v>0.91038254837806065</v>
      </c>
      <c r="M20" s="22">
        <f t="shared" si="12"/>
        <v>0.96525096525096521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1.0309999999999999</v>
      </c>
      <c r="P20" s="208"/>
      <c r="Q20" s="208"/>
      <c r="R20" s="208"/>
      <c r="S20" s="208"/>
      <c r="T20" s="208"/>
    </row>
    <row r="21" spans="1:50" ht="11.25" customHeight="1" outlineLevel="1">
      <c r="C21" s="166">
        <v>45809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0.80108056693300833</v>
      </c>
      <c r="K21" s="22">
        <f t="shared" ref="K21" si="14">IF(AND($C21&gt;K$14,ISNONTEXT($C21)),L21/(1+L$12),IF(AND($C21=K$14,K$14=K$4),1,IF(AND($C21&lt;K$14,K$14=K$4),J21*(1+K$12),0)))</f>
        <v>0.83189135796889313</v>
      </c>
      <c r="L21" s="22">
        <f t="shared" ref="L21" si="15">IF(AND($C21&gt;L$14,ISNONTEXT($C21)),M21/(1+M$12),IF(AND($C21=L$14,L$14=L$4),1,IF(AND($C21&lt;L$14,L$14=L$4),K21*(1+L$12),0)))</f>
        <v>0.88300926127842949</v>
      </c>
      <c r="M21" s="22">
        <f t="shared" ref="M21" si="16">IF(AND($C21&gt;M$14,ISNONTEXT($C21)),N21/(1+N$12),IF(AND($C21=M$14,M$14=M$4),1,IF(AND($C21&lt;M$14,M$14=M$4),L21*(1+M$12),0)))</f>
        <v>0.93622790034041259</v>
      </c>
      <c r="N21" s="22">
        <f t="shared" ref="N21" si="17">IF(AND($C21&gt;N$14,ISNONTEXT($C21)),O21/(1+O$12),IF(AND($C21=N$14,N$14=N$4),1,IF(AND($C21&lt;N$14,N$14=N$4),M21*(1+N$12),0)))</f>
        <v>0.96993210475266745</v>
      </c>
      <c r="O21" s="22">
        <f t="shared" ref="O21" si="18">IF(AND($C21&gt;O$14,ISNONTEXT($C21)),P21/(1+O$12),IF(AND($C21=O$14,O$14=O$4),1,IF(AND($C21&lt;O$14,O$14=O$4),N21*(1+O$12),0)))</f>
        <v>1</v>
      </c>
      <c r="P21" s="208"/>
      <c r="Q21" s="208"/>
      <c r="R21" s="208"/>
      <c r="S21" s="208"/>
      <c r="T21" s="208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43983</v>
      </c>
      <c r="K23" s="159">
        <f t="shared" si="19"/>
        <v>44348</v>
      </c>
      <c r="L23" s="159">
        <f t="shared" si="19"/>
        <v>44713</v>
      </c>
      <c r="M23" s="159">
        <f t="shared" si="19"/>
        <v>45078</v>
      </c>
      <c r="N23" s="159">
        <f t="shared" si="19"/>
        <v>45444</v>
      </c>
      <c r="O23" s="159">
        <f t="shared" si="19"/>
        <v>45809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43983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0.99825631951042948</v>
      </c>
      <c r="K25" s="22">
        <f t="shared" ref="K25:T25" si="21">IF(AND(K$23=K$4,ISNONTEXT($C25)),1/K16*(1+K$12)^0.5,0)</f>
        <v>0.98130676292531638</v>
      </c>
      <c r="L25" s="22">
        <f t="shared" si="21"/>
        <v>0.93467421272075479</v>
      </c>
      <c r="M25" s="22">
        <f t="shared" si="21"/>
        <v>0.88105450779258843</v>
      </c>
      <c r="N25" s="22">
        <f t="shared" si="21"/>
        <v>0.84064907509750109</v>
      </c>
      <c r="O25" s="22">
        <f t="shared" si="21"/>
        <v>0.81340254919317712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44348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1.0366507933377536</v>
      </c>
      <c r="K26" s="22">
        <f t="shared" si="23"/>
        <v>1.019049330730136</v>
      </c>
      <c r="L26" s="22">
        <f t="shared" si="23"/>
        <v>0.970623220902322</v>
      </c>
      <c r="M26" s="22">
        <f t="shared" si="23"/>
        <v>0.9149412196307648</v>
      </c>
      <c r="N26" s="22">
        <f t="shared" si="23"/>
        <v>0.8729817318320201</v>
      </c>
      <c r="O26" s="22">
        <f t="shared" si="23"/>
        <v>0.84468726262368377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44713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1.100350715823996</v>
      </c>
      <c r="K27" s="22">
        <f t="shared" si="24"/>
        <v>1.0816676818608599</v>
      </c>
      <c r="L27" s="22">
        <f t="shared" si="24"/>
        <v>1.0302658935671953</v>
      </c>
      <c r="M27" s="22">
        <f t="shared" si="24"/>
        <v>0.97116235518046667</v>
      </c>
      <c r="N27" s="22">
        <f t="shared" si="24"/>
        <v>0.92662454868701805</v>
      </c>
      <c r="O27" s="22">
        <f t="shared" si="24"/>
        <v>0.89659144626975162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45078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1.1666684433439196</v>
      </c>
      <c r="K28" s="22">
        <f t="shared" si="25"/>
        <v>1.1468593898873669</v>
      </c>
      <c r="L28" s="22">
        <f t="shared" si="25"/>
        <v>1.0923596349717211</v>
      </c>
      <c r="M28" s="22">
        <f t="shared" si="25"/>
        <v>1.0296939483554988</v>
      </c>
      <c r="N28" s="22">
        <f t="shared" si="25"/>
        <v>0.98247186486482407</v>
      </c>
      <c r="O28" s="22">
        <f t="shared" si="25"/>
        <v>0.95062867855880917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45444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1.2086685073043009</v>
      </c>
      <c r="K29" s="22">
        <f t="shared" si="26"/>
        <v>1.1881463279233122</v>
      </c>
      <c r="L29" s="22">
        <f t="shared" si="26"/>
        <v>1.1316845818307031</v>
      </c>
      <c r="M29" s="22">
        <f t="shared" si="26"/>
        <v>1.0667629304962967</v>
      </c>
      <c r="N29" s="22">
        <f t="shared" si="26"/>
        <v>1.0178408519999578</v>
      </c>
      <c r="O29" s="22">
        <f t="shared" si="26"/>
        <v>0.98485131098692624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45809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1.2461372310307339</v>
      </c>
      <c r="K30" s="22">
        <f t="shared" si="27"/>
        <v>1.2249788640889347</v>
      </c>
      <c r="L30" s="22">
        <f t="shared" si="27"/>
        <v>1.1667668038674546</v>
      </c>
      <c r="M30" s="22">
        <f t="shared" si="27"/>
        <v>1.0998325813416818</v>
      </c>
      <c r="N30" s="22">
        <f t="shared" si="27"/>
        <v>1.0493939184119563</v>
      </c>
      <c r="O30" s="22">
        <f t="shared" si="27"/>
        <v>1.0153817016275208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77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80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46174</v>
      </c>
      <c r="Q34" s="163">
        <f t="shared" si="28"/>
        <v>46539</v>
      </c>
      <c r="R34" s="163">
        <f t="shared" si="28"/>
        <v>46905</v>
      </c>
      <c r="S34" s="163">
        <f t="shared" si="28"/>
        <v>47270</v>
      </c>
      <c r="T34" s="163">
        <f t="shared" si="28"/>
        <v>47635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211</v>
      </c>
      <c r="D36" s="30" t="s">
        <v>101</v>
      </c>
      <c r="E36" s="30" t="str">
        <f t="shared" ref="E36:E43" si="29">percent</f>
        <v>Per cent</v>
      </c>
      <c r="J36" s="204"/>
      <c r="K36" s="152"/>
      <c r="L36" s="152"/>
      <c r="M36" s="152"/>
      <c r="N36" s="152"/>
      <c r="O36" s="152"/>
      <c r="P36" s="224">
        <v>1.3041120230926193E-2</v>
      </c>
      <c r="Q36" s="224">
        <v>1.1834412131476277E-2</v>
      </c>
      <c r="R36" s="224">
        <v>9.2105470224950418E-3</v>
      </c>
      <c r="S36" s="224">
        <v>1.219891576096881E-2</v>
      </c>
      <c r="T36" s="224">
        <v>1.3798374391869048E-2</v>
      </c>
    </row>
    <row r="37" spans="3:23" ht="11.25" customHeight="1" outlineLevel="1">
      <c r="C37" s="61" t="s">
        <v>212</v>
      </c>
      <c r="D37" s="30" t="s">
        <v>101</v>
      </c>
      <c r="E37" s="30" t="str">
        <f t="shared" si="29"/>
        <v>Per cent</v>
      </c>
      <c r="J37" s="204"/>
      <c r="K37" s="152"/>
      <c r="L37" s="152"/>
      <c r="M37" s="152"/>
      <c r="N37" s="152"/>
      <c r="O37" s="152"/>
      <c r="P37" s="224">
        <v>8.9999999999999993E-3</v>
      </c>
      <c r="Q37" s="224">
        <v>1.0999999999999999E-2</v>
      </c>
      <c r="R37" s="224">
        <v>1.0999999999999999E-2</v>
      </c>
      <c r="S37" s="224">
        <v>1.0999999999999999E-2</v>
      </c>
      <c r="T37" s="224">
        <v>1.0999999999999999E-2</v>
      </c>
    </row>
    <row r="38" spans="3:23" ht="11.25" customHeight="1" outlineLevel="1">
      <c r="C38" s="61" t="s">
        <v>213</v>
      </c>
      <c r="D38" s="30" t="s">
        <v>101</v>
      </c>
      <c r="E38" s="30" t="str">
        <f t="shared" si="29"/>
        <v>Per cent</v>
      </c>
      <c r="J38" s="204"/>
      <c r="K38" s="152"/>
      <c r="L38" s="152"/>
      <c r="M38" s="152"/>
      <c r="N38" s="152"/>
      <c r="O38" s="152"/>
      <c r="P38" s="220">
        <f>AVERAGE(P36:P37)</f>
        <v>1.1020560115463096E-2</v>
      </c>
      <c r="Q38" s="220">
        <f>AVERAGE(Q36:Q37)</f>
        <v>1.1417206065738138E-2</v>
      </c>
      <c r="R38" s="220">
        <f>AVERAGE(R36:R37)</f>
        <v>1.0105273511247521E-2</v>
      </c>
      <c r="S38" s="220">
        <f>AVERAGE(S36:S37)</f>
        <v>1.1599457880484405E-2</v>
      </c>
      <c r="T38" s="220">
        <f>AVERAGE(T36:T37)</f>
        <v>1.2399187195934525E-2</v>
      </c>
    </row>
    <row r="39" spans="3:23" ht="11.25" customHeight="1" outlineLevel="1">
      <c r="C39" s="61" t="s">
        <v>207</v>
      </c>
      <c r="D39" s="30" t="s">
        <v>101</v>
      </c>
      <c r="E39" s="30" t="str">
        <f t="shared" si="29"/>
        <v>Per cent</v>
      </c>
      <c r="J39" s="204"/>
      <c r="K39" s="152"/>
      <c r="L39" s="152"/>
      <c r="M39" s="152"/>
      <c r="N39" s="152"/>
      <c r="O39" s="152"/>
      <c r="P39" s="60">
        <v>5.0000000000000001E-3</v>
      </c>
      <c r="Q39" s="60">
        <v>0</v>
      </c>
      <c r="R39" s="60">
        <v>0</v>
      </c>
      <c r="S39" s="60">
        <v>0</v>
      </c>
      <c r="T39" s="60">
        <v>0</v>
      </c>
      <c r="U39" s="147"/>
    </row>
    <row r="40" spans="3:23" ht="11.25" customHeight="1" outlineLevel="1">
      <c r="C40" s="61" t="s">
        <v>208</v>
      </c>
      <c r="D40" s="30" t="s">
        <v>101</v>
      </c>
      <c r="E40" s="30" t="str">
        <f t="shared" si="29"/>
        <v>Per cent</v>
      </c>
      <c r="J40" s="204"/>
      <c r="K40" s="152"/>
      <c r="L40" s="152"/>
      <c r="M40" s="152"/>
      <c r="N40" s="152"/>
      <c r="O40" s="152"/>
      <c r="P40" s="60">
        <f t="shared" ref="P40:T40" si="30">SUM(P38:P39)</f>
        <v>1.6020560115463097E-2</v>
      </c>
      <c r="Q40" s="60">
        <f t="shared" si="30"/>
        <v>1.1417206065738138E-2</v>
      </c>
      <c r="R40" s="60">
        <f t="shared" si="30"/>
        <v>1.0105273511247521E-2</v>
      </c>
      <c r="S40" s="60">
        <f t="shared" si="30"/>
        <v>1.1599457880484405E-2</v>
      </c>
      <c r="T40" s="60">
        <f t="shared" si="30"/>
        <v>1.2399187195934525E-2</v>
      </c>
    </row>
    <row r="41" spans="3:23" ht="11.25" customHeight="1" outlineLevel="1">
      <c r="C41" s="61"/>
      <c r="D41" s="30" t="s">
        <v>101</v>
      </c>
      <c r="E41" s="30" t="str">
        <f t="shared" si="29"/>
        <v>Per cent</v>
      </c>
      <c r="J41" s="204"/>
      <c r="K41" s="152"/>
      <c r="L41" s="152"/>
      <c r="M41" s="152"/>
      <c r="N41" s="152"/>
      <c r="O41" s="152"/>
      <c r="P41" s="60"/>
      <c r="Q41" s="60"/>
      <c r="R41" s="60"/>
      <c r="S41" s="60"/>
      <c r="T41" s="209"/>
    </row>
    <row r="42" spans="3:23" ht="11.25" customHeight="1" outlineLevel="1">
      <c r="C42" s="61"/>
      <c r="D42" s="30" t="s">
        <v>101</v>
      </c>
      <c r="E42" s="30" t="str">
        <f t="shared" si="29"/>
        <v>Per cent</v>
      </c>
      <c r="J42" s="204"/>
      <c r="K42" s="152"/>
      <c r="L42" s="152"/>
      <c r="M42" s="152"/>
      <c r="N42" s="152"/>
      <c r="O42" s="152"/>
      <c r="P42" s="60"/>
      <c r="Q42" s="60"/>
      <c r="R42" s="60"/>
      <c r="S42" s="60"/>
      <c r="T42" s="209"/>
    </row>
    <row r="43" spans="3:23" ht="11.25" customHeight="1" outlineLevel="1">
      <c r="C43" s="61" t="s">
        <v>81</v>
      </c>
      <c r="D43" s="30" t="s">
        <v>101</v>
      </c>
      <c r="E43" s="30" t="str">
        <f t="shared" si="29"/>
        <v>Per cent</v>
      </c>
      <c r="J43" s="204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09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98</v>
      </c>
      <c r="E45" s="30" t="s">
        <v>28</v>
      </c>
      <c r="F45" s="30" t="s">
        <v>36</v>
      </c>
      <c r="J45" s="132" t="str">
        <f t="shared" ref="J45:O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>IF(P34=P4,IF(COUNTA($C36:$C43)=COUNT(P36:P43),"Ok","Check"),"")</f>
        <v>Ok</v>
      </c>
      <c r="Q45" s="132" t="str">
        <f>IF(Q34=Q4,IF(COUNTA($C36:$C43)=COUNT(Q36:Q43),"Ok","Check"),"")</f>
        <v>Ok</v>
      </c>
      <c r="R45" s="132" t="str">
        <f>IF(R34=R4,IF(COUNTA($C36:$C43)=COUNT(R36:R43),"Ok","Check"),"")</f>
        <v>Ok</v>
      </c>
      <c r="S45" s="132" t="str">
        <f>IF(S34=S4,IF(COUNTA($C36:$C43)=COUNT(S36:S43),"Ok","Check"),"")</f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46174</v>
      </c>
      <c r="Q47" s="163">
        <f t="shared" si="32"/>
        <v>46539</v>
      </c>
      <c r="R47" s="163">
        <f t="shared" si="32"/>
        <v>46905</v>
      </c>
      <c r="S47" s="163">
        <f t="shared" si="32"/>
        <v>47270</v>
      </c>
      <c r="T47" s="163">
        <f t="shared" si="32"/>
        <v>47635</v>
      </c>
    </row>
    <row r="48" spans="3:23" ht="11.25" customHeight="1" outlineLevel="1"/>
    <row r="49" spans="1:50" ht="11.25" customHeight="1" outlineLevel="1">
      <c r="C49" s="148" t="str">
        <f t="shared" ref="C49:C56" si="33">C36</f>
        <v>WPI – Oxford Economics</v>
      </c>
      <c r="D49" s="30" t="s">
        <v>101</v>
      </c>
      <c r="E49" s="30" t="str">
        <f t="shared" ref="E49:E56" si="34">percent</f>
        <v>Per cent</v>
      </c>
      <c r="J49" s="204"/>
      <c r="K49" s="152"/>
      <c r="L49" s="152"/>
      <c r="M49" s="152"/>
      <c r="N49" s="152"/>
      <c r="O49" s="152"/>
      <c r="P49" s="60">
        <v>0</v>
      </c>
      <c r="Q49" s="60">
        <v>0</v>
      </c>
      <c r="R49" s="60">
        <v>0</v>
      </c>
      <c r="S49" s="60">
        <v>0</v>
      </c>
      <c r="T49" s="60">
        <v>0</v>
      </c>
    </row>
    <row r="50" spans="1:50" ht="11.25" customHeight="1" outlineLevel="1">
      <c r="C50" s="148" t="str">
        <f t="shared" si="33"/>
        <v>WPI – KPMG</v>
      </c>
      <c r="D50" s="30" t="s">
        <v>101</v>
      </c>
      <c r="E50" s="30" t="str">
        <f t="shared" si="34"/>
        <v>Per cent</v>
      </c>
      <c r="J50" s="204"/>
      <c r="K50" s="152"/>
      <c r="L50" s="152"/>
      <c r="M50" s="152"/>
      <c r="N50" s="152"/>
      <c r="O50" s="152"/>
      <c r="P50" s="60">
        <v>0</v>
      </c>
      <c r="Q50" s="60">
        <v>0</v>
      </c>
      <c r="R50" s="60">
        <v>0</v>
      </c>
      <c r="S50" s="60">
        <v>0</v>
      </c>
      <c r="T50" s="60">
        <v>0</v>
      </c>
    </row>
    <row r="51" spans="1:50" ht="11.25" customHeight="1" outlineLevel="1">
      <c r="C51" s="148" t="str">
        <f t="shared" si="33"/>
        <v>WPI - average of Oxford Economics and KPMG</v>
      </c>
      <c r="D51" s="30" t="s">
        <v>101</v>
      </c>
      <c r="E51" s="30" t="str">
        <f t="shared" si="34"/>
        <v>Per cent</v>
      </c>
      <c r="J51" s="204"/>
      <c r="K51" s="152"/>
      <c r="L51" s="152"/>
      <c r="M51" s="152"/>
      <c r="N51" s="152"/>
      <c r="O51" s="152"/>
      <c r="P51" s="60">
        <v>0</v>
      </c>
      <c r="Q51" s="60">
        <v>0</v>
      </c>
      <c r="R51" s="60">
        <v>0</v>
      </c>
      <c r="S51" s="60">
        <v>0</v>
      </c>
      <c r="T51" s="60">
        <v>0</v>
      </c>
    </row>
    <row r="52" spans="1:50" ht="11.25" customHeight="1" outlineLevel="1">
      <c r="C52" s="148" t="str">
        <f t="shared" si="33"/>
        <v>Superannuation guarantee increases</v>
      </c>
      <c r="D52" s="30" t="s">
        <v>101</v>
      </c>
      <c r="E52" s="30" t="str">
        <f t="shared" si="34"/>
        <v>Per cent</v>
      </c>
      <c r="J52" s="204"/>
      <c r="K52" s="152"/>
      <c r="L52" s="152"/>
      <c r="M52" s="152"/>
      <c r="N52" s="152"/>
      <c r="O52" s="152"/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147"/>
    </row>
    <row r="53" spans="1:50" ht="11.25" customHeight="1" outlineLevel="1">
      <c r="C53" s="148" t="str">
        <f t="shared" si="33"/>
        <v>WPI - average + super guarantee increases</v>
      </c>
      <c r="D53" s="30" t="s">
        <v>101</v>
      </c>
      <c r="E53" s="30" t="str">
        <f t="shared" si="34"/>
        <v>Per cent</v>
      </c>
      <c r="J53" s="204"/>
      <c r="K53" s="152"/>
      <c r="L53" s="152"/>
      <c r="M53" s="152"/>
      <c r="N53" s="152"/>
      <c r="O53" s="152"/>
      <c r="P53" s="60">
        <v>0.59199999999999997</v>
      </c>
      <c r="Q53" s="60">
        <v>0.59199999999999997</v>
      </c>
      <c r="R53" s="60">
        <v>0.59199999999999997</v>
      </c>
      <c r="S53" s="60">
        <v>0.59199999999999997</v>
      </c>
      <c r="T53" s="60">
        <v>0.59199999999999997</v>
      </c>
    </row>
    <row r="54" spans="1:50" ht="11.25" customHeight="1" outlineLevel="1">
      <c r="C54" s="148">
        <f t="shared" si="33"/>
        <v>0</v>
      </c>
      <c r="D54" s="30" t="s">
        <v>101</v>
      </c>
      <c r="E54" s="30" t="str">
        <f t="shared" si="34"/>
        <v>Per cent</v>
      </c>
      <c r="J54" s="204"/>
      <c r="K54" s="152"/>
      <c r="L54" s="152"/>
      <c r="M54" s="152"/>
      <c r="N54" s="152"/>
      <c r="O54" s="152"/>
      <c r="P54" s="60"/>
      <c r="Q54" s="60"/>
      <c r="R54" s="60"/>
      <c r="S54" s="60"/>
      <c r="T54" s="60"/>
    </row>
    <row r="55" spans="1:50" ht="11.25" customHeight="1" outlineLevel="1">
      <c r="C55" s="148">
        <f t="shared" si="33"/>
        <v>0</v>
      </c>
      <c r="D55" s="30" t="s">
        <v>101</v>
      </c>
      <c r="E55" s="30" t="str">
        <f t="shared" si="34"/>
        <v>Per cent</v>
      </c>
      <c r="J55" s="204"/>
      <c r="K55" s="152"/>
      <c r="L55" s="152"/>
      <c r="M55" s="152"/>
      <c r="N55" s="152"/>
      <c r="O55" s="152"/>
      <c r="P55" s="60"/>
      <c r="Q55" s="60"/>
      <c r="R55" s="60"/>
      <c r="S55" s="60"/>
      <c r="T55" s="60"/>
    </row>
    <row r="56" spans="1:50" ht="11.25" customHeight="1" outlineLevel="1">
      <c r="C56" s="148" t="str">
        <f t="shared" si="33"/>
        <v>CPI</v>
      </c>
      <c r="D56" s="30" t="s">
        <v>101</v>
      </c>
      <c r="E56" s="30" t="str">
        <f t="shared" si="34"/>
        <v>Per cent</v>
      </c>
      <c r="J56" s="204"/>
      <c r="K56" s="152"/>
      <c r="L56" s="152"/>
      <c r="M56" s="152"/>
      <c r="N56" s="152"/>
      <c r="O56" s="152"/>
      <c r="P56" s="60">
        <f t="shared" ref="P56:T56" si="35">1-P53</f>
        <v>0.40800000000000003</v>
      </c>
      <c r="Q56" s="60">
        <f t="shared" si="35"/>
        <v>0.40800000000000003</v>
      </c>
      <c r="R56" s="60">
        <f t="shared" si="35"/>
        <v>0.40800000000000003</v>
      </c>
      <c r="S56" s="60">
        <f t="shared" si="35"/>
        <v>0.40800000000000003</v>
      </c>
      <c r="T56" s="60">
        <f t="shared" si="35"/>
        <v>0.40800000000000003</v>
      </c>
    </row>
    <row r="57" spans="1:50" ht="11.25" customHeight="1" outlineLevel="1"/>
    <row r="58" spans="1:50" outlineLevel="1">
      <c r="C58" s="29" t="s">
        <v>40</v>
      </c>
      <c r="D58" s="30" t="s">
        <v>98</v>
      </c>
      <c r="E58" s="30" t="s">
        <v>28</v>
      </c>
      <c r="F58" s="30" t="s">
        <v>36</v>
      </c>
      <c r="J58" s="132" t="str">
        <f t="shared" ref="J58:S58" si="36">IF(J47=J$4,IF(SUM(J49:J56)=1,"Ok","Check"),"")</f>
        <v/>
      </c>
      <c r="K58" s="132" t="str">
        <f t="shared" si="36"/>
        <v/>
      </c>
      <c r="L58" s="132" t="str">
        <f t="shared" si="36"/>
        <v/>
      </c>
      <c r="M58" s="132" t="str">
        <f t="shared" si="36"/>
        <v/>
      </c>
      <c r="N58" s="132" t="str">
        <f t="shared" si="36"/>
        <v/>
      </c>
      <c r="O58" s="132" t="str">
        <f t="shared" si="36"/>
        <v/>
      </c>
      <c r="P58" s="132" t="str">
        <f t="shared" si="36"/>
        <v>Ok</v>
      </c>
      <c r="Q58" s="132" t="str">
        <f t="shared" si="36"/>
        <v>Ok</v>
      </c>
      <c r="R58" s="132" t="str">
        <f t="shared" si="36"/>
        <v>Ok</v>
      </c>
      <c r="S58" s="132" t="str">
        <f t="shared" si="36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84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85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7">IF(YEAR(J$4)&gt;=PPLastYear,IF(YEAR(J$4)&lt;=FPLastYear,J$4,""),"")</f>
        <v/>
      </c>
      <c r="K62" s="163" t="str">
        <f t="shared" si="37"/>
        <v/>
      </c>
      <c r="L62" s="163" t="str">
        <f t="shared" si="37"/>
        <v/>
      </c>
      <c r="M62" s="163" t="str">
        <f t="shared" si="37"/>
        <v/>
      </c>
      <c r="N62" s="163" t="str">
        <f t="shared" si="37"/>
        <v/>
      </c>
      <c r="O62" s="163">
        <f t="shared" si="37"/>
        <v>45809</v>
      </c>
      <c r="P62" s="163">
        <f t="shared" si="37"/>
        <v>46174</v>
      </c>
      <c r="Q62" s="163">
        <f t="shared" si="37"/>
        <v>46539</v>
      </c>
      <c r="R62" s="163">
        <f t="shared" si="37"/>
        <v>46905</v>
      </c>
      <c r="S62" s="163">
        <f t="shared" si="37"/>
        <v>47270</v>
      </c>
      <c r="T62" s="163">
        <f t="shared" si="37"/>
        <v>47635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170</v>
      </c>
      <c r="D64" s="30" t="s">
        <v>101</v>
      </c>
      <c r="E64" s="30" t="s">
        <v>18</v>
      </c>
      <c r="F64" s="30" t="s">
        <v>36</v>
      </c>
      <c r="G64" s="32"/>
      <c r="H64" s="32"/>
      <c r="J64" s="204"/>
      <c r="K64" s="195"/>
      <c r="L64" s="195"/>
      <c r="M64" s="195"/>
      <c r="N64" s="195"/>
      <c r="O64" s="196">
        <v>800102.73156107182</v>
      </c>
      <c r="P64" s="196">
        <v>806761.95315366553</v>
      </c>
      <c r="Q64" s="196">
        <v>813558.93550330412</v>
      </c>
      <c r="R64" s="196">
        <v>820226.21476569993</v>
      </c>
      <c r="S64" s="196">
        <v>826551.62878911628</v>
      </c>
      <c r="T64" s="196">
        <v>832756.34338965651</v>
      </c>
    </row>
    <row r="65" spans="3:23" outlineLevel="1">
      <c r="C65" s="61" t="s">
        <v>171</v>
      </c>
      <c r="D65" s="30" t="s">
        <v>101</v>
      </c>
      <c r="E65" s="30" t="s">
        <v>18</v>
      </c>
      <c r="F65" s="30" t="s">
        <v>36</v>
      </c>
      <c r="G65" s="32"/>
      <c r="H65" s="32"/>
      <c r="J65" s="204"/>
      <c r="K65" s="195"/>
      <c r="L65" s="195"/>
      <c r="M65" s="195"/>
      <c r="N65" s="195"/>
      <c r="O65" s="196">
        <v>155449.22993949405</v>
      </c>
      <c r="P65" s="196">
        <v>155960.60549060281</v>
      </c>
      <c r="Q65" s="196">
        <v>156475.8967411335</v>
      </c>
      <c r="R65" s="196">
        <v>157004.16139679606</v>
      </c>
      <c r="S65" s="196">
        <v>157527.47883976885</v>
      </c>
      <c r="T65" s="196">
        <v>158064.88815920812</v>
      </c>
    </row>
    <row r="66" spans="3:23" outlineLevel="1">
      <c r="C66" s="61" t="s">
        <v>172</v>
      </c>
      <c r="D66" s="30" t="s">
        <v>101</v>
      </c>
      <c r="E66" s="30" t="s">
        <v>18</v>
      </c>
      <c r="F66" s="30" t="s">
        <v>36</v>
      </c>
      <c r="G66" s="32"/>
      <c r="H66" s="32"/>
      <c r="J66" s="204"/>
      <c r="K66" s="195"/>
      <c r="L66" s="195"/>
      <c r="M66" s="195"/>
      <c r="N66" s="195"/>
      <c r="O66" s="196">
        <v>3093</v>
      </c>
      <c r="P66" s="196">
        <v>3105</v>
      </c>
      <c r="Q66" s="196">
        <v>3136</v>
      </c>
      <c r="R66" s="196">
        <v>3176</v>
      </c>
      <c r="S66" s="196">
        <v>3190</v>
      </c>
      <c r="T66" s="196">
        <v>3216</v>
      </c>
    </row>
    <row r="67" spans="3:23" outlineLevel="1">
      <c r="C67" s="61"/>
      <c r="D67" s="30" t="s">
        <v>101</v>
      </c>
      <c r="E67" s="30" t="s">
        <v>18</v>
      </c>
      <c r="F67" s="30" t="s">
        <v>36</v>
      </c>
      <c r="G67" s="32"/>
      <c r="H67" s="32"/>
      <c r="J67" s="204"/>
      <c r="K67" s="195"/>
      <c r="L67" s="195"/>
      <c r="M67" s="195"/>
      <c r="N67" s="195"/>
      <c r="O67" s="219"/>
      <c r="P67" s="219"/>
      <c r="Q67" s="219"/>
      <c r="R67" s="219"/>
      <c r="S67" s="219"/>
      <c r="T67" s="219"/>
    </row>
    <row r="68" spans="3:23" outlineLevel="1">
      <c r="C68" s="61"/>
      <c r="D68" s="30" t="s">
        <v>101</v>
      </c>
      <c r="E68" s="30" t="s">
        <v>18</v>
      </c>
      <c r="F68" s="30" t="s">
        <v>36</v>
      </c>
      <c r="G68" s="32"/>
      <c r="H68" s="32"/>
      <c r="J68" s="204"/>
      <c r="K68" s="195"/>
      <c r="L68" s="195"/>
      <c r="M68" s="195"/>
      <c r="N68" s="195"/>
      <c r="O68" s="196"/>
      <c r="P68" s="196"/>
      <c r="Q68" s="196"/>
      <c r="R68" s="196"/>
      <c r="S68" s="196"/>
      <c r="T68" s="196"/>
    </row>
    <row r="69" spans="3:23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204"/>
      <c r="K69" s="195"/>
      <c r="L69" s="195"/>
      <c r="M69" s="195"/>
      <c r="N69" s="195"/>
      <c r="O69" s="196"/>
      <c r="P69" s="196"/>
      <c r="Q69" s="196"/>
      <c r="R69" s="196"/>
      <c r="S69" s="196"/>
      <c r="T69" s="196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98</v>
      </c>
      <c r="E71" s="30" t="s">
        <v>28</v>
      </c>
      <c r="F71" s="30" t="s">
        <v>36</v>
      </c>
      <c r="J71" s="132" t="str">
        <f t="shared" ref="J71:O71" si="38">IF(J62=J$4,IF(COUNTA($C64:$C69)=COUNT(J64:J69),"Ok","Check"),"")</f>
        <v/>
      </c>
      <c r="K71" s="132" t="str">
        <f t="shared" si="38"/>
        <v/>
      </c>
      <c r="L71" s="132" t="str">
        <f t="shared" si="38"/>
        <v/>
      </c>
      <c r="M71" s="132" t="str">
        <f t="shared" si="38"/>
        <v/>
      </c>
      <c r="N71" s="132" t="str">
        <f t="shared" si="38"/>
        <v/>
      </c>
      <c r="O71" s="132" t="str">
        <f t="shared" si="38"/>
        <v>Ok</v>
      </c>
      <c r="P71" s="132" t="str">
        <f>IF(P62=P$4,IF(COUNTA($C64:$C69)=COUNT(P64:P69),"Ok","Check"),"")</f>
        <v>Ok</v>
      </c>
      <c r="Q71" s="132" t="str">
        <f>IF(Q62=Q$4,IF(COUNTA($C64:$C69)=COUNT(Q64:Q69),"Ok","Check"),"")</f>
        <v>Ok</v>
      </c>
      <c r="R71" s="132" t="str">
        <f>IF(R62=R$4,IF(COUNTA($C64:$C69)=COUNT(R64:R69),"Ok","Check"),"")</f>
        <v>Ok</v>
      </c>
      <c r="S71" s="132" t="str">
        <f>IF(S62=S$4,IF(COUNTA($C64:$C69)=COUNT(S64:S69),"Ok","Check"),"")</f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88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9">IF(YEAR(J$4)&gt;=FPFirstYear,IF(YEAR(J$4)&lt;=FPLastYear,J$4,""),"")</f>
        <v/>
      </c>
      <c r="K73" s="163" t="str">
        <f t="shared" si="39"/>
        <v/>
      </c>
      <c r="L73" s="163" t="str">
        <f t="shared" si="39"/>
        <v/>
      </c>
      <c r="M73" s="163" t="str">
        <f t="shared" si="39"/>
        <v/>
      </c>
      <c r="N73" s="163" t="str">
        <f t="shared" si="39"/>
        <v/>
      </c>
      <c r="O73" s="163" t="str">
        <f t="shared" si="39"/>
        <v/>
      </c>
      <c r="P73" s="163">
        <f t="shared" si="39"/>
        <v>46174</v>
      </c>
      <c r="Q73" s="163">
        <f t="shared" si="39"/>
        <v>46539</v>
      </c>
      <c r="R73" s="163">
        <f t="shared" si="39"/>
        <v>46905</v>
      </c>
      <c r="S73" s="163">
        <f t="shared" si="39"/>
        <v>47270</v>
      </c>
      <c r="T73" s="163">
        <f t="shared" si="39"/>
        <v>47635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98</v>
      </c>
      <c r="E75" s="30" t="s">
        <v>18</v>
      </c>
      <c r="F75" s="30" t="s">
        <v>36</v>
      </c>
      <c r="G75" s="32"/>
      <c r="H75" s="32"/>
      <c r="J75" s="117" t="str">
        <f t="shared" ref="J75:M75" si="40">IF(ISBLANK(I64),"",IF(ISBLANK(J64),"",LN(J64)-LN(I64)))</f>
        <v/>
      </c>
      <c r="K75" s="117" t="str">
        <f t="shared" si="40"/>
        <v/>
      </c>
      <c r="L75" s="117" t="str">
        <f t="shared" si="40"/>
        <v/>
      </c>
      <c r="M75" s="117" t="str">
        <f t="shared" si="40"/>
        <v/>
      </c>
      <c r="N75" s="117" t="str">
        <f>IF(ISBLANK(M64),"",IF(ISBLANK(N64),"",LN(N64)-LN(M64)))</f>
        <v/>
      </c>
      <c r="O75" s="117" t="str">
        <f t="shared" ref="O75:T75" si="41">IF(ISBLANK(N64),"",IF(ISBLANK(O64),"",LN(O64)-LN(N64)))</f>
        <v/>
      </c>
      <c r="P75" s="117">
        <f t="shared" ref="P75:P80" si="42">IF(ISBLANK(O64),"",IF(ISBLANK(P64),"",LN(P64)-LN(O64)))</f>
        <v>8.2885133759376117E-3</v>
      </c>
      <c r="Q75" s="117">
        <f t="shared" si="41"/>
        <v>8.3897236228978045E-3</v>
      </c>
      <c r="R75" s="117">
        <f t="shared" si="41"/>
        <v>8.1618030045227385E-3</v>
      </c>
      <c r="S75" s="117">
        <f t="shared" si="41"/>
        <v>7.6822082064058606E-3</v>
      </c>
      <c r="T75" s="117">
        <f t="shared" si="41"/>
        <v>7.4787123599424632E-3</v>
      </c>
    </row>
    <row r="76" spans="3:23" outlineLevel="1">
      <c r="C76" s="148" t="str">
        <f t="shared" ref="C76:C80" si="43">C65</f>
        <v>Circuit Length (km)</v>
      </c>
      <c r="D76" s="30" t="s">
        <v>98</v>
      </c>
      <c r="E76" s="30" t="s">
        <v>18</v>
      </c>
      <c r="F76" s="30" t="s">
        <v>36</v>
      </c>
      <c r="G76" s="32"/>
      <c r="H76" s="32"/>
      <c r="J76" s="117" t="str">
        <f t="shared" ref="J76:T76" si="44">IF(ISBLANK(I65),"",IF(ISBLANK(J65),"",LN(J65)-LN(I65)))</f>
        <v/>
      </c>
      <c r="K76" s="117" t="str">
        <f t="shared" si="44"/>
        <v/>
      </c>
      <c r="L76" s="117" t="str">
        <f t="shared" si="44"/>
        <v/>
      </c>
      <c r="M76" s="117" t="str">
        <f t="shared" si="44"/>
        <v/>
      </c>
      <c r="N76" s="117" t="str">
        <f t="shared" si="44"/>
        <v/>
      </c>
      <c r="O76" s="117" t="str">
        <f t="shared" si="44"/>
        <v/>
      </c>
      <c r="P76" s="117">
        <f t="shared" si="42"/>
        <v>3.2842637102987737E-3</v>
      </c>
      <c r="Q76" s="117">
        <f t="shared" si="44"/>
        <v>3.2985372327640761E-3</v>
      </c>
      <c r="R76" s="117">
        <f t="shared" si="44"/>
        <v>3.3703270239993088E-3</v>
      </c>
      <c r="S76" s="117">
        <f t="shared" si="44"/>
        <v>3.3276011625869018E-3</v>
      </c>
      <c r="T76" s="117">
        <f t="shared" si="44"/>
        <v>3.4057213993961E-3</v>
      </c>
    </row>
    <row r="77" spans="3:23" outlineLevel="1">
      <c r="C77" s="148" t="str">
        <f t="shared" si="43"/>
        <v>Ratcheted Maximum Demand (MW)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T77" si="45">IF(ISBLANK(I66),"",IF(ISBLANK(J66),"",LN(J66)-LN(I66)))</f>
        <v/>
      </c>
      <c r="K77" s="117" t="str">
        <f t="shared" si="45"/>
        <v/>
      </c>
      <c r="L77" s="117" t="str">
        <f t="shared" si="45"/>
        <v/>
      </c>
      <c r="M77" s="117" t="str">
        <f t="shared" si="45"/>
        <v/>
      </c>
      <c r="N77" s="117" t="str">
        <f t="shared" si="45"/>
        <v/>
      </c>
      <c r="O77" s="117" t="str">
        <f t="shared" si="45"/>
        <v/>
      </c>
      <c r="P77" s="117">
        <f t="shared" si="42"/>
        <v>3.8722216825082256E-3</v>
      </c>
      <c r="Q77" s="117">
        <f t="shared" si="45"/>
        <v>9.9343871027208763E-3</v>
      </c>
      <c r="R77" s="117">
        <f t="shared" si="45"/>
        <v>1.2674440896727646E-2</v>
      </c>
      <c r="S77" s="117">
        <f t="shared" si="45"/>
        <v>4.3983734118633322E-3</v>
      </c>
      <c r="T77" s="117">
        <f t="shared" si="45"/>
        <v>8.1174345199670483E-3</v>
      </c>
    </row>
    <row r="78" spans="3:23" outlineLevel="1">
      <c r="C78" s="148">
        <f t="shared" si="43"/>
        <v>0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T78" si="46">IF(ISBLANK(I67),"",IF(ISBLANK(J67),"",LN(J67)-LN(I67)))</f>
        <v/>
      </c>
      <c r="K78" s="117" t="str">
        <f t="shared" si="46"/>
        <v/>
      </c>
      <c r="L78" s="117" t="str">
        <f t="shared" si="46"/>
        <v/>
      </c>
      <c r="M78" s="117" t="str">
        <f t="shared" si="46"/>
        <v/>
      </c>
      <c r="N78" s="117" t="str">
        <f t="shared" si="46"/>
        <v/>
      </c>
      <c r="O78" s="117" t="str">
        <f t="shared" si="46"/>
        <v/>
      </c>
      <c r="P78" s="117" t="str">
        <f t="shared" si="42"/>
        <v/>
      </c>
      <c r="Q78" s="117" t="str">
        <f t="shared" si="46"/>
        <v/>
      </c>
      <c r="R78" s="117" t="str">
        <f t="shared" si="46"/>
        <v/>
      </c>
      <c r="S78" s="117" t="str">
        <f t="shared" si="46"/>
        <v/>
      </c>
      <c r="T78" s="117" t="str">
        <f t="shared" si="46"/>
        <v/>
      </c>
    </row>
    <row r="79" spans="3:23" outlineLevel="1">
      <c r="C79" s="148">
        <f t="shared" si="43"/>
        <v>0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T79" si="47">IF(ISBLANK(I68),"",IF(ISBLANK(J68),"",LN(J68)-LN(I68)))</f>
        <v/>
      </c>
      <c r="K79" s="117" t="str">
        <f t="shared" si="47"/>
        <v/>
      </c>
      <c r="L79" s="117" t="str">
        <f t="shared" si="47"/>
        <v/>
      </c>
      <c r="M79" s="117" t="str">
        <f t="shared" si="47"/>
        <v/>
      </c>
      <c r="N79" s="117" t="str">
        <f t="shared" si="47"/>
        <v/>
      </c>
      <c r="O79" s="117" t="str">
        <f t="shared" si="47"/>
        <v/>
      </c>
      <c r="P79" s="117" t="str">
        <f t="shared" si="42"/>
        <v/>
      </c>
      <c r="Q79" s="117" t="str">
        <f t="shared" si="47"/>
        <v/>
      </c>
      <c r="R79" s="117" t="str">
        <f t="shared" si="47"/>
        <v/>
      </c>
      <c r="S79" s="117" t="str">
        <f t="shared" si="47"/>
        <v/>
      </c>
      <c r="T79" s="117" t="str">
        <f t="shared" si="47"/>
        <v/>
      </c>
    </row>
    <row r="80" spans="3:23" outlineLevel="1">
      <c r="C80" s="148">
        <f t="shared" si="43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T80" si="48">IF(ISBLANK(I69),"",IF(ISBLANK(J69),"",LN(J69)-LN(I69)))</f>
        <v/>
      </c>
      <c r="K80" s="117" t="str">
        <f t="shared" si="48"/>
        <v/>
      </c>
      <c r="L80" s="117" t="str">
        <f t="shared" si="48"/>
        <v/>
      </c>
      <c r="M80" s="117" t="str">
        <f t="shared" si="48"/>
        <v/>
      </c>
      <c r="N80" s="117" t="str">
        <f t="shared" si="48"/>
        <v/>
      </c>
      <c r="O80" s="117" t="str">
        <f t="shared" si="48"/>
        <v/>
      </c>
      <c r="P80" s="117" t="str">
        <f t="shared" si="42"/>
        <v/>
      </c>
      <c r="Q80" s="117" t="str">
        <f t="shared" si="48"/>
        <v/>
      </c>
      <c r="R80" s="117" t="str">
        <f t="shared" si="48"/>
        <v/>
      </c>
      <c r="S80" s="117" t="str">
        <f t="shared" si="48"/>
        <v/>
      </c>
      <c r="T80" s="117" t="str">
        <f t="shared" si="48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173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1" t="s">
        <v>174</v>
      </c>
      <c r="K82" s="211" t="s">
        <v>175</v>
      </c>
      <c r="L82" s="211" t="s">
        <v>176</v>
      </c>
      <c r="M82" s="211" t="s">
        <v>194</v>
      </c>
      <c r="N82" s="211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numbers (#)</v>
      </c>
      <c r="D84" s="30" t="s">
        <v>101</v>
      </c>
      <c r="E84" s="30" t="s">
        <v>18</v>
      </c>
      <c r="F84" s="30" t="s">
        <v>36</v>
      </c>
      <c r="G84" s="32"/>
      <c r="H84" s="32"/>
      <c r="J84" s="223">
        <v>0.38923395445134579</v>
      </c>
      <c r="K84" s="223">
        <v>0.57656731757451185</v>
      </c>
      <c r="L84" s="223">
        <v>0.42154811715481172</v>
      </c>
      <c r="M84" s="223">
        <v>0.43169398907103823</v>
      </c>
      <c r="N84" s="222"/>
      <c r="O84" s="193"/>
      <c r="P84" s="193"/>
      <c r="Q84" s="193"/>
      <c r="R84" s="193"/>
      <c r="S84" s="193"/>
      <c r="T84" s="193"/>
    </row>
    <row r="85" spans="3:23" outlineLevel="1">
      <c r="C85" s="148" t="str">
        <f t="shared" ref="C85:C89" si="49">C65</f>
        <v>Circuit Length (km)</v>
      </c>
      <c r="D85" s="30" t="s">
        <v>101</v>
      </c>
      <c r="E85" s="30" t="s">
        <v>18</v>
      </c>
      <c r="F85" s="30" t="s">
        <v>36</v>
      </c>
      <c r="G85" s="32"/>
      <c r="H85" s="32"/>
      <c r="J85" s="223">
        <v>0.12732919254658384</v>
      </c>
      <c r="K85" s="223">
        <v>0.17677286742034939</v>
      </c>
      <c r="L85" s="223">
        <v>0.1914225941422594</v>
      </c>
      <c r="M85" s="223">
        <v>9.94535519125683E-2</v>
      </c>
      <c r="N85" s="222"/>
      <c r="O85" s="193"/>
      <c r="P85" s="193"/>
      <c r="Q85" s="193"/>
      <c r="R85" s="193"/>
      <c r="S85" s="193"/>
      <c r="T85" s="193"/>
    </row>
    <row r="86" spans="3:23" outlineLevel="1">
      <c r="C86" s="148" t="str">
        <f t="shared" si="49"/>
        <v>Ratcheted Maximum Demand (MW)</v>
      </c>
      <c r="D86" s="30" t="s">
        <v>101</v>
      </c>
      <c r="E86" s="30" t="s">
        <v>18</v>
      </c>
      <c r="F86" s="30" t="s">
        <v>36</v>
      </c>
      <c r="G86" s="32"/>
      <c r="H86" s="32"/>
      <c r="J86" s="223">
        <v>0.48343685300207045</v>
      </c>
      <c r="K86" s="223">
        <v>0.24665981500513873</v>
      </c>
      <c r="L86" s="223">
        <v>0.38702928870292885</v>
      </c>
      <c r="M86" s="223">
        <v>0.46885245901639344</v>
      </c>
      <c r="N86" s="222"/>
      <c r="O86" s="193"/>
      <c r="P86" s="193"/>
      <c r="Q86" s="193"/>
      <c r="R86" s="193"/>
      <c r="S86" s="193"/>
      <c r="T86" s="193"/>
    </row>
    <row r="87" spans="3:23" outlineLevel="1">
      <c r="C87" s="148">
        <f t="shared" si="49"/>
        <v>0</v>
      </c>
      <c r="D87" s="30" t="s">
        <v>101</v>
      </c>
      <c r="E87" s="30" t="s">
        <v>18</v>
      </c>
      <c r="F87" s="30" t="s">
        <v>36</v>
      </c>
      <c r="G87" s="32"/>
      <c r="H87" s="32"/>
      <c r="J87" s="222"/>
      <c r="K87" s="222"/>
      <c r="L87" s="222"/>
      <c r="M87" s="222"/>
      <c r="N87" s="222"/>
      <c r="O87" s="193"/>
      <c r="P87" s="193"/>
      <c r="Q87" s="193"/>
      <c r="R87" s="193"/>
      <c r="S87" s="193"/>
      <c r="T87" s="193"/>
    </row>
    <row r="88" spans="3:23" outlineLevel="1">
      <c r="C88" s="148">
        <f t="shared" si="49"/>
        <v>0</v>
      </c>
      <c r="D88" s="30" t="s">
        <v>101</v>
      </c>
      <c r="E88" s="30" t="s">
        <v>18</v>
      </c>
      <c r="F88" s="30" t="s">
        <v>36</v>
      </c>
      <c r="G88" s="32"/>
      <c r="H88" s="32"/>
      <c r="J88" s="222"/>
      <c r="K88" s="222"/>
      <c r="L88" s="222"/>
      <c r="M88" s="222"/>
      <c r="N88" s="222"/>
      <c r="O88" s="193"/>
      <c r="P88" s="193"/>
      <c r="Q88" s="193"/>
      <c r="R88" s="193"/>
      <c r="S88" s="193"/>
      <c r="T88" s="193"/>
    </row>
    <row r="89" spans="3:23" outlineLevel="1">
      <c r="C89" s="148">
        <f t="shared" si="49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222"/>
      <c r="K89" s="222"/>
      <c r="L89" s="222"/>
      <c r="M89" s="222"/>
      <c r="N89" s="222"/>
      <c r="O89" s="193"/>
      <c r="P89" s="193"/>
      <c r="Q89" s="193"/>
      <c r="R89" s="193"/>
      <c r="S89" s="193"/>
      <c r="T89" s="193"/>
    </row>
    <row r="90" spans="3:23" outlineLevel="1">
      <c r="G90" s="32"/>
      <c r="H90" s="32"/>
    </row>
    <row r="91" spans="3:23" outlineLevel="1">
      <c r="C91" s="29" t="s">
        <v>40</v>
      </c>
      <c r="D91" s="30" t="s">
        <v>98</v>
      </c>
      <c r="E91" s="30" t="s">
        <v>28</v>
      </c>
      <c r="F91" s="30" t="s">
        <v>36</v>
      </c>
      <c r="J91" s="132" t="str">
        <f t="array" ref="J91">IF(ISBLANK(J82),IF(ISBLANK(J84:J89),"Ok","Check"),IF(SUM(J84:J89)=1,"Ok","Check"))</f>
        <v>Ok</v>
      </c>
      <c r="K91" s="132" t="str">
        <f t="array" ref="K91">IF(ISBLANK(K82),IF(ISBLANK(K84:K89),"Ok","Check"),IF(SUM(K84:K89)=1,"Ok","Check"))</f>
        <v>Ok</v>
      </c>
      <c r="L91" s="132" t="str">
        <f t="array" ref="L91">IF(ISBLANK(L82),IF(ISBLANK(L84:L89),"Ok","Check"),IF(SUM(L84:L89)=1,"Ok","Check"))</f>
        <v>Ok</v>
      </c>
      <c r="M91" s="132" t="str">
        <f t="array" ref="M91">IF(ISBLANK(M82),IF(ISBLANK(M84:M89),"Ok","Check"),IF(SUM(M84:M89)=1,"Ok","Check"))</f>
        <v>Ok</v>
      </c>
      <c r="N91" s="132" t="str">
        <f t="array" ref="N91">IF(ISBLANK(N82),IF(ISBLANK(N84:N89),"Ok","Check"),IF(SUM(N84:N89)=1,"Ok","Check"))</f>
        <v>Ok</v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177</v>
      </c>
      <c r="D93" s="32" t="s">
        <v>7</v>
      </c>
      <c r="E93" s="32" t="s">
        <v>8</v>
      </c>
      <c r="F93" s="32" t="s">
        <v>22</v>
      </c>
      <c r="J93" s="163" t="str">
        <f t="shared" ref="J93:P93" si="50">IF(YEAR(J$4)&gt;=FPFirstYear,IF(YEAR(J$4)&lt;=FPLastYear,J$4,""),"")</f>
        <v/>
      </c>
      <c r="K93" s="163" t="str">
        <f t="shared" si="50"/>
        <v/>
      </c>
      <c r="L93" s="163" t="str">
        <f t="shared" si="50"/>
        <v/>
      </c>
      <c r="M93" s="163" t="str">
        <f t="shared" si="50"/>
        <v/>
      </c>
      <c r="N93" s="163" t="str">
        <f t="shared" si="50"/>
        <v/>
      </c>
      <c r="O93" s="163" t="str">
        <f t="shared" si="50"/>
        <v/>
      </c>
      <c r="P93" s="163">
        <f t="shared" si="50"/>
        <v>46174</v>
      </c>
      <c r="Q93" s="163">
        <f>IF(YEAR(Q$4)&gt;FPFirstYear,IF(YEAR(Q$4)&lt;=FPLastYear,Q$4,""),"")</f>
        <v>46539</v>
      </c>
      <c r="R93" s="163">
        <f>IF(YEAR(R$4)&gt;FPFirstYear,IF(YEAR(R$4)&lt;=FPLastYear,R$4,""),"")</f>
        <v>46905</v>
      </c>
      <c r="S93" s="163">
        <f>IF(YEAR(S$4)&gt;FPFirstYear,IF(YEAR(S$4)&lt;=FPLastYear,S$4,""),"")</f>
        <v>47270</v>
      </c>
      <c r="T93" s="163">
        <f>IF(YEAR(T$4)&gt;FPFirstYear,IF(YEAR(T$4)&lt;=FPLastYear,T$4,""),"")</f>
        <v>47635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9">TRANSPOSE(J82:N82)</f>
        <v>SFA CD</v>
      </c>
      <c r="D95" s="30" t="s">
        <v>98</v>
      </c>
      <c r="E95" s="30" t="s">
        <v>18</v>
      </c>
      <c r="F95" s="30" t="s">
        <v>36</v>
      </c>
      <c r="J95" s="117" t="str">
        <f t="shared" ref="J95:O95" si="51">IF(J$93=J$4,SUMPRODUCT(J$75:J$80,$J$84:$J$89),"")</f>
        <v/>
      </c>
      <c r="K95" s="117" t="str">
        <f t="shared" si="51"/>
        <v/>
      </c>
      <c r="L95" s="117" t="str">
        <f t="shared" si="51"/>
        <v/>
      </c>
      <c r="M95" s="117" t="str">
        <f t="shared" si="51"/>
        <v/>
      </c>
      <c r="N95" s="117" t="str">
        <f t="shared" si="51"/>
        <v/>
      </c>
      <c r="O95" s="117" t="str">
        <f t="shared" si="51"/>
        <v/>
      </c>
      <c r="P95" s="117">
        <f>IF(P$93=P$4,SUMPRODUCT(P$75:P$80,$J$84:$J$89),"")</f>
        <v>5.5163281484996197E-3</v>
      </c>
      <c r="Q95" s="117">
        <f>IF(Q$93=Q$4,SUMPRODUCT(Q$75:Q$80,$J$84:$J$89),"")</f>
        <v>8.4882142223708136E-3</v>
      </c>
      <c r="R95" s="117">
        <f>IF(R$93=R$4,SUMPRODUCT(R$75:R$80,$J$84:$J$89),"")</f>
        <v>9.7332836981617772E-3</v>
      </c>
      <c r="S95" s="117">
        <f>IF(S$93=S$4,SUMPRODUCT(S$75:S$80,$J$84:$J$89),"")</f>
        <v>5.5402128488063855E-3</v>
      </c>
      <c r="T95" s="117">
        <f>IF(T$93=T$4,SUMPRODUCT(T$75:T$80,$J$84:$J$89),"")</f>
        <v>7.2688835406715304E-3</v>
      </c>
      <c r="U95" s="24"/>
      <c r="W95" s="132"/>
    </row>
    <row r="96" spans="3:23" outlineLevel="1">
      <c r="C96" s="148" t="str">
        <v>LSE CD</v>
      </c>
      <c r="D96" s="30" t="s">
        <v>98</v>
      </c>
      <c r="E96" s="30" t="s">
        <v>18</v>
      </c>
      <c r="F96" s="30" t="s">
        <v>36</v>
      </c>
      <c r="J96" s="117" t="str">
        <f t="shared" ref="J96:O96" si="52">IF(J$93=J$4,SUMPRODUCT(J$75:J$80,$K$84:$K$89),"")</f>
        <v/>
      </c>
      <c r="K96" s="117" t="str">
        <f t="shared" si="52"/>
        <v/>
      </c>
      <c r="L96" s="117" t="str">
        <f t="shared" si="52"/>
        <v/>
      </c>
      <c r="M96" s="117" t="str">
        <f t="shared" si="52"/>
        <v/>
      </c>
      <c r="N96" s="117" t="str">
        <f t="shared" si="52"/>
        <v/>
      </c>
      <c r="O96" s="117" t="str">
        <f t="shared" si="52"/>
        <v/>
      </c>
      <c r="P96" s="117">
        <f>IF(P$93=P$4,SUMPRODUCT(P$75:P$80,$K$84:$K$89),"")</f>
        <v>6.3145761211452862E-3</v>
      </c>
      <c r="Q96" s="117">
        <f>IF(Q$93=Q$4,SUMPRODUCT(Q$75:Q$80,$K$84:$K$89),"")</f>
        <v>7.8707464143207596E-3</v>
      </c>
      <c r="R96" s="117">
        <f>IF(R$93=R$4,SUMPRODUCT(R$75:R$80,$K$84:$K$89),"")</f>
        <v>8.427886483946323E-3</v>
      </c>
      <c r="S96" s="117">
        <f>IF(S$93=S$4,SUMPRODUCT(S$75:S$80,$K$84:$K$89),"")</f>
        <v>6.1024417498518344E-3</v>
      </c>
      <c r="T96" s="117">
        <f>IF(T$93=T$4,SUMPRODUCT(T$75:T$80,$K$84:$K$89),"")</f>
        <v>6.9162651587008663E-3</v>
      </c>
      <c r="U96" s="24"/>
      <c r="W96" s="132"/>
    </row>
    <row r="97" spans="1:50" outlineLevel="1">
      <c r="C97" s="148" t="str">
        <v>LSE TLG</v>
      </c>
      <c r="D97" s="30" t="s">
        <v>98</v>
      </c>
      <c r="E97" s="30" t="s">
        <v>18</v>
      </c>
      <c r="F97" s="30" t="s">
        <v>36</v>
      </c>
      <c r="J97" s="117" t="str">
        <f t="shared" ref="J97:O97" si="53">IF(J$93=J$4,SUMPRODUCT(J$75:J$80,$L$84:$L$89),"")</f>
        <v/>
      </c>
      <c r="K97" s="117" t="str">
        <f t="shared" si="53"/>
        <v/>
      </c>
      <c r="L97" s="117" t="str">
        <f t="shared" si="53"/>
        <v/>
      </c>
      <c r="M97" s="117" t="str">
        <f t="shared" si="53"/>
        <v/>
      </c>
      <c r="N97" s="117" t="str">
        <f t="shared" si="53"/>
        <v/>
      </c>
      <c r="O97" s="117" t="str">
        <f t="shared" si="53"/>
        <v/>
      </c>
      <c r="P97" s="117">
        <f>IF(P$93=P$4,SUMPRODUCT(P$75:P$80,$L$84:$L$89),"")</f>
        <v>5.6213526903928623E-3</v>
      </c>
      <c r="Q97" s="117">
        <f>IF(Q$93=Q$4,SUMPRODUCT(Q$75:Q$80,$L$84:$L$89),"")</f>
        <v>8.0129855247179551E-3</v>
      </c>
      <c r="R97" s="117">
        <f>IF(R$93=R$4,SUMPRODUCT(R$75:R$80,$L$84:$L$89),"")</f>
        <v>8.9911292761545667E-3</v>
      </c>
      <c r="S97" s="117">
        <f>IF(S$93=S$4,SUMPRODUCT(S$75:S$80,$L$84:$L$89),"")</f>
        <v>5.5776977848581571E-3</v>
      </c>
      <c r="T97" s="117">
        <f>IF(T$93=T$4,SUMPRODUCT(T$75:T$80,$L$84:$L$89),"")</f>
        <v>6.9462540476298192E-3</v>
      </c>
      <c r="U97" s="24"/>
      <c r="W97" s="132"/>
    </row>
    <row r="98" spans="1:50" outlineLevel="1">
      <c r="C98" s="148" t="str">
        <v>SFA TLG</v>
      </c>
      <c r="J98" s="117"/>
      <c r="K98" s="117"/>
      <c r="L98" s="117"/>
      <c r="M98" s="117"/>
      <c r="N98" s="117"/>
      <c r="O98" s="117"/>
      <c r="P98" s="117">
        <f>IF(P$93=P$4,SUMPRODUCT(P$75:P$80,$M$84:$M$89),"")</f>
        <v>5.7202337518345069E-3</v>
      </c>
      <c r="Q98" s="117">
        <f>IF(Q$93=Q$4,SUMPRODUCT(Q$75:Q$80,$M$84:$M$89),"")</f>
        <v>8.607606323817945E-3</v>
      </c>
      <c r="R98" s="117">
        <f>IF(R$93=R$4,SUMPRODUCT(R$75:R$80,$M$84:$M$89),"")</f>
        <v>9.8010350717667519E-3</v>
      </c>
      <c r="S98" s="117">
        <f>IF(S$93=S$4,SUMPRODUCT(S$75:S$80,$M$84:$M$89),"")</f>
        <v>5.7094930502897181E-3</v>
      </c>
      <c r="T98" s="117">
        <f>IF(T$93=T$4,SUMPRODUCT(T$75:T$80,$M$84:$M$89),"")</f>
        <v>7.3731053973641334E-3</v>
      </c>
      <c r="U98" s="24"/>
      <c r="W98" s="132"/>
    </row>
    <row r="99" spans="1:50" outlineLevel="1">
      <c r="C99" s="148">
        <v>0</v>
      </c>
      <c r="D99" s="30" t="s">
        <v>98</v>
      </c>
      <c r="E99" s="30" t="s">
        <v>18</v>
      </c>
      <c r="F99" s="30" t="s">
        <v>36</v>
      </c>
      <c r="J99" s="117" t="str">
        <f t="shared" ref="J99:O99" si="54">IF(J$93=J$4,SUMPRODUCT(J$75:J$80,$M$84:$M$89),"")</f>
        <v/>
      </c>
      <c r="K99" s="117" t="str">
        <f t="shared" si="54"/>
        <v/>
      </c>
      <c r="L99" s="117" t="str">
        <f t="shared" si="54"/>
        <v/>
      </c>
      <c r="M99" s="117" t="str">
        <f t="shared" si="54"/>
        <v/>
      </c>
      <c r="N99" s="117" t="str">
        <f t="shared" si="54"/>
        <v/>
      </c>
      <c r="O99" s="117" t="str">
        <f t="shared" si="54"/>
        <v/>
      </c>
      <c r="P99" s="117">
        <f>IF(P$93=P$4,SUMPRODUCT(P$75:P$80,$N$84:$N$89),"")</f>
        <v>0</v>
      </c>
      <c r="Q99" s="117">
        <f>IF(Q$93=Q$4,SUMPRODUCT(Q$75:Q$80,$N$84:$N$89),"")</f>
        <v>0</v>
      </c>
      <c r="R99" s="117">
        <f>IF(R$93=R$4,SUMPRODUCT(R$75:R$80,$N$84:$N$89),"")</f>
        <v>0</v>
      </c>
      <c r="S99" s="117">
        <f>IF(S$93=S$4,SUMPRODUCT(S$75:S$80,$N$84:$N$89),"")</f>
        <v>0</v>
      </c>
      <c r="T99" s="117">
        <f>IF(T$93=T$4,SUMPRODUCT(T$75:T$80,$N$84:$N$89),"")</f>
        <v>0</v>
      </c>
      <c r="U99" s="24"/>
      <c r="W99" s="132"/>
    </row>
    <row r="100" spans="1:50" outlineLevel="1">
      <c r="C100" s="111"/>
      <c r="G100" s="32"/>
      <c r="H100" s="32"/>
      <c r="K100" s="23"/>
      <c r="L100" s="23"/>
      <c r="M100" s="23"/>
      <c r="N100" s="23"/>
      <c r="O100" s="23"/>
    </row>
    <row r="101" spans="1:50" s="103" customFormat="1" ht="12.75">
      <c r="A101" s="94"/>
      <c r="B101" s="95" t="s">
        <v>78</v>
      </c>
      <c r="C101" s="94"/>
      <c r="D101" s="94"/>
      <c r="E101" s="94"/>
      <c r="F101" s="96"/>
      <c r="G101" s="96"/>
      <c r="H101" s="96"/>
      <c r="I101" s="96"/>
      <c r="J101" s="96"/>
      <c r="K101" s="97"/>
      <c r="L101" s="98"/>
      <c r="M101" s="97"/>
      <c r="N101" s="98"/>
      <c r="O101" s="97"/>
      <c r="P101" s="97"/>
      <c r="Q101" s="97"/>
      <c r="R101" s="97"/>
      <c r="S101" s="97"/>
      <c r="T101" s="97"/>
      <c r="U101" s="97"/>
      <c r="V101" s="97"/>
      <c r="W101" s="98"/>
      <c r="X101" s="99"/>
      <c r="Y101" s="99"/>
      <c r="Z101" s="99"/>
      <c r="AA101" s="99"/>
      <c r="AB101" s="99"/>
      <c r="AC101" s="99"/>
      <c r="AD101" s="99"/>
      <c r="AE101" s="100"/>
      <c r="AF101" s="101"/>
      <c r="AG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</row>
    <row r="102" spans="1:50" outlineLevel="1">
      <c r="G102" s="32"/>
      <c r="H102" s="32"/>
    </row>
    <row r="103" spans="1:50" outlineLevel="1">
      <c r="C103" s="67" t="s">
        <v>48</v>
      </c>
      <c r="D103" s="32" t="s">
        <v>7</v>
      </c>
      <c r="E103" s="32" t="s">
        <v>8</v>
      </c>
      <c r="F103" s="32" t="s">
        <v>22</v>
      </c>
      <c r="G103" s="32"/>
      <c r="H103" s="32"/>
      <c r="J103" s="163" t="str">
        <f t="shared" ref="J103:T103" si="55">IF(YEAR(J$4)&gt;=FPFirstYear,IF(YEAR(J$4)&lt;=FPLastYear,J$4,""),"")</f>
        <v/>
      </c>
      <c r="K103" s="163" t="str">
        <f t="shared" si="55"/>
        <v/>
      </c>
      <c r="L103" s="163" t="str">
        <f t="shared" si="55"/>
        <v/>
      </c>
      <c r="M103" s="163" t="str">
        <f t="shared" si="55"/>
        <v/>
      </c>
      <c r="N103" s="163" t="str">
        <f t="shared" si="55"/>
        <v/>
      </c>
      <c r="O103" s="163" t="str">
        <f t="shared" si="55"/>
        <v/>
      </c>
      <c r="P103" s="163">
        <f t="shared" si="55"/>
        <v>46174</v>
      </c>
      <c r="Q103" s="163">
        <f t="shared" si="55"/>
        <v>46539</v>
      </c>
      <c r="R103" s="163">
        <f t="shared" si="55"/>
        <v>46905</v>
      </c>
      <c r="S103" s="163">
        <f t="shared" si="55"/>
        <v>47270</v>
      </c>
      <c r="T103" s="163">
        <f t="shared" si="55"/>
        <v>47635</v>
      </c>
    </row>
    <row r="104" spans="1:50" outlineLevel="1">
      <c r="C104" s="111"/>
      <c r="G104" s="32"/>
      <c r="H104" s="32"/>
      <c r="K104" s="23"/>
      <c r="L104" s="23"/>
      <c r="M104" s="23"/>
      <c r="N104" s="23"/>
      <c r="O104" s="23"/>
    </row>
    <row r="105" spans="1:50" outlineLevel="1">
      <c r="C105" s="111" t="s">
        <v>48</v>
      </c>
      <c r="D105" s="30" t="s">
        <v>101</v>
      </c>
      <c r="E105" s="30" t="str">
        <f>percent</f>
        <v>Per cent</v>
      </c>
      <c r="F105" s="30" t="s">
        <v>36</v>
      </c>
      <c r="G105" s="32"/>
      <c r="H105" s="32"/>
      <c r="J105" s="205"/>
      <c r="K105" s="194"/>
      <c r="L105" s="194"/>
      <c r="M105" s="194"/>
      <c r="N105" s="194"/>
      <c r="O105" s="169"/>
      <c r="P105" s="169">
        <v>0.01</v>
      </c>
      <c r="Q105" s="169">
        <v>0.01</v>
      </c>
      <c r="R105" s="169">
        <v>0.01</v>
      </c>
      <c r="S105" s="169">
        <v>0.01</v>
      </c>
      <c r="T105" s="169">
        <v>0.01</v>
      </c>
    </row>
    <row r="106" spans="1:50" outlineLevel="1">
      <c r="C106" s="111"/>
      <c r="G106" s="32"/>
      <c r="H106" s="32"/>
      <c r="J106" s="168"/>
      <c r="K106" s="23"/>
      <c r="L106" s="23"/>
      <c r="M106" s="23"/>
      <c r="N106" s="23"/>
      <c r="O106" s="23"/>
      <c r="P106" s="192"/>
      <c r="Q106" s="192"/>
      <c r="R106" s="192"/>
      <c r="S106" s="192"/>
      <c r="T106" s="192"/>
    </row>
    <row r="107" spans="1:50" outlineLevel="1">
      <c r="C107" s="29" t="s">
        <v>40</v>
      </c>
      <c r="D107" s="30" t="s">
        <v>98</v>
      </c>
      <c r="E107" s="30" t="s">
        <v>28</v>
      </c>
      <c r="F107" s="30" t="s">
        <v>36</v>
      </c>
      <c r="J107" s="132" t="str">
        <f t="shared" ref="J107:S107" si="56">IF(J103=J$4,IF(ISBLANK(J105),"Check","Ok"),"")</f>
        <v/>
      </c>
      <c r="K107" s="132" t="str">
        <f t="shared" si="56"/>
        <v/>
      </c>
      <c r="L107" s="132" t="str">
        <f t="shared" si="56"/>
        <v/>
      </c>
      <c r="M107" s="132" t="str">
        <f t="shared" si="56"/>
        <v/>
      </c>
      <c r="N107" s="132" t="str">
        <f t="shared" si="56"/>
        <v/>
      </c>
      <c r="O107" s="132" t="str">
        <f t="shared" si="56"/>
        <v/>
      </c>
      <c r="P107" s="132" t="str">
        <f t="shared" si="56"/>
        <v>Ok</v>
      </c>
      <c r="Q107" s="132" t="str">
        <f t="shared" si="56"/>
        <v>Ok</v>
      </c>
      <c r="R107" s="132" t="str">
        <f t="shared" si="56"/>
        <v>Ok</v>
      </c>
      <c r="S107" s="132" t="str">
        <f t="shared" si="56"/>
        <v>Ok</v>
      </c>
      <c r="T107" s="132" t="str">
        <f>IF(T103=T$4,IF(ISBLANK(T105),"Check","Ok"),"")</f>
        <v>Ok</v>
      </c>
      <c r="U107" s="24"/>
      <c r="W107" s="131" t="str">
        <f>IF(COUNTIF(J107:T107,"Check")=0,"Ok","Check")</f>
        <v>Ok</v>
      </c>
    </row>
    <row r="108" spans="1:50" outlineLevel="1">
      <c r="C108" s="111"/>
      <c r="G108" s="32"/>
      <c r="H108" s="32"/>
      <c r="K108" s="23"/>
      <c r="L108" s="23"/>
      <c r="M108" s="23"/>
      <c r="N108" s="23"/>
      <c r="O108" s="23"/>
    </row>
    <row r="109" spans="1:50" s="103" customFormat="1" ht="12.75">
      <c r="A109" s="94"/>
      <c r="B109" s="95" t="s">
        <v>21</v>
      </c>
      <c r="C109" s="94"/>
      <c r="D109" s="94"/>
      <c r="E109" s="94"/>
      <c r="F109" s="96"/>
      <c r="G109" s="96"/>
      <c r="H109" s="96"/>
      <c r="I109" s="96"/>
      <c r="J109" s="96"/>
      <c r="K109" s="97"/>
      <c r="L109" s="98"/>
      <c r="M109" s="97"/>
      <c r="N109" s="98"/>
      <c r="O109" s="97"/>
      <c r="P109" s="97"/>
      <c r="Q109" s="97"/>
      <c r="R109" s="97"/>
      <c r="S109" s="97"/>
      <c r="T109" s="97"/>
      <c r="U109" s="97"/>
      <c r="V109" s="97"/>
      <c r="W109" s="98"/>
      <c r="X109" s="99"/>
      <c r="Y109" s="99"/>
      <c r="Z109" s="99"/>
      <c r="AA109" s="99"/>
      <c r="AB109" s="99"/>
      <c r="AC109" s="99"/>
      <c r="AD109" s="99"/>
      <c r="AE109" s="100"/>
      <c r="AF109" s="101"/>
      <c r="AG109" s="101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</row>
  </sheetData>
  <mergeCells count="2">
    <mergeCell ref="K3:M3"/>
    <mergeCell ref="O3:T3"/>
  </mergeCells>
  <conditionalFormatting sqref="W1">
    <cfRule type="cellIs" dxfId="151" priority="115" operator="equal">
      <formula>"Check"</formula>
    </cfRule>
    <cfRule type="cellIs" dxfId="150" priority="116" operator="equal">
      <formula>"Ok"</formula>
    </cfRule>
  </conditionalFormatting>
  <conditionalFormatting sqref="T1">
    <cfRule type="cellIs" dxfId="149" priority="79" operator="equal">
      <formula>"Check"</formula>
    </cfRule>
    <cfRule type="cellIs" dxfId="148" priority="80" operator="equal">
      <formula>"Ok"</formula>
    </cfRule>
  </conditionalFormatting>
  <conditionalFormatting sqref="W58">
    <cfRule type="cellIs" dxfId="147" priority="67" operator="equal">
      <formula>"Check"</formula>
    </cfRule>
    <cfRule type="cellIs" dxfId="146" priority="68" operator="equal">
      <formula>"Ok"</formula>
    </cfRule>
  </conditionalFormatting>
  <conditionalFormatting sqref="J58:T58">
    <cfRule type="cellIs" dxfId="145" priority="59" operator="equal">
      <formula>"Check"</formula>
    </cfRule>
    <cfRule type="cellIs" dxfId="144" priority="60" operator="equal">
      <formula>"Ok"</formula>
    </cfRule>
  </conditionalFormatting>
  <conditionalFormatting sqref="J34:T34">
    <cfRule type="expression" dxfId="143" priority="50">
      <formula>J$34=J$4</formula>
    </cfRule>
  </conditionalFormatting>
  <conditionalFormatting sqref="J36:O37 J38:T43">
    <cfRule type="expression" dxfId="142" priority="48">
      <formula>J$34=J$4</formula>
    </cfRule>
  </conditionalFormatting>
  <conditionalFormatting sqref="J49:T56">
    <cfRule type="expression" dxfId="141" priority="47">
      <formula>J$47=J$4</formula>
    </cfRule>
  </conditionalFormatting>
  <conditionalFormatting sqref="W107">
    <cfRule type="cellIs" dxfId="140" priority="41" operator="equal">
      <formula>"Check"</formula>
    </cfRule>
    <cfRule type="cellIs" dxfId="139" priority="42" operator="equal">
      <formula>"Ok"</formula>
    </cfRule>
  </conditionalFormatting>
  <conditionalFormatting sqref="J107:T107">
    <cfRule type="cellIs" dxfId="138" priority="39" operator="equal">
      <formula>"Check"</formula>
    </cfRule>
    <cfRule type="cellIs" dxfId="137" priority="40" operator="equal">
      <formula>"Ok"</formula>
    </cfRule>
  </conditionalFormatting>
  <conditionalFormatting sqref="W45">
    <cfRule type="cellIs" dxfId="136" priority="37" operator="equal">
      <formula>"Check"</formula>
    </cfRule>
    <cfRule type="cellIs" dxfId="135" priority="38" operator="equal">
      <formula>"Ok"</formula>
    </cfRule>
  </conditionalFormatting>
  <conditionalFormatting sqref="J45:T45">
    <cfRule type="cellIs" dxfId="134" priority="35" operator="equal">
      <formula>"Check"</formula>
    </cfRule>
    <cfRule type="cellIs" dxfId="133" priority="36" operator="equal">
      <formula>"Ok"</formula>
    </cfRule>
  </conditionalFormatting>
  <conditionalFormatting sqref="W71">
    <cfRule type="cellIs" dxfId="132" priority="33" operator="equal">
      <formula>"Check"</formula>
    </cfRule>
    <cfRule type="cellIs" dxfId="131" priority="34" operator="equal">
      <formula>"Ok"</formula>
    </cfRule>
  </conditionalFormatting>
  <conditionalFormatting sqref="J71:T71">
    <cfRule type="cellIs" dxfId="130" priority="31" operator="equal">
      <formula>"Check"</formula>
    </cfRule>
    <cfRule type="cellIs" dxfId="129" priority="32" operator="equal">
      <formula>"Ok"</formula>
    </cfRule>
  </conditionalFormatting>
  <conditionalFormatting sqref="J62:T62">
    <cfRule type="expression" dxfId="128" priority="25">
      <formula>J$62=J$4</formula>
    </cfRule>
  </conditionalFormatting>
  <conditionalFormatting sqref="J64:T69">
    <cfRule type="expression" dxfId="127" priority="23">
      <formula>J$62=J$4</formula>
    </cfRule>
  </conditionalFormatting>
  <conditionalFormatting sqref="J47:T47">
    <cfRule type="expression" dxfId="126" priority="20">
      <formula>J$34=J$4</formula>
    </cfRule>
  </conditionalFormatting>
  <conditionalFormatting sqref="J73:T73">
    <cfRule type="expression" dxfId="125" priority="19">
      <formula>J$34=J$4</formula>
    </cfRule>
  </conditionalFormatting>
  <conditionalFormatting sqref="J103:T103">
    <cfRule type="expression" dxfId="124" priority="18">
      <formula>J$34=J$4</formula>
    </cfRule>
  </conditionalFormatting>
  <conditionalFormatting sqref="J25:T30">
    <cfRule type="cellIs" dxfId="123" priority="16" operator="equal">
      <formula>0</formula>
    </cfRule>
  </conditionalFormatting>
  <conditionalFormatting sqref="J16:T21">
    <cfRule type="cellIs" dxfId="122" priority="15" operator="equal">
      <formula>0</formula>
    </cfRule>
  </conditionalFormatting>
  <conditionalFormatting sqref="W91:W99">
    <cfRule type="cellIs" dxfId="121" priority="11" operator="equal">
      <formula>"Check"</formula>
    </cfRule>
    <cfRule type="cellIs" dxfId="120" priority="12" operator="equal">
      <formula>"Ok"</formula>
    </cfRule>
  </conditionalFormatting>
  <conditionalFormatting sqref="J94:T94 J92:T92 J91:M91 O91:T91">
    <cfRule type="cellIs" dxfId="119" priority="8" operator="equal">
      <formula>"Check"</formula>
    </cfRule>
    <cfRule type="cellIs" dxfId="118" priority="9" operator="equal">
      <formula>"Ok"</formula>
    </cfRule>
  </conditionalFormatting>
  <conditionalFormatting sqref="J93:T93">
    <cfRule type="expression" dxfId="117" priority="7">
      <formula>J$93=J$4</formula>
    </cfRule>
  </conditionalFormatting>
  <conditionalFormatting sqref="J105:T105">
    <cfRule type="expression" dxfId="116" priority="120">
      <formula>J$103=J$4</formula>
    </cfRule>
  </conditionalFormatting>
  <conditionalFormatting sqref="P36:T37">
    <cfRule type="expression" dxfId="115" priority="5">
      <formula>P$34=P$4</formula>
    </cfRule>
  </conditionalFormatting>
  <conditionalFormatting sqref="N91">
    <cfRule type="cellIs" dxfId="114" priority="2" operator="equal">
      <formula>"Check"</formula>
    </cfRule>
    <cfRule type="cellIs" dxfId="113" priority="3" operator="equal">
      <formula>"Ok"</formula>
    </cfRule>
  </conditionalFormatting>
  <dataValidations disablePrompts="1" count="2">
    <dataValidation type="list" allowBlank="1" showInputMessage="1" showErrorMessage="1" sqref="F108 F72 F100" xr:uid="{00000000-0002-0000-0400-000000000000}">
      <formula1>#REF!</formula1>
    </dataValidation>
    <dataValidation type="list" allowBlank="1" showInputMessage="1" showErrorMessage="1" sqref="F83 F81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52"/>
  <sheetViews>
    <sheetView showGridLines="0" zoomScaleNormal="100" workbookViewId="0">
      <selection activeCell="U26" sqref="U26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IF(COUNTA($W$8:$W$235)=COUNTIF($W$8:$W$235,"OK"),"OK","Check")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58" t="s">
        <v>119</v>
      </c>
      <c r="K3" s="172"/>
      <c r="L3" s="172"/>
      <c r="M3" s="182"/>
      <c r="N3" s="231"/>
      <c r="O3" s="231"/>
      <c r="P3" s="231"/>
      <c r="Q3" s="231"/>
      <c r="R3" s="231"/>
      <c r="S3" s="231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44348</v>
      </c>
      <c r="K4" s="156">
        <f>DATE(PPFirstYear+1,MONTH('Input|General'!$G$9),1)</f>
        <v>44713</v>
      </c>
      <c r="L4" s="156">
        <f>DATE(PPFirstYear+2,MONTH('Input|General'!$G$9),1)</f>
        <v>45078</v>
      </c>
      <c r="M4" s="156">
        <f>DATE(PPFirstYear+3,MONTH('Input|General'!$G$9),1)</f>
        <v>45444</v>
      </c>
      <c r="N4" s="156">
        <f>DATE(PPFirstYear+4,MONTH('Input|General'!$G$9),1)</f>
        <v>45809</v>
      </c>
      <c r="O4" s="156">
        <f>DATE(PPFirstYear+5,MONTH('Input|General'!$G$9),1)</f>
        <v>46174</v>
      </c>
      <c r="P4" s="156">
        <f>DATE(PPFirstYear+6,MONTH('Input|General'!$G$9),1)</f>
        <v>46539</v>
      </c>
      <c r="Q4" s="156">
        <f>DATE(PPFirstYear+7,MONTH('Input|General'!$G$9),1)</f>
        <v>46905</v>
      </c>
      <c r="R4" s="156">
        <f>DATE(PPFirstYear+8,MONTH('Input|General'!$G$9),1)</f>
        <v>47270</v>
      </c>
      <c r="S4" s="156">
        <f>DATE(PPFirstYear+9,MONTH('Input|General'!$G$9),1)</f>
        <v>47635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46174</v>
      </c>
      <c r="P10" s="163">
        <f t="shared" si="0"/>
        <v>46539</v>
      </c>
      <c r="Q10" s="163">
        <f t="shared" si="0"/>
        <v>46905</v>
      </c>
      <c r="R10" s="163">
        <f t="shared" si="0"/>
        <v>47270</v>
      </c>
      <c r="S10" s="163">
        <f t="shared" si="0"/>
        <v>47635</v>
      </c>
    </row>
    <row r="11" spans="1:47" outlineLevel="1">
      <c r="G11" s="32"/>
      <c r="H11" s="32"/>
    </row>
    <row r="12" spans="1:47" outlineLevel="1">
      <c r="C12" s="218" t="s">
        <v>214</v>
      </c>
      <c r="D12" s="30" t="s">
        <v>69</v>
      </c>
      <c r="E12" s="150" t="s">
        <v>15</v>
      </c>
      <c r="F12" s="171">
        <v>45078</v>
      </c>
      <c r="G12" s="32"/>
      <c r="H12" s="32"/>
      <c r="J12" s="152"/>
      <c r="K12" s="152"/>
      <c r="L12" s="152"/>
      <c r="M12" s="152"/>
      <c r="N12" s="170"/>
      <c r="O12" s="170">
        <f>917183/1000000</f>
        <v>0.91718299999999997</v>
      </c>
      <c r="P12" s="170">
        <f>1107257/1000000</f>
        <v>1.1072569999999999</v>
      </c>
      <c r="Q12" s="170">
        <f>1280051/1000000</f>
        <v>1.280051</v>
      </c>
      <c r="R12" s="170">
        <f>1452846/1000000</f>
        <v>1.4528460000000001</v>
      </c>
      <c r="S12" s="170">
        <f>1622201/1000000</f>
        <v>1.622201</v>
      </c>
    </row>
    <row r="13" spans="1:47" outlineLevel="1">
      <c r="C13" s="218"/>
      <c r="D13" s="30" t="s">
        <v>69</v>
      </c>
      <c r="E13" s="150" t="s">
        <v>15</v>
      </c>
      <c r="F13" s="171">
        <v>44713</v>
      </c>
      <c r="G13" s="32"/>
      <c r="H13" s="32"/>
      <c r="J13" s="152"/>
      <c r="K13" s="152"/>
      <c r="L13" s="152"/>
      <c r="M13" s="152"/>
      <c r="N13" s="152"/>
      <c r="O13" s="170"/>
      <c r="P13" s="170"/>
      <c r="Q13" s="170"/>
      <c r="R13" s="170"/>
      <c r="S13" s="170"/>
    </row>
    <row r="14" spans="1:47" outlineLevel="1">
      <c r="C14" s="61"/>
      <c r="D14" s="30" t="s">
        <v>69</v>
      </c>
      <c r="E14" s="150" t="s">
        <v>15</v>
      </c>
      <c r="F14" s="171">
        <v>44713</v>
      </c>
      <c r="G14" s="32"/>
      <c r="H14" s="32"/>
      <c r="J14" s="152"/>
      <c r="K14" s="152"/>
      <c r="L14" s="152"/>
      <c r="M14" s="152"/>
      <c r="N14" s="152"/>
      <c r="O14" s="170"/>
      <c r="P14" s="170"/>
      <c r="Q14" s="170"/>
      <c r="R14" s="170"/>
      <c r="S14" s="170"/>
    </row>
    <row r="15" spans="1:47" outlineLevel="1">
      <c r="C15" s="61"/>
      <c r="D15" s="30" t="s">
        <v>69</v>
      </c>
      <c r="E15" s="150" t="s">
        <v>15</v>
      </c>
      <c r="F15" s="171">
        <v>44713</v>
      </c>
      <c r="G15" s="32"/>
      <c r="H15" s="32"/>
      <c r="J15" s="152"/>
      <c r="K15" s="152"/>
      <c r="L15" s="152"/>
      <c r="M15" s="152"/>
      <c r="N15" s="152"/>
      <c r="O15" s="170"/>
      <c r="P15" s="170"/>
      <c r="Q15" s="170"/>
      <c r="R15" s="170"/>
      <c r="S15" s="170"/>
    </row>
    <row r="16" spans="1:47" outlineLevel="1">
      <c r="C16" s="61"/>
      <c r="D16" s="30" t="s">
        <v>69</v>
      </c>
      <c r="E16" s="150" t="s">
        <v>15</v>
      </c>
      <c r="F16" s="171">
        <v>44713</v>
      </c>
      <c r="G16" s="32"/>
      <c r="H16" s="32"/>
      <c r="J16" s="152"/>
      <c r="K16" s="152"/>
      <c r="L16" s="152"/>
      <c r="M16" s="152"/>
      <c r="N16" s="152"/>
      <c r="O16" s="170"/>
      <c r="P16" s="170"/>
      <c r="Q16" s="170"/>
      <c r="R16" s="170"/>
      <c r="S16" s="170"/>
    </row>
    <row r="17" spans="1:47" outlineLevel="1">
      <c r="C17" s="61"/>
      <c r="D17" s="30" t="s">
        <v>69</v>
      </c>
      <c r="E17" s="150" t="s">
        <v>15</v>
      </c>
      <c r="F17" s="171">
        <v>44713</v>
      </c>
      <c r="G17" s="32"/>
      <c r="H17" s="32"/>
      <c r="J17" s="152"/>
      <c r="K17" s="152"/>
      <c r="L17" s="152"/>
      <c r="M17" s="152"/>
      <c r="N17" s="152"/>
      <c r="O17" s="170"/>
      <c r="P17" s="170"/>
      <c r="Q17" s="170"/>
      <c r="R17" s="170"/>
      <c r="S17" s="170"/>
    </row>
    <row r="18" spans="1:47" outlineLevel="1">
      <c r="C18" s="61"/>
      <c r="D18" s="30" t="s">
        <v>69</v>
      </c>
      <c r="E18" s="150" t="s">
        <v>15</v>
      </c>
      <c r="F18" s="171">
        <v>44713</v>
      </c>
      <c r="G18" s="32"/>
      <c r="H18" s="32"/>
      <c r="J18" s="152"/>
      <c r="K18" s="152"/>
      <c r="L18" s="152"/>
      <c r="M18" s="152"/>
      <c r="N18" s="152"/>
      <c r="O18" s="170"/>
      <c r="P18" s="170"/>
      <c r="Q18" s="170"/>
      <c r="R18" s="170"/>
      <c r="S18" s="170"/>
    </row>
    <row r="19" spans="1:47" outlineLevel="1">
      <c r="C19" s="61"/>
      <c r="D19" s="30" t="s">
        <v>69</v>
      </c>
      <c r="E19" s="150" t="s">
        <v>15</v>
      </c>
      <c r="F19" s="171">
        <v>44713</v>
      </c>
      <c r="G19" s="32"/>
      <c r="H19" s="32"/>
      <c r="J19" s="152"/>
      <c r="K19" s="152"/>
      <c r="L19" s="152"/>
      <c r="M19" s="152"/>
      <c r="N19" s="152"/>
      <c r="O19" s="170"/>
      <c r="P19" s="170"/>
      <c r="Q19" s="170"/>
      <c r="R19" s="170"/>
      <c r="S19" s="170"/>
    </row>
    <row r="20" spans="1:47" outlineLevel="1">
      <c r="C20" s="61"/>
      <c r="D20" s="30" t="s">
        <v>69</v>
      </c>
      <c r="E20" s="150" t="s">
        <v>15</v>
      </c>
      <c r="F20" s="171">
        <v>44713</v>
      </c>
      <c r="G20" s="32"/>
      <c r="H20" s="32"/>
      <c r="J20" s="152"/>
      <c r="K20" s="152"/>
      <c r="L20" s="152"/>
      <c r="M20" s="152"/>
      <c r="N20" s="152"/>
      <c r="O20" s="170"/>
      <c r="P20" s="170"/>
      <c r="Q20" s="170"/>
      <c r="R20" s="170"/>
      <c r="S20" s="170"/>
    </row>
    <row r="21" spans="1:47" outlineLevel="1">
      <c r="G21" s="32"/>
      <c r="H21" s="32"/>
    </row>
    <row r="22" spans="1:47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>IF(P10=P4,IF(COUNTA($C12:$C20)=COUNT(P12:P20),"Ok","Check"),"")</f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116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46174</v>
      </c>
      <c r="P26" s="163">
        <f t="shared" si="2"/>
        <v>46539</v>
      </c>
      <c r="Q26" s="163">
        <f t="shared" si="2"/>
        <v>46905</v>
      </c>
      <c r="R26" s="163">
        <f t="shared" si="2"/>
        <v>47270</v>
      </c>
      <c r="S26" s="163">
        <f t="shared" si="2"/>
        <v>47635</v>
      </c>
    </row>
    <row r="27" spans="1:47" outlineLevel="1">
      <c r="G27" s="32"/>
      <c r="H27" s="32"/>
    </row>
    <row r="28" spans="1:47" outlineLevel="1">
      <c r="C28" s="61"/>
      <c r="D28" s="30" t="s">
        <v>69</v>
      </c>
      <c r="E28" s="150" t="s">
        <v>15</v>
      </c>
      <c r="F28" s="171">
        <v>44713</v>
      </c>
      <c r="G28" s="32"/>
      <c r="H28" s="32"/>
      <c r="J28" s="152"/>
      <c r="K28" s="152"/>
      <c r="L28" s="152"/>
      <c r="M28" s="152"/>
      <c r="N28" s="170"/>
      <c r="O28" s="170"/>
      <c r="P28" s="170"/>
      <c r="Q28" s="170"/>
      <c r="R28" s="170"/>
      <c r="S28" s="170"/>
    </row>
    <row r="29" spans="1:47" outlineLevel="1">
      <c r="C29" s="61"/>
      <c r="D29" s="30" t="s">
        <v>69</v>
      </c>
      <c r="E29" s="150" t="s">
        <v>15</v>
      </c>
      <c r="F29" s="171">
        <v>44713</v>
      </c>
      <c r="G29" s="32"/>
      <c r="H29" s="32"/>
      <c r="J29" s="152"/>
      <c r="K29" s="152"/>
      <c r="L29" s="152"/>
      <c r="M29" s="152"/>
      <c r="N29" s="170"/>
      <c r="O29" s="170"/>
      <c r="P29" s="170"/>
      <c r="Q29" s="170"/>
      <c r="R29" s="170"/>
      <c r="S29" s="170"/>
    </row>
    <row r="30" spans="1:47" outlineLevel="1">
      <c r="C30" s="61"/>
      <c r="D30" s="30" t="s">
        <v>69</v>
      </c>
      <c r="E30" s="150" t="s">
        <v>15</v>
      </c>
      <c r="F30" s="171">
        <v>44713</v>
      </c>
      <c r="G30" s="32"/>
      <c r="H30" s="32"/>
      <c r="J30" s="152"/>
      <c r="K30" s="152"/>
      <c r="L30" s="152"/>
      <c r="M30" s="152"/>
      <c r="N30" s="170"/>
      <c r="O30" s="170"/>
      <c r="P30" s="170"/>
      <c r="Q30" s="170"/>
      <c r="R30" s="170"/>
      <c r="S30" s="170"/>
    </row>
    <row r="31" spans="1:47" outlineLevel="1">
      <c r="G31" s="32"/>
      <c r="H31" s="32"/>
    </row>
    <row r="32" spans="1:47" outlineLevel="1">
      <c r="C32" s="29" t="s">
        <v>40</v>
      </c>
      <c r="D32" s="30" t="s">
        <v>98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46174</v>
      </c>
      <c r="P36" s="163">
        <f t="shared" si="4"/>
        <v>46539</v>
      </c>
      <c r="Q36" s="163">
        <f t="shared" si="4"/>
        <v>46905</v>
      </c>
      <c r="R36" s="163">
        <f t="shared" si="4"/>
        <v>47270</v>
      </c>
      <c r="S36" s="163">
        <f t="shared" si="4"/>
        <v>47635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72</v>
      </c>
      <c r="E38" s="30" t="s">
        <v>15</v>
      </c>
      <c r="F38" s="210">
        <f>DATE(PPLastYear,MONTH('Input|General'!$G$9),1)</f>
        <v>45809</v>
      </c>
      <c r="G38" s="32"/>
      <c r="H38" s="32"/>
      <c r="J38" s="170"/>
      <c r="K38" s="170"/>
      <c r="L38" s="170"/>
      <c r="M38" s="170"/>
      <c r="N38" s="170"/>
      <c r="O38" s="170">
        <f>'[1]PTRM input'!G340</f>
        <v>8.1429632817569217</v>
      </c>
      <c r="P38" s="170">
        <f>'[1]PTRM input'!H340</f>
        <v>8.3938479665678472</v>
      </c>
      <c r="Q38" s="170">
        <f>'[1]PTRM input'!I340</f>
        <v>8.629844983659682</v>
      </c>
      <c r="R38" s="170">
        <f>'[1]PTRM input'!J340</f>
        <v>8.8573149358201348</v>
      </c>
      <c r="S38" s="170">
        <f>'[1]PTRM input'!K340</f>
        <v>9.0822723411426907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98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2" priority="26" operator="equal">
      <formula>"Check"</formula>
    </cfRule>
    <cfRule type="cellIs" dxfId="111" priority="27" operator="equal">
      <formula>"Ok"</formula>
    </cfRule>
  </conditionalFormatting>
  <conditionalFormatting sqref="V1">
    <cfRule type="cellIs" dxfId="110" priority="28" operator="equal">
      <formula>"Check"</formula>
    </cfRule>
    <cfRule type="cellIs" dxfId="109" priority="29" operator="equal">
      <formula>"Ok"</formula>
    </cfRule>
  </conditionalFormatting>
  <conditionalFormatting sqref="J10:S10">
    <cfRule type="expression" dxfId="108" priority="24">
      <formula>J$10=J$4</formula>
    </cfRule>
  </conditionalFormatting>
  <conditionalFormatting sqref="J12:S20">
    <cfRule type="expression" dxfId="107" priority="23">
      <formula>J$10=J$4</formula>
    </cfRule>
  </conditionalFormatting>
  <conditionalFormatting sqref="W22">
    <cfRule type="cellIs" dxfId="106" priority="19" operator="equal">
      <formula>"Check"</formula>
    </cfRule>
    <cfRule type="cellIs" dxfId="105" priority="20" operator="equal">
      <formula>"Ok"</formula>
    </cfRule>
  </conditionalFormatting>
  <conditionalFormatting sqref="J22:T22">
    <cfRule type="cellIs" dxfId="104" priority="17" operator="equal">
      <formula>"Check"</formula>
    </cfRule>
    <cfRule type="cellIs" dxfId="103" priority="18" operator="equal">
      <formula>"Ok"</formula>
    </cfRule>
  </conditionalFormatting>
  <conditionalFormatting sqref="W32">
    <cfRule type="cellIs" dxfId="102" priority="15" operator="equal">
      <formula>"Check"</formula>
    </cfRule>
    <cfRule type="cellIs" dxfId="101" priority="16" operator="equal">
      <formula>"Ok"</formula>
    </cfRule>
  </conditionalFormatting>
  <conditionalFormatting sqref="J32:T32">
    <cfRule type="cellIs" dxfId="100" priority="13" operator="equal">
      <formula>"Check"</formula>
    </cfRule>
    <cfRule type="cellIs" dxfId="99" priority="14" operator="equal">
      <formula>"Ok"</formula>
    </cfRule>
  </conditionalFormatting>
  <conditionalFormatting sqref="J28:M30 O29:S30">
    <cfRule type="expression" dxfId="98" priority="12">
      <formula>J$26=J$4</formula>
    </cfRule>
  </conditionalFormatting>
  <conditionalFormatting sqref="W40">
    <cfRule type="cellIs" dxfId="97" priority="10" operator="equal">
      <formula>"Check"</formula>
    </cfRule>
    <cfRule type="cellIs" dxfId="96" priority="11" operator="equal">
      <formula>"Ok"</formula>
    </cfRule>
  </conditionalFormatting>
  <conditionalFormatting sqref="J40:T40">
    <cfRule type="cellIs" dxfId="95" priority="8" operator="equal">
      <formula>"Check"</formula>
    </cfRule>
    <cfRule type="cellIs" dxfId="94" priority="9" operator="equal">
      <formula>"Ok"</formula>
    </cfRule>
  </conditionalFormatting>
  <conditionalFormatting sqref="O28:S28">
    <cfRule type="expression" dxfId="93" priority="7">
      <formula>O$10=O$4</formula>
    </cfRule>
  </conditionalFormatting>
  <conditionalFormatting sqref="N28:N30">
    <cfRule type="expression" dxfId="92" priority="6">
      <formula>N$10=N$4</formula>
    </cfRule>
  </conditionalFormatting>
  <conditionalFormatting sqref="J38:S38">
    <cfRule type="expression" dxfId="91" priority="3">
      <formula>J$36=J$4</formula>
    </cfRule>
  </conditionalFormatting>
  <conditionalFormatting sqref="J26:S26">
    <cfRule type="expression" dxfId="90" priority="2">
      <formula>J$10=J$4</formula>
    </cfRule>
  </conditionalFormatting>
  <conditionalFormatting sqref="J36:S36">
    <cfRule type="expression" dxfId="89" priority="1">
      <formula>J$10=J$4</formula>
    </cfRule>
  </conditionalFormatting>
  <dataValidations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U28:U31 I38 U23 I23 U12:U21 I28:I31 U33 I33 U41 I4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'Lookup|Tables'!$C$67:$C$75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U189"/>
  <sheetViews>
    <sheetView showGridLines="0" topLeftCell="A79" zoomScale="80" zoomScaleNormal="80" workbookViewId="0">
      <selection activeCell="O100" sqref="O100:S102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72" t="s">
        <v>119</v>
      </c>
      <c r="K3" s="172"/>
      <c r="L3" s="172"/>
      <c r="M3" s="182"/>
      <c r="N3" s="231"/>
      <c r="O3" s="231"/>
      <c r="P3" s="231"/>
      <c r="Q3" s="231"/>
      <c r="R3" s="231"/>
      <c r="S3" s="231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44348</v>
      </c>
      <c r="K4" s="156">
        <f>DATE(PPFirstYear+1,MONTH('Input|General'!$G$9),1)</f>
        <v>44713</v>
      </c>
      <c r="L4" s="156">
        <f>DATE(PPFirstYear+2,MONTH('Input|General'!$G$9),1)</f>
        <v>45078</v>
      </c>
      <c r="M4" s="156">
        <f>DATE(PPFirstYear+3,MONTH('Input|General'!$G$9),1)</f>
        <v>45444</v>
      </c>
      <c r="N4" s="156">
        <f>DATE(PPFirstYear+4,MONTH('Input|General'!$G$9),1)</f>
        <v>45809</v>
      </c>
      <c r="O4" s="156">
        <f>DATE(PPFirstYear+5,MONTH('Input|General'!$G$9),1)</f>
        <v>46174</v>
      </c>
      <c r="P4" s="156">
        <f>DATE(PPFirstYear+6,MONTH('Input|General'!$G$9),1)</f>
        <v>46539</v>
      </c>
      <c r="Q4" s="156">
        <f>DATE(PPFirstYear+7,MONTH('Input|General'!$G$9),1)</f>
        <v>46905</v>
      </c>
      <c r="R4" s="156">
        <f>DATE(PPFirstYear+8,MONTH('Input|General'!$G$9),1)</f>
        <v>47270</v>
      </c>
      <c r="S4" s="156">
        <f>DATE(PPFirstYear+9,MONTH('Input|General'!$G$9),1)</f>
        <v>47635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86</v>
      </c>
      <c r="C8" s="94"/>
      <c r="D8" s="94"/>
      <c r="E8" s="68" t="s">
        <v>15</v>
      </c>
      <c r="F8" s="206">
        <f>DATE(PPLastYear,MONTH('Input|General'!$G$9),1)</f>
        <v>45809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44348</v>
      </c>
      <c r="K10" s="163">
        <f t="shared" si="0"/>
        <v>44713</v>
      </c>
      <c r="L10" s="163">
        <f t="shared" si="0"/>
        <v>45078</v>
      </c>
      <c r="M10" s="163">
        <f t="shared" si="0"/>
        <v>45444</v>
      </c>
      <c r="N10" s="163">
        <f t="shared" si="0"/>
        <v>45809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160</v>
      </c>
      <c r="D12" s="108" t="s">
        <v>92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472.83633962866475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160</v>
      </c>
      <c r="D13" s="110" t="s">
        <v>30</v>
      </c>
      <c r="E13" s="30" t="str">
        <f>$E$8</f>
        <v>$millions</v>
      </c>
      <c r="F13" s="161">
        <f>$F$8</f>
        <v>45809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496.19157921049106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161</v>
      </c>
      <c r="D14" s="108" t="s">
        <v>92</v>
      </c>
      <c r="E14" s="30" t="str">
        <f>'Input|Reported opex'!E15</f>
        <v>$millions</v>
      </c>
      <c r="F14" s="161">
        <f>'Input|Reported opex'!F15</f>
        <v>43983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356.30571214300102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161</v>
      </c>
      <c r="D15" s="110" t="s">
        <v>30</v>
      </c>
      <c r="E15" s="30" t="str">
        <f>$E$8</f>
        <v>$millions</v>
      </c>
      <c r="F15" s="161">
        <f>$F$8</f>
        <v>45809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444.78137012752887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162</v>
      </c>
      <c r="D16" s="108" t="s">
        <v>92</v>
      </c>
      <c r="E16" s="30" t="str">
        <f>'Input|Reported opex'!E15</f>
        <v>$millions</v>
      </c>
      <c r="F16" s="161">
        <f>'Input|Reported opex'!F15</f>
        <v>43983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351.38586628349611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162</v>
      </c>
      <c r="D17" s="110" t="s">
        <v>30</v>
      </c>
      <c r="E17" s="30" t="str">
        <f>$E$8</f>
        <v>$millions</v>
      </c>
      <c r="F17" s="161">
        <f>$F$8</f>
        <v>45809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438.63985819653686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163</v>
      </c>
      <c r="D19" s="108" t="s">
        <v>92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0</v>
      </c>
      <c r="M19" s="109">
        <f>IF(YEAR(M$4)=BaseYear,'Input|Reported opex'!M56,0)</f>
        <v>5.7500601094115762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163</v>
      </c>
      <c r="D20" s="110" t="s">
        <v>30</v>
      </c>
      <c r="E20" s="30" t="str">
        <f>$E$8</f>
        <v>$millions</v>
      </c>
      <c r="F20" s="161">
        <f>$F$8</f>
        <v>45809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6.0340781093196956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164</v>
      </c>
      <c r="D21" s="108" t="s">
        <v>92</v>
      </c>
      <c r="E21" s="30" t="str">
        <f>'Input|Reported opex'!E22</f>
        <v>$millions</v>
      </c>
      <c r="F21" s="161">
        <f>'Input|Reported opex'!F29</f>
        <v>43983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5.7500601094115762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164</v>
      </c>
      <c r="D22" s="110" t="s">
        <v>30</v>
      </c>
      <c r="E22" s="30" t="str">
        <f>$E$8</f>
        <v>$millions</v>
      </c>
      <c r="F22" s="161">
        <f>$F$8</f>
        <v>45809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7.1778799121617372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165</v>
      </c>
      <c r="D23" s="108" t="s">
        <v>92</v>
      </c>
      <c r="E23" s="30" t="str">
        <f>'Input|Reported opex'!E22</f>
        <v>$millions</v>
      </c>
      <c r="F23" s="161">
        <f>'Input|Reported opex'!F29</f>
        <v>43983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5.7825189821237561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165</v>
      </c>
      <c r="D24" s="110" t="s">
        <v>30</v>
      </c>
      <c r="E24" s="30" t="str">
        <f>$E$8</f>
        <v>$millions</v>
      </c>
      <c r="F24" s="161">
        <f>$F$8</f>
        <v>45809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7.2183987738743003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3"/>
      <c r="K25" s="173"/>
      <c r="L25" s="173"/>
      <c r="M25" s="173"/>
      <c r="N25" s="173"/>
      <c r="O25" s="173"/>
      <c r="P25" s="173"/>
      <c r="Q25" s="173"/>
      <c r="R25" s="173"/>
      <c r="S25" s="173"/>
    </row>
    <row r="26" spans="3:19" outlineLevel="1">
      <c r="C26" s="113" t="s">
        <v>136</v>
      </c>
      <c r="D26" s="114" t="s">
        <v>30</v>
      </c>
      <c r="E26" s="114" t="str">
        <f>$E$8</f>
        <v>$millions</v>
      </c>
      <c r="F26" s="161">
        <f>$F$8</f>
        <v>45809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>M13</f>
        <v>496.19157921049106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158</v>
      </c>
      <c r="D28" s="108" t="s">
        <v>92</v>
      </c>
      <c r="E28" s="110" t="str">
        <f>'Input|Reported opex'!E68</f>
        <v>$millions</v>
      </c>
      <c r="F28" s="161">
        <f>'Input|Reported opex'!F68</f>
        <v>44713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45809</v>
      </c>
      <c r="J29" s="115">
        <f>J28*IF($F28="nominal",LOOKUP($F29,Nominal_to_Real,'Input|Rate of change'!K$25:K$30),INDEX('Input|Rate of change'!$C$14:$O$21,MATCH($F28,'Input|Rate of change'!$C$14:$C$21,0),MATCH($F29,'Input|Rate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156</v>
      </c>
      <c r="D31" s="110" t="s">
        <v>30</v>
      </c>
      <c r="E31" s="110" t="str">
        <f>$E$8</f>
        <v>$millions</v>
      </c>
      <c r="F31" s="161">
        <f>$F$8</f>
        <v>45809</v>
      </c>
      <c r="G31" s="110"/>
      <c r="H31" s="110"/>
      <c r="I31" s="110"/>
      <c r="J31" s="177">
        <f t="shared" ref="J31:S31" si="2">IF(YEAR(J$4)=PPLastYear,-SUM($J15:$S15)+SUM($J17:$S17),0)</f>
        <v>0</v>
      </c>
      <c r="K31" s="177">
        <f t="shared" si="2"/>
        <v>0</v>
      </c>
      <c r="L31" s="177">
        <f t="shared" si="2"/>
        <v>0</v>
      </c>
      <c r="M31" s="177">
        <f t="shared" si="2"/>
        <v>0</v>
      </c>
      <c r="N31" s="177">
        <f t="shared" si="2"/>
        <v>-6.1415119309920101</v>
      </c>
      <c r="O31" s="177">
        <f t="shared" si="2"/>
        <v>0</v>
      </c>
      <c r="P31" s="177">
        <f t="shared" si="2"/>
        <v>0</v>
      </c>
      <c r="Q31" s="177">
        <f t="shared" si="2"/>
        <v>0</v>
      </c>
      <c r="R31" s="177">
        <f t="shared" si="2"/>
        <v>0</v>
      </c>
      <c r="S31" s="177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7"/>
      <c r="K32" s="177"/>
      <c r="L32" s="177"/>
      <c r="M32" s="177"/>
      <c r="N32" s="177"/>
      <c r="O32" s="177"/>
      <c r="P32" s="177"/>
      <c r="Q32" s="177"/>
      <c r="R32" s="177"/>
      <c r="S32" s="177"/>
    </row>
    <row r="33" spans="3:19" outlineLevel="1">
      <c r="C33" s="123" t="s">
        <v>105</v>
      </c>
      <c r="D33" s="110" t="s">
        <v>30</v>
      </c>
      <c r="E33" s="110" t="str">
        <f>$E$8</f>
        <v>$millions</v>
      </c>
      <c r="F33" s="161">
        <f>$F$8</f>
        <v>45809</v>
      </c>
      <c r="J33" s="177">
        <f t="shared" ref="J33:S33" si="3">IF(YEAR(J$4)=PPLastYear,SUM($J26:$S26,$J29:$S29,$J31:$S31),0)</f>
        <v>0</v>
      </c>
      <c r="K33" s="177">
        <f t="shared" si="3"/>
        <v>0</v>
      </c>
      <c r="L33" s="177">
        <f t="shared" si="3"/>
        <v>0</v>
      </c>
      <c r="M33" s="177">
        <f t="shared" si="3"/>
        <v>0</v>
      </c>
      <c r="N33" s="177">
        <f t="shared" si="3"/>
        <v>490.05006727949905</v>
      </c>
      <c r="O33" s="177">
        <f t="shared" si="3"/>
        <v>0</v>
      </c>
      <c r="P33" s="177">
        <f t="shared" si="3"/>
        <v>0</v>
      </c>
      <c r="Q33" s="177">
        <f t="shared" si="3"/>
        <v>0</v>
      </c>
      <c r="R33" s="177">
        <f t="shared" si="3"/>
        <v>0</v>
      </c>
      <c r="S33" s="177">
        <f t="shared" si="3"/>
        <v>0</v>
      </c>
    </row>
    <row r="34" spans="3:19" outlineLevel="1">
      <c r="C34" s="123"/>
      <c r="D34" s="110"/>
      <c r="E34" s="110"/>
      <c r="F34" s="161"/>
      <c r="J34" s="177"/>
      <c r="K34" s="177"/>
      <c r="L34" s="177"/>
      <c r="M34" s="177"/>
      <c r="N34" s="177"/>
      <c r="O34" s="177"/>
      <c r="P34" s="177"/>
      <c r="Q34" s="177"/>
      <c r="R34" s="177"/>
      <c r="S34" s="177"/>
    </row>
    <row r="35" spans="3:19" outlineLevel="1">
      <c r="C35" s="123" t="s">
        <v>166</v>
      </c>
      <c r="D35" s="110" t="s">
        <v>30</v>
      </c>
      <c r="E35" s="110" t="str">
        <f>$E$8</f>
        <v>$millions</v>
      </c>
      <c r="F35" s="161">
        <f>$F$8</f>
        <v>45809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229">
        <f t="shared" si="4"/>
        <v>-6.0745969710322587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ESO Levy Removal</v>
      </c>
      <c r="D37" s="108" t="s">
        <v>92</v>
      </c>
      <c r="E37" s="110" t="str">
        <f>'Input|Reported opex'!E62</f>
        <v>$millions</v>
      </c>
      <c r="F37" s="161">
        <f>'Input|Reported opex'!F62</f>
        <v>45078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-7.2053290592250629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opex'!R62,0)</f>
        <v>0</v>
      </c>
      <c r="S37" s="109">
        <f>IF(YEAR(S$4)=PPLastYear,'Input|Reported opex'!S62,0)</f>
        <v>0</v>
      </c>
    </row>
    <row r="38" spans="3:19" outlineLevel="1">
      <c r="C38" s="123" t="str">
        <f>C37</f>
        <v>ESO Levy Removal</v>
      </c>
      <c r="D38" s="110" t="s">
        <v>30</v>
      </c>
      <c r="E38" s="30" t="str">
        <f>$E$8</f>
        <v>$millions</v>
      </c>
      <c r="F38" s="161">
        <f>$F$8</f>
        <v>45809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229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-7.6961272534232359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Property Leases Removal (SCS Opex portion only)</v>
      </c>
      <c r="D40" s="108" t="s">
        <v>92</v>
      </c>
      <c r="E40" s="30" t="str">
        <f>'Input|Reported opex'!$E$63</f>
        <v>$millions</v>
      </c>
      <c r="F40" s="161">
        <f>'Input|Reported opex'!$F$63</f>
        <v>45078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-5.5197239742250055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opex'!R63,0)</f>
        <v>0</v>
      </c>
      <c r="S40" s="109">
        <f>IF(YEAR(S$4)=PPLastYear,'Input|Reported opex'!S63,0)</f>
        <v>0</v>
      </c>
    </row>
    <row r="41" spans="3:19" outlineLevel="1">
      <c r="C41" s="123" t="str">
        <f>C40</f>
        <v>Property Leases Removal (SCS Opex portion only)</v>
      </c>
      <c r="D41" s="110" t="s">
        <v>30</v>
      </c>
      <c r="E41" s="30" t="str">
        <f>$E$8</f>
        <v>$millions</v>
      </c>
      <c r="F41" s="161">
        <f>$F$8</f>
        <v>45809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229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-5.895705492453315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Adjustment 3</v>
      </c>
      <c r="D43" s="108" t="s">
        <v>92</v>
      </c>
      <c r="E43" s="30" t="str">
        <f>'Input|Reported opex'!$E$64</f>
        <v>$millions</v>
      </c>
      <c r="F43" s="161">
        <f>'Input|Reported opex'!$F$64</f>
        <v>44713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45809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Adjustment 4</v>
      </c>
      <c r="D46" s="108" t="s">
        <v>92</v>
      </c>
      <c r="E46" s="30" t="str">
        <f>'Input|Reported opex'!$E$65</f>
        <v>$millions</v>
      </c>
      <c r="F46" s="161">
        <f>'Input|Reported opex'!$F$65</f>
        <v>44713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45809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92</v>
      </c>
      <c r="E49" s="30" t="str">
        <f>'Input|Reported opex'!$E$66</f>
        <v>$millions</v>
      </c>
      <c r="F49" s="161">
        <f>'Input|Reported opex'!$F$66</f>
        <v>44713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45809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89</v>
      </c>
      <c r="D52" s="110" t="s">
        <v>98</v>
      </c>
      <c r="E52" s="110" t="str">
        <f>$E$8</f>
        <v>$millions</v>
      </c>
      <c r="F52" s="161">
        <f>$F$8</f>
        <v>45809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-11.050788953755921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8" t="s">
        <v>167</v>
      </c>
      <c r="D54" s="112" t="s">
        <v>98</v>
      </c>
      <c r="E54" s="112" t="str">
        <f>$E$8</f>
        <v>$millions</v>
      </c>
      <c r="F54" s="179">
        <f>$F$8</f>
        <v>45809</v>
      </c>
      <c r="J54" s="177">
        <f>SUM(J33,J35,J38,J41,J44,J47,J50,J52)</f>
        <v>0</v>
      </c>
      <c r="K54" s="177">
        <f t="shared" ref="K54:S54" si="5">SUM(K33,K35,K38,K41,K44,K47,K50,K52)</f>
        <v>0</v>
      </c>
      <c r="L54" s="177">
        <f t="shared" si="5"/>
        <v>0</v>
      </c>
      <c r="M54" s="177">
        <f t="shared" si="5"/>
        <v>0</v>
      </c>
      <c r="N54" s="177">
        <f t="shared" si="5"/>
        <v>459.33284860883435</v>
      </c>
      <c r="O54" s="177">
        <f t="shared" si="5"/>
        <v>0</v>
      </c>
      <c r="P54" s="177">
        <f t="shared" si="5"/>
        <v>0</v>
      </c>
      <c r="Q54" s="177">
        <f t="shared" si="5"/>
        <v>0</v>
      </c>
      <c r="R54" s="177">
        <f t="shared" si="5"/>
        <v>0</v>
      </c>
      <c r="S54" s="177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46174</v>
      </c>
      <c r="P58" s="163">
        <f>IF(YEAR(P$4)&gt;='Input|General'!$G$13,IF(YEAR(P$4)&lt;='Input|General'!$G$14,P$4,""),"")</f>
        <v>46539</v>
      </c>
      <c r="Q58" s="163">
        <f>IF(YEAR(Q$4)&gt;='Input|General'!$G$13,IF(YEAR(Q$4)&lt;='Input|General'!$G$14,Q$4,""),"")</f>
        <v>46905</v>
      </c>
      <c r="R58" s="163">
        <f>IF(YEAR(R$4)&gt;='Input|General'!$G$13,IF(YEAR(R$4)&lt;='Input|General'!$G$14,R$4,""),"")</f>
        <v>47270</v>
      </c>
      <c r="S58" s="163">
        <f>IF(YEAR(S$4)&gt;='Input|General'!$G$13,IF(YEAR(S$4)&lt;='Input|General'!$G$14,S$4,""),"")</f>
        <v>47635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106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change'!K95,0,0,COUNTA('Input|Rate of change'!$J$82:$M$82),1)),0)</f>
        <v>0</v>
      </c>
      <c r="K61" s="117">
        <f ca="1">IF(K58=K4,AVERAGE(OFFSET('Input|Rate of change'!L95,0,0,COUNTA('Input|Rate of change'!$J$82:$M$82),1)),0)</f>
        <v>0</v>
      </c>
      <c r="L61" s="117">
        <f ca="1">IF(L58=L4,AVERAGE(OFFSET('Input|Rate of change'!M95,0,0,COUNTA('Input|Rate of change'!$J$82:$M$82),1)),0)</f>
        <v>0</v>
      </c>
      <c r="M61" s="117">
        <f ca="1">IF(M58=M4,AVERAGE(OFFSET('Input|Rate of change'!N95,0,0,COUNTA('Input|Rate of change'!$J$82:$M$82),1)),0)</f>
        <v>0</v>
      </c>
      <c r="N61" s="117">
        <f ca="1">IF(N58=N4,AVERAGE(OFFSET('Input|Rate of change'!O95,0,0,COUNTA('Input|Rate of change'!$J$82:$M$82),1)),0)</f>
        <v>0</v>
      </c>
      <c r="O61" s="117">
        <f ca="1">IF(O58=O4,AVERAGE(OFFSET('Input|Rate of change'!P95,0,0,COUNTA('Input|Rate of change'!$J$82:$N82),1)),0)</f>
        <v>5.7931226779680692E-3</v>
      </c>
      <c r="P61" s="117">
        <f ca="1">IF(P58=P4,AVERAGE(OFFSET('Input|Rate of change'!Q95,0,0,COUNTA('Input|Rate of change'!$J$82:$N82),1)),0)</f>
        <v>8.2448881213068696E-3</v>
      </c>
      <c r="Q61" s="117">
        <f ca="1">IF(Q58=Q4,AVERAGE(OFFSET('Input|Rate of change'!R95,0,0,COUNTA('Input|Rate of change'!$J$82:$N82),1)),0)</f>
        <v>9.2383336325073551E-3</v>
      </c>
      <c r="R61" s="117">
        <f ca="1">IF(R58=R4,AVERAGE(OFFSET('Input|Rate of change'!S95,0,0,COUNTA('Input|Rate of change'!$J$82:$N82),1)),0)</f>
        <v>5.7324613584515231E-3</v>
      </c>
      <c r="S61" s="117">
        <f ca="1">IF(S58=S4,AVERAGE(OFFSET('Input|Rate of change'!T95,0,0,COUNTA('Input|Rate of change'!$J$82:$N82),1)),0)</f>
        <v>7.1261270360915875E-3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80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9.4841715883541532E-3</v>
      </c>
      <c r="P63" s="117">
        <f>SUMPRODUCT('Input|Rate of change'!Q36:Q43,'Input|Rate of change'!Q49:Q56)</f>
        <v>6.7589859909169773E-3</v>
      </c>
      <c r="Q63" s="117">
        <f>SUMPRODUCT('Input|Rate of change'!R36:R43,'Input|Rate of change'!R49:R56)</f>
        <v>5.9823219186585326E-3</v>
      </c>
      <c r="R63" s="117">
        <f>SUMPRODUCT('Input|Rate of change'!S36:S43,'Input|Rate of change'!S49:S56)</f>
        <v>6.8668790652467674E-3</v>
      </c>
      <c r="S63" s="117">
        <f>SUMPRODUCT('Input|Rate of change'!T36:T43,'Input|Rate of change'!T49:T56)</f>
        <v>7.3403188199932384E-3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102</v>
      </c>
      <c r="D65" s="110" t="s">
        <v>30</v>
      </c>
      <c r="E65" s="30" t="s">
        <v>31</v>
      </c>
      <c r="F65" s="30" t="s">
        <v>36</v>
      </c>
      <c r="J65" s="117">
        <f>'Input|Rate of change'!K105</f>
        <v>0</v>
      </c>
      <c r="K65" s="117">
        <f>'Input|Rate of change'!L105</f>
        <v>0</v>
      </c>
      <c r="L65" s="117">
        <f>'Input|Rate of change'!M105</f>
        <v>0</v>
      </c>
      <c r="M65" s="117">
        <f>'Input|Rate of change'!N105</f>
        <v>0</v>
      </c>
      <c r="N65" s="117">
        <f>'Input|Rate of change'!O105</f>
        <v>0</v>
      </c>
      <c r="O65" s="117">
        <f>'Input|Rate of change'!P105</f>
        <v>0.01</v>
      </c>
      <c r="P65" s="117">
        <f>'Input|Rate of change'!Q105</f>
        <v>0.01</v>
      </c>
      <c r="Q65" s="117">
        <f>'Input|Rate of change'!R105</f>
        <v>0.01</v>
      </c>
      <c r="R65" s="117">
        <f>'Input|Rate of change'!S105</f>
        <v>0.01</v>
      </c>
      <c r="S65" s="117">
        <f>'Input|Rate of change'!T105</f>
        <v>0.01</v>
      </c>
    </row>
    <row r="66" spans="1:47" outlineLevel="1">
      <c r="C66" s="111"/>
      <c r="J66" s="173"/>
      <c r="K66" s="173"/>
      <c r="L66" s="173"/>
      <c r="M66" s="173"/>
      <c r="N66" s="173"/>
      <c r="O66" s="173"/>
      <c r="P66" s="173"/>
      <c r="Q66" s="173"/>
      <c r="R66" s="173"/>
      <c r="S66" s="173"/>
    </row>
    <row r="67" spans="1:47" outlineLevel="1">
      <c r="C67" s="118" t="s">
        <v>137</v>
      </c>
      <c r="D67" s="114" t="s">
        <v>30</v>
      </c>
      <c r="E67" s="114" t="s">
        <v>31</v>
      </c>
      <c r="F67" s="114" t="s">
        <v>36</v>
      </c>
      <c r="J67" s="143">
        <f ca="1">(1+J61)*(1+J63)*(1-J65)-1</f>
        <v>0</v>
      </c>
      <c r="K67" s="143">
        <f t="shared" ref="K67:S67" ca="1" si="6">(1+K61)*(1+K63)*(1-K65)-1</f>
        <v>0</v>
      </c>
      <c r="L67" s="143">
        <f t="shared" ca="1" si="6"/>
        <v>0</v>
      </c>
      <c r="M67" s="143">
        <f t="shared" ca="1" si="6"/>
        <v>0</v>
      </c>
      <c r="N67" s="143">
        <f t="shared" ca="1" si="6"/>
        <v>0</v>
      </c>
      <c r="O67" s="143">
        <f t="shared" ca="1" si="6"/>
        <v>5.1789148634742155E-3</v>
      </c>
      <c r="P67" s="143">
        <f t="shared" ca="1" si="6"/>
        <v>4.9090051835771753E-3</v>
      </c>
      <c r="Q67" s="143">
        <f t="shared" ca="1" si="6"/>
        <v>5.1231630145778251E-3</v>
      </c>
      <c r="R67" s="143">
        <f t="shared" ca="1" si="6"/>
        <v>2.5123174971670714E-3</v>
      </c>
      <c r="S67" s="143">
        <f t="shared" ca="1" si="6"/>
        <v>4.3735663614765663E-3</v>
      </c>
    </row>
    <row r="68" spans="1:47" outlineLevel="1">
      <c r="C68" s="124" t="s">
        <v>138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aca="1" ref="O68" ca="1">IF(O$58=O$4,PRODUCT(1+$J67:O67)-1,"")</f>
        <v>5.1789148634742155E-3</v>
      </c>
      <c r="P68" s="117">
        <f t="array" aca="1" ref="P68" ca="1">IF(P$58=P$4,PRODUCT(1+$J67:P67)-1,"")</f>
        <v>1.0113343366961569E-2</v>
      </c>
      <c r="Q68" s="117">
        <f t="array" aca="1" ref="Q68" ca="1">IF(Q$58=Q$4,PRODUCT(1+$J67:Q67)-1,"")</f>
        <v>1.5288318688230662E-2</v>
      </c>
      <c r="R68" s="117">
        <f t="array" aca="1" ref="R68" ca="1">IF(R$58=R$4,PRODUCT(1+$J67:R67)-1,"")</f>
        <v>1.7839045295940492E-2</v>
      </c>
      <c r="S68" s="117">
        <f t="array" aca="1" ref="S68" ca="1">IF(S$58=S$4,PRODUCT(1+$J67:S67)-1,"")</f>
        <v>2.2290631905844238E-2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90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103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46174</v>
      </c>
      <c r="P72" s="163">
        <f>IF(YEAR(P$4)&gt;='Input|General'!$G$13,IF(YEAR(P$4)&lt;='Input|General'!$G$14,P$4,""),"")</f>
        <v>46539</v>
      </c>
      <c r="Q72" s="163">
        <f>IF(YEAR(Q$4)&gt;='Input|General'!$G$13,IF(YEAR(Q$4)&lt;='Input|General'!$G$14,Q$4,""),"")</f>
        <v>46905</v>
      </c>
      <c r="R72" s="163">
        <f>IF(YEAR(R$4)&gt;='Input|General'!$G$13,IF(YEAR(R$4)&lt;='Input|General'!$G$14,R$4,""),"")</f>
        <v>47270</v>
      </c>
      <c r="S72" s="163">
        <f>IF(YEAR(S$4)&gt;='Input|General'!$G$13,IF(YEAR(S$4)&lt;='Input|General'!$G$14,S$4,""),"")</f>
        <v>47635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Smart Meter Data Storage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45809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0.97965783722799982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1.1826789178119999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1.3672429539159998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1.5518080581359999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1.7326988433159998</v>
      </c>
    </row>
    <row r="75" spans="1:47" outlineLevel="1">
      <c r="C75" s="121">
        <f>'Input|Step changes'!C13</f>
        <v>0</v>
      </c>
      <c r="D75" s="110" t="s">
        <v>30</v>
      </c>
      <c r="E75" s="30" t="str">
        <f t="shared" si="7"/>
        <v>$millions</v>
      </c>
      <c r="F75" s="161">
        <f t="shared" si="8"/>
        <v>45809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45809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45809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45809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45809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45809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45809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45809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5"/>
      <c r="K83" s="175"/>
      <c r="L83" s="175"/>
      <c r="M83" s="175"/>
      <c r="N83" s="175"/>
      <c r="O83" s="175"/>
      <c r="P83" s="175"/>
      <c r="Q83" s="175"/>
      <c r="R83" s="175"/>
      <c r="S83" s="175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4">
        <f t="shared" si="8"/>
        <v>45809</v>
      </c>
      <c r="G84" s="32"/>
      <c r="H84" s="32"/>
      <c r="I84" s="32"/>
      <c r="J84" s="176">
        <f>SUM(J73:J83)</f>
        <v>0</v>
      </c>
      <c r="K84" s="176">
        <f t="shared" ref="K84:S84" si="9">SUM(K73:K83)</f>
        <v>0</v>
      </c>
      <c r="L84" s="176">
        <f t="shared" si="9"/>
        <v>0</v>
      </c>
      <c r="M84" s="176">
        <f t="shared" si="9"/>
        <v>0</v>
      </c>
      <c r="N84" s="176">
        <f t="shared" si="9"/>
        <v>0</v>
      </c>
      <c r="O84" s="176">
        <f t="shared" si="9"/>
        <v>0.97965783722799982</v>
      </c>
      <c r="P84" s="176">
        <f t="shared" si="9"/>
        <v>1.1826789178119999</v>
      </c>
      <c r="Q84" s="176">
        <f t="shared" si="9"/>
        <v>1.3672429539159998</v>
      </c>
      <c r="R84" s="176">
        <f t="shared" si="9"/>
        <v>1.5518080581359999</v>
      </c>
      <c r="S84" s="176">
        <f t="shared" si="9"/>
        <v>1.7326988433159998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117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110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46174</v>
      </c>
      <c r="P88" s="163">
        <f>IF(YEAR(P$4)&gt;='Input|General'!$G$13,IF(YEAR(P$4)&lt;='Input|General'!$G$14,P$4,""),"")</f>
        <v>46539</v>
      </c>
      <c r="Q88" s="163">
        <f>IF(YEAR(Q$4)&gt;='Input|General'!$G$13,IF(YEAR(Q$4)&lt;='Input|General'!$G$14,Q$4,""),"")</f>
        <v>46905</v>
      </c>
      <c r="R88" s="163">
        <f>IF(YEAR(R$4)&gt;='Input|General'!$G$13,IF(YEAR(R$4)&lt;='Input|General'!$G$14,R$4,""),"")</f>
        <v>47270</v>
      </c>
      <c r="S88" s="163">
        <f>IF(YEAR(S$4)&gt;='Input|General'!$G$13,IF(YEAR(S$4)&lt;='Input|General'!$G$14,S$4,""),"")</f>
        <v>47635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>
        <f>'Input|Step changes'!C28</f>
        <v>0</v>
      </c>
      <c r="D90" s="110" t="s">
        <v>30</v>
      </c>
      <c r="E90" s="30" t="str">
        <f t="shared" si="7"/>
        <v>$millions</v>
      </c>
      <c r="F90" s="161">
        <f t="shared" ref="F90:F92" si="10">$F$8</f>
        <v>45809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45809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45809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118</v>
      </c>
      <c r="D94" s="122" t="s">
        <v>30</v>
      </c>
      <c r="E94" s="122" t="str">
        <f>$E$8</f>
        <v>$millions</v>
      </c>
      <c r="F94" s="174">
        <f t="shared" ref="F94" si="11">$F$8</f>
        <v>45809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</v>
      </c>
      <c r="P94" s="128">
        <f t="shared" si="12"/>
        <v>0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91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46174</v>
      </c>
      <c r="P98" s="163">
        <f>IF(YEAR(P$4)&gt;='Input|General'!$G$13,IF(YEAR(P$4)&lt;='Input|General'!$G$14,P$4,""),"")</f>
        <v>46539</v>
      </c>
      <c r="Q98" s="163">
        <f>IF(YEAR(Q$4)&gt;='Input|General'!$G$13,IF(YEAR(Q$4)&lt;='Input|General'!$G$14,Q$4,""),"")</f>
        <v>46905</v>
      </c>
      <c r="R98" s="163">
        <f>IF(YEAR(R$4)&gt;='Input|General'!$G$13,IF(YEAR(R$4)&lt;='Input|General'!$G$14,R$4,""),"")</f>
        <v>47270</v>
      </c>
      <c r="S98" s="163">
        <f>IF(YEAR(S$4)&gt;='Input|General'!$G$13,IF(YEAR(S$4)&lt;='Input|General'!$G$14,S$4,""),"")</f>
        <v>47635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134</v>
      </c>
      <c r="D100" s="126" t="s">
        <v>30</v>
      </c>
      <c r="E100" s="126" t="str">
        <f>$E$8</f>
        <v>$millions</v>
      </c>
      <c r="F100" s="174">
        <f t="shared" ref="F100:F102" si="13">$F$8</f>
        <v>45809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ca="1" si="14"/>
        <v>462.69135216300458</v>
      </c>
      <c r="P100" s="151">
        <f t="shared" ca="1" si="14"/>
        <v>465.16091834435207</v>
      </c>
      <c r="Q100" s="151">
        <f t="shared" ca="1" si="14"/>
        <v>467.722518536255</v>
      </c>
      <c r="R100" s="151">
        <f t="shared" ca="1" si="14"/>
        <v>469.0787161592167</v>
      </c>
      <c r="S100" s="151">
        <f t="shared" ca="1" si="14"/>
        <v>471.30436690275275</v>
      </c>
    </row>
    <row r="101" spans="1:47" outlineLevel="1">
      <c r="C101" s="123" t="s">
        <v>108</v>
      </c>
      <c r="D101" s="126" t="s">
        <v>30</v>
      </c>
      <c r="E101" s="126" t="str">
        <f>$E$8</f>
        <v>$millions</v>
      </c>
      <c r="F101" s="174">
        <f t="shared" si="13"/>
        <v>45809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ca="1" si="15"/>
        <v>462.69135216300458</v>
      </c>
      <c r="P101" s="151">
        <f t="shared" ca="1" si="15"/>
        <v>465.16091834435207</v>
      </c>
      <c r="Q101" s="151">
        <f t="shared" ca="1" si="15"/>
        <v>467.722518536255</v>
      </c>
      <c r="R101" s="151">
        <f t="shared" ca="1" si="15"/>
        <v>469.0787161592167</v>
      </c>
      <c r="S101" s="151">
        <f t="shared" ca="1" si="15"/>
        <v>471.30436690275275</v>
      </c>
    </row>
    <row r="102" spans="1:47" outlineLevel="1">
      <c r="C102" s="123" t="s">
        <v>109</v>
      </c>
      <c r="D102" s="126" t="s">
        <v>30</v>
      </c>
      <c r="E102" s="126" t="str">
        <f>$E$8</f>
        <v>$millions</v>
      </c>
      <c r="F102" s="174">
        <f t="shared" si="13"/>
        <v>45809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 ca="1">IF(YEAR(O$4)&gt;=FPFirstYear,IF(YEAR(O$4)&lt;=FPLastYear,O101+'Input|Step changes'!O38,""),"")</f>
        <v>470.8343154447615</v>
      </c>
      <c r="P102" s="151">
        <f ca="1">IF(YEAR(P$4)&gt;=FPFirstYear,IF(YEAR(P$4)&lt;=FPLastYear,P101+'Input|Step changes'!P38,""),"")</f>
        <v>473.55476631091994</v>
      </c>
      <c r="Q102" s="151">
        <f ca="1">IF(YEAR(Q$4)&gt;=FPFirstYear,IF(YEAR(Q$4)&lt;=FPLastYear,Q101+'Input|Step changes'!Q38,""),"")</f>
        <v>476.35236351991466</v>
      </c>
      <c r="R102" s="151">
        <f ca="1">IF(YEAR(R$4)&gt;=FPFirstYear,IF(YEAR(R$4)&lt;=FPLastYear,R101+'Input|Step changes'!R38,""),"")</f>
        <v>477.93603109503681</v>
      </c>
      <c r="S102" s="151">
        <f ca="1">IF(YEAR(S$4)&gt;=FPFirstYear,IF(YEAR(S$4)&lt;=FPLastYear,S101+'Input|Step changes'!S38,""),"")</f>
        <v>480.38663924389544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13" s="29" customFormat="1" hidden="1"/>
    <row r="114" s="29" customFormat="1" hidden="1"/>
    <row r="115" s="29" customFormat="1" hidden="1"/>
    <row r="116" s="29" customFormat="1" hidden="1"/>
    <row r="117" s="29" customFormat="1" hidden="1"/>
    <row r="118" s="29" customFormat="1" hidden="1"/>
    <row r="119" s="29" customFormat="1" hidden="1"/>
    <row r="120" s="29" customFormat="1" hidden="1"/>
    <row r="121" s="29" customFormat="1" hidden="1"/>
    <row r="122" s="29" customFormat="1" hidden="1"/>
    <row r="123" s="29" customFormat="1" hidden="1"/>
    <row r="124" s="29" customFormat="1" hidden="1"/>
    <row r="125" s="29" customFormat="1" hidden="1"/>
    <row r="126" s="29" customFormat="1" hidden="1"/>
    <row r="127" s="29" customFormat="1" hidden="1"/>
    <row r="128" s="29" customFormat="1" hidden="1"/>
    <row r="129" s="29" customFormat="1" hidden="1"/>
    <row r="130" s="29" customFormat="1" hidden="1"/>
    <row r="131" s="29" customFormat="1" hidden="1"/>
    <row r="132" s="29" customFormat="1" hidden="1"/>
    <row r="133" s="29" customFormat="1" hidden="1"/>
    <row r="134" s="29" customFormat="1" hidden="1"/>
    <row r="135" s="29" customFormat="1" hidden="1"/>
    <row r="136" s="29" customFormat="1" hidden="1"/>
    <row r="137" s="29" customFormat="1" hidden="1"/>
    <row r="138" s="29" customFormat="1" hidden="1"/>
    <row r="139" s="29" customFormat="1" hidden="1"/>
    <row r="140" s="29" customFormat="1" hidden="1"/>
    <row r="141" s="29" customFormat="1" hidden="1"/>
    <row r="142" s="29" customFormat="1" hidden="1"/>
    <row r="143" s="29" customFormat="1" hidden="1"/>
    <row r="144" s="29" customFormat="1" hidden="1"/>
    <row r="145" s="29" customFormat="1" hidden="1"/>
    <row r="146" s="29" customFormat="1" hidden="1"/>
    <row r="147" s="29" customFormat="1" hidden="1"/>
    <row r="148" s="29" customFormat="1" hidden="1"/>
    <row r="149" s="29" customFormat="1" hidden="1"/>
    <row r="150" s="29" customFormat="1" hidden="1"/>
    <row r="151" s="29" customFormat="1" hidden="1"/>
    <row r="152" s="29" customFormat="1" hidden="1"/>
    <row r="153" s="29" customFormat="1" hidden="1"/>
    <row r="154" s="29" customFormat="1" hidden="1"/>
    <row r="155" s="29" customFormat="1" hidden="1"/>
    <row r="156" s="29" customFormat="1" hidden="1"/>
    <row r="157" s="29" customFormat="1" hidden="1"/>
    <row r="158" s="29" customFormat="1" hidden="1"/>
    <row r="159" s="29" customFormat="1" hidden="1"/>
    <row r="160" s="29" customFormat="1" hidden="1"/>
    <row r="161" s="29" customFormat="1" hidden="1"/>
    <row r="162" s="29" customFormat="1" hidden="1"/>
    <row r="163" s="29" customFormat="1" hidden="1"/>
    <row r="164" s="29" customFormat="1" hidden="1"/>
    <row r="165" s="29" customFormat="1" hidden="1"/>
    <row r="166" s="29" customFormat="1" hidden="1"/>
    <row r="167" s="29" customFormat="1" hidden="1"/>
    <row r="168" s="29" customFormat="1" hidden="1"/>
    <row r="169" s="29" customFormat="1" hidden="1"/>
    <row r="170" s="29" customFormat="1" hidden="1"/>
    <row r="171" s="29" customFormat="1" hidden="1"/>
    <row r="172" s="29" customFormat="1" hidden="1"/>
    <row r="173" s="29" customFormat="1" hidden="1"/>
    <row r="174" s="29" customFormat="1" hidden="1"/>
    <row r="175" s="29" customFormat="1" hidden="1"/>
    <row r="176" s="29" customFormat="1" hidden="1"/>
    <row r="177" s="29" customFormat="1" hidden="1"/>
    <row r="178" s="29" customFormat="1" hidden="1"/>
    <row r="179" s="29" customFormat="1" hidden="1"/>
    <row r="180" s="29" customFormat="1" hidden="1"/>
    <row r="181" s="29" customFormat="1" hidden="1"/>
    <row r="182" s="29" customFormat="1" hidden="1"/>
    <row r="183" s="29" customFormat="1" hidden="1"/>
    <row r="184" s="29" customFormat="1" hidden="1"/>
    <row r="185" s="29" customFormat="1" hidden="1"/>
    <row r="186" s="29" customFormat="1" hidden="1"/>
    <row r="187" s="29" customFormat="1" hidden="1"/>
    <row r="188" s="29" customFormat="1" hidden="1"/>
    <row r="189" s="29" customFormat="1" hidden="1"/>
  </sheetData>
  <mergeCells count="1">
    <mergeCell ref="N3:S3"/>
  </mergeCells>
  <conditionalFormatting sqref="S1">
    <cfRule type="cellIs" dxfId="88" priority="99" operator="equal">
      <formula>"Check"</formula>
    </cfRule>
    <cfRule type="cellIs" dxfId="87" priority="100" operator="equal">
      <formula>"Ok"</formula>
    </cfRule>
  </conditionalFormatting>
  <conditionalFormatting sqref="V1">
    <cfRule type="cellIs" dxfId="86" priority="101" operator="equal">
      <formula>"Check"</formula>
    </cfRule>
    <cfRule type="cellIs" dxfId="85" priority="102" operator="equal">
      <formula>"Ok"</formula>
    </cfRule>
  </conditionalFormatting>
  <conditionalFormatting sqref="R39:S39 R42:S42 R45:S45 R48:S48 J12:S18">
    <cfRule type="cellIs" dxfId="84" priority="98" operator="equal">
      <formula>0</formula>
    </cfRule>
  </conditionalFormatting>
  <conditionalFormatting sqref="J13:S13">
    <cfRule type="cellIs" dxfId="83" priority="97" operator="equal">
      <formula>0</formula>
    </cfRule>
  </conditionalFormatting>
  <conditionalFormatting sqref="J14:S14">
    <cfRule type="cellIs" dxfId="82" priority="96" operator="equal">
      <formula>0</formula>
    </cfRule>
  </conditionalFormatting>
  <conditionalFormatting sqref="J15:S15">
    <cfRule type="cellIs" dxfId="81" priority="95" operator="equal">
      <formula>0</formula>
    </cfRule>
  </conditionalFormatting>
  <conditionalFormatting sqref="J16:S16">
    <cfRule type="cellIs" dxfId="80" priority="94" operator="equal">
      <formula>0</formula>
    </cfRule>
  </conditionalFormatting>
  <conditionalFormatting sqref="J17:S18">
    <cfRule type="cellIs" dxfId="79" priority="93" operator="equal">
      <formula>0</formula>
    </cfRule>
  </conditionalFormatting>
  <conditionalFormatting sqref="J61:S65">
    <cfRule type="cellIs" dxfId="78" priority="92" operator="equal">
      <formula>0</formula>
    </cfRule>
  </conditionalFormatting>
  <conditionalFormatting sqref="J74:S82 J90:S92">
    <cfRule type="cellIs" dxfId="77" priority="90" operator="equal">
      <formula>0</formula>
    </cfRule>
  </conditionalFormatting>
  <conditionalFormatting sqref="J36:S36 J33:S34 J51:S54">
    <cfRule type="cellIs" dxfId="76" priority="87" operator="equal">
      <formula>0</formula>
    </cfRule>
  </conditionalFormatting>
  <conditionalFormatting sqref="J101:S102">
    <cfRule type="cellIs" dxfId="75" priority="86" operator="equal">
      <formula>0</formula>
    </cfRule>
  </conditionalFormatting>
  <conditionalFormatting sqref="J101:S102">
    <cfRule type="cellIs" dxfId="74" priority="85" operator="equal">
      <formula>0</formula>
    </cfRule>
  </conditionalFormatting>
  <conditionalFormatting sqref="J46:S46">
    <cfRule type="cellIs" dxfId="73" priority="48" operator="equal">
      <formula>0</formula>
    </cfRule>
  </conditionalFormatting>
  <conditionalFormatting sqref="J39:Q39 J42:Q42 J45:Q45">
    <cfRule type="cellIs" dxfId="72" priority="66" operator="equal">
      <formula>0</formula>
    </cfRule>
  </conditionalFormatting>
  <conditionalFormatting sqref="J39:Q39 J42:Q42 J45:Q45">
    <cfRule type="cellIs" dxfId="71" priority="65" operator="equal">
      <formula>0</formula>
    </cfRule>
  </conditionalFormatting>
  <conditionalFormatting sqref="J37:S37">
    <cfRule type="cellIs" dxfId="70" priority="61" operator="equal">
      <formula>0</formula>
    </cfRule>
  </conditionalFormatting>
  <conditionalFormatting sqref="J37:S37">
    <cfRule type="cellIs" dxfId="69" priority="60" operator="equal">
      <formula>0</formula>
    </cfRule>
  </conditionalFormatting>
  <conditionalFormatting sqref="J48:Q48">
    <cfRule type="cellIs" dxfId="68" priority="51" operator="equal">
      <formula>0</formula>
    </cfRule>
  </conditionalFormatting>
  <conditionalFormatting sqref="J48:Q48">
    <cfRule type="cellIs" dxfId="67" priority="50" operator="equal">
      <formula>0</formula>
    </cfRule>
  </conditionalFormatting>
  <conditionalFormatting sqref="J40:S40">
    <cfRule type="cellIs" dxfId="66" priority="57" operator="equal">
      <formula>0</formula>
    </cfRule>
  </conditionalFormatting>
  <conditionalFormatting sqref="J40:S40">
    <cfRule type="cellIs" dxfId="65" priority="56" operator="equal">
      <formula>0</formula>
    </cfRule>
  </conditionalFormatting>
  <conditionalFormatting sqref="J46:S46">
    <cfRule type="cellIs" dxfId="64" priority="49" operator="equal">
      <formula>0</formula>
    </cfRule>
  </conditionalFormatting>
  <conditionalFormatting sqref="J43:S43">
    <cfRule type="cellIs" dxfId="63" priority="53" operator="equal">
      <formula>0</formula>
    </cfRule>
  </conditionalFormatting>
  <conditionalFormatting sqref="J43:S43">
    <cfRule type="cellIs" dxfId="62" priority="52" operator="equal">
      <formula>0</formula>
    </cfRule>
  </conditionalFormatting>
  <conditionalFormatting sqref="J49:S49">
    <cfRule type="cellIs" dxfId="61" priority="43" operator="equal">
      <formula>0</formula>
    </cfRule>
  </conditionalFormatting>
  <conditionalFormatting sqref="J49:S49">
    <cfRule type="cellIs" dxfId="60" priority="44" operator="equal">
      <formula>0</formula>
    </cfRule>
  </conditionalFormatting>
  <conditionalFormatting sqref="J38:S38">
    <cfRule type="cellIs" dxfId="59" priority="42" operator="equal">
      <formula>0</formula>
    </cfRule>
  </conditionalFormatting>
  <conditionalFormatting sqref="J38:S38">
    <cfRule type="cellIs" dxfId="58" priority="41" operator="equal">
      <formula>0</formula>
    </cfRule>
  </conditionalFormatting>
  <conditionalFormatting sqref="J41:S41">
    <cfRule type="cellIs" dxfId="57" priority="40" operator="equal">
      <formula>0</formula>
    </cfRule>
  </conditionalFormatting>
  <conditionalFormatting sqref="J41:S41">
    <cfRule type="cellIs" dxfId="56" priority="39" operator="equal">
      <formula>0</formula>
    </cfRule>
  </conditionalFormatting>
  <conditionalFormatting sqref="J44:S44">
    <cfRule type="cellIs" dxfId="55" priority="38" operator="equal">
      <formula>0</formula>
    </cfRule>
  </conditionalFormatting>
  <conditionalFormatting sqref="J44:S44">
    <cfRule type="cellIs" dxfId="54" priority="37" operator="equal">
      <formula>0</formula>
    </cfRule>
  </conditionalFormatting>
  <conditionalFormatting sqref="J47:S47">
    <cfRule type="cellIs" dxfId="53" priority="36" operator="equal">
      <formula>0</formula>
    </cfRule>
  </conditionalFormatting>
  <conditionalFormatting sqref="J47:S47">
    <cfRule type="cellIs" dxfId="52" priority="35" operator="equal">
      <formula>0</formula>
    </cfRule>
  </conditionalFormatting>
  <conditionalFormatting sqref="J50:S50">
    <cfRule type="cellIs" dxfId="51" priority="34" operator="equal">
      <formula>0</formula>
    </cfRule>
  </conditionalFormatting>
  <conditionalFormatting sqref="J50:S50">
    <cfRule type="cellIs" dxfId="50" priority="33" operator="equal">
      <formula>0</formula>
    </cfRule>
  </conditionalFormatting>
  <conditionalFormatting sqref="J100:S100">
    <cfRule type="cellIs" dxfId="49" priority="22" operator="equal">
      <formula>0</formula>
    </cfRule>
  </conditionalFormatting>
  <conditionalFormatting sqref="J100:S100">
    <cfRule type="cellIs" dxfId="48" priority="21" operator="equal">
      <formula>0</formula>
    </cfRule>
  </conditionalFormatting>
  <conditionalFormatting sqref="J10:S10">
    <cfRule type="expression" dxfId="47" priority="20">
      <formula>J$10=J$4</formula>
    </cfRule>
  </conditionalFormatting>
  <conditionalFormatting sqref="J25:S25">
    <cfRule type="expression" dxfId="46" priority="19">
      <formula>J$10=J$4</formula>
    </cfRule>
  </conditionalFormatting>
  <conditionalFormatting sqref="J54:S54">
    <cfRule type="expression" dxfId="45" priority="18">
      <formula>J$10=J$4</formula>
    </cfRule>
  </conditionalFormatting>
  <conditionalFormatting sqref="J26:S28 J30:S30">
    <cfRule type="cellIs" dxfId="44" priority="15" operator="equal">
      <formula>0</formula>
    </cfRule>
  </conditionalFormatting>
  <conditionalFormatting sqref="J31:S32">
    <cfRule type="cellIs" dxfId="43" priority="14" operator="equal">
      <formula>0</formula>
    </cfRule>
  </conditionalFormatting>
  <conditionalFormatting sqref="J68:S68">
    <cfRule type="cellIs" dxfId="42" priority="11" operator="equal">
      <formula>0</formula>
    </cfRule>
  </conditionalFormatting>
  <conditionalFormatting sqref="J35:S35">
    <cfRule type="cellIs" dxfId="41" priority="10" operator="equal">
      <formula>0</formula>
    </cfRule>
  </conditionalFormatting>
  <conditionalFormatting sqref="J35:S35">
    <cfRule type="cellIs" dxfId="40" priority="9" operator="equal">
      <formula>0</formula>
    </cfRule>
  </conditionalFormatting>
  <conditionalFormatting sqref="J29:S29">
    <cfRule type="cellIs" dxfId="39" priority="8" operator="equal">
      <formula>0</formula>
    </cfRule>
  </conditionalFormatting>
  <conditionalFormatting sqref="J29:S29">
    <cfRule type="cellIs" dxfId="38" priority="7" operator="equal">
      <formula>0</formula>
    </cfRule>
  </conditionalFormatting>
  <conditionalFormatting sqref="J19:S24">
    <cfRule type="cellIs" dxfId="37" priority="6" operator="equal">
      <formula>0</formula>
    </cfRule>
  </conditionalFormatting>
  <conditionalFormatting sqref="J20:S20">
    <cfRule type="cellIs" dxfId="36" priority="5" operator="equal">
      <formula>0</formula>
    </cfRule>
  </conditionalFormatting>
  <conditionalFormatting sqref="J21:S21">
    <cfRule type="cellIs" dxfId="35" priority="4" operator="equal">
      <formula>0</formula>
    </cfRule>
  </conditionalFormatting>
  <conditionalFormatting sqref="J22:S22">
    <cfRule type="cellIs" dxfId="34" priority="3" operator="equal">
      <formula>0</formula>
    </cfRule>
  </conditionalFormatting>
  <conditionalFormatting sqref="J23:S23">
    <cfRule type="cellIs" dxfId="33" priority="2" operator="equal">
      <formula>0</formula>
    </cfRule>
  </conditionalFormatting>
  <conditionalFormatting sqref="J24:S24">
    <cfRule type="cellIs" dxfId="32" priority="1" operator="equal">
      <formula>0</formula>
    </cfRule>
  </conditionalFormatting>
  <conditionalFormatting sqref="J67:S67">
    <cfRule type="expression" dxfId="31" priority="104">
      <formula>J$58=J$4</formula>
    </cfRule>
    <cfRule type="cellIs" dxfId="30" priority="105" operator="equal">
      <formula>0</formula>
    </cfRule>
  </conditionalFormatting>
  <conditionalFormatting sqref="J94:S94">
    <cfRule type="expression" dxfId="29" priority="106">
      <formula>J$88=J$4</formula>
    </cfRule>
    <cfRule type="cellIs" dxfId="28" priority="107" operator="equal">
      <formula>0</formula>
    </cfRule>
  </conditionalFormatting>
  <conditionalFormatting sqref="J84:S84">
    <cfRule type="expression" dxfId="27" priority="108">
      <formula>J$72=J$4</formula>
    </cfRule>
    <cfRule type="cellIs" dxfId="26" priority="109" operator="equal">
      <formula>0</formula>
    </cfRule>
  </conditionalFormatting>
  <conditionalFormatting sqref="J58:S58 J72:S72 J88:S88">
    <cfRule type="expression" dxfId="25" priority="110">
      <formula>J$58=J$4</formula>
    </cfRule>
  </conditionalFormatting>
  <conditionalFormatting sqref="J98:S98">
    <cfRule type="expression" dxfId="24" priority="113">
      <formula>J$98=J$4</formula>
    </cfRule>
  </conditionalFormatting>
  <dataValidations disablePrompts="1" count="2">
    <dataValidation type="list" allowBlank="1" showInputMessage="1" showErrorMessage="1" sqref="F95 F93 F103 F85" xr:uid="{00000000-0002-0000-0600-000000000000}">
      <formula1>"Real 2010,Real 2011,Real 2012,Real 2013,Real 2014,Real 2015,Nominal"</formula1>
    </dataValidation>
    <dataValidation type="list" allowBlank="1" showInputMessage="1" showErrorMessage="1" sqref="F83" xr:uid="{00000000-0002-0000-0600-000001000000}">
      <formula1>$G$60:$G$66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U24"/>
  <sheetViews>
    <sheetView showGridLines="0" topLeftCell="D1" workbookViewId="0">
      <selection activeCell="O13" sqref="O13:S13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U1" s="187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2"/>
      <c r="E3" s="182"/>
      <c r="F3" s="182"/>
      <c r="G3" s="182"/>
      <c r="H3" s="182"/>
      <c r="I3" s="182"/>
      <c r="J3" s="172" t="s">
        <v>119</v>
      </c>
      <c r="K3" s="172"/>
      <c r="L3" s="172"/>
      <c r="M3" s="182"/>
      <c r="N3" s="231"/>
      <c r="O3" s="231"/>
      <c r="P3" s="231"/>
      <c r="Q3" s="231"/>
      <c r="R3" s="231"/>
      <c r="S3" s="231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44348</v>
      </c>
      <c r="K4" s="156">
        <f>DATE(PPFirstYear+1,MONTH('Input|General'!$G$9),1)</f>
        <v>44713</v>
      </c>
      <c r="L4" s="156">
        <f>DATE(PPFirstYear+2,MONTH('Input|General'!$G$9),1)</f>
        <v>45078</v>
      </c>
      <c r="M4" s="156">
        <f>DATE(PPFirstYear+3,MONTH('Input|General'!$G$9),1)</f>
        <v>45444</v>
      </c>
      <c r="N4" s="156">
        <f>DATE(PPFirstYear+4,MONTH('Input|General'!$G$9),1)</f>
        <v>45809</v>
      </c>
      <c r="O4" s="156">
        <f>DATE(PPFirstYear+5,MONTH('Input|General'!$G$9),1)</f>
        <v>46174</v>
      </c>
      <c r="P4" s="156">
        <f>DATE(PPFirstYear+6,MONTH('Input|General'!$G$9),1)</f>
        <v>46539</v>
      </c>
      <c r="Q4" s="156">
        <f>DATE(PPFirstYear+7,MONTH('Input|General'!$G$9),1)</f>
        <v>46905</v>
      </c>
      <c r="R4" s="156">
        <f>DATE(PPFirstYear+8,MONTH('Input|General'!$G$9),1)</f>
        <v>47270</v>
      </c>
      <c r="S4" s="156">
        <f>DATE(PPFirstYear+9,MONTH('Input|General'!$G$9),1)</f>
        <v>47635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55</v>
      </c>
      <c r="C8" s="94"/>
      <c r="D8" s="94"/>
      <c r="E8" s="68" t="s">
        <v>15</v>
      </c>
      <c r="F8" s="206">
        <f>DATE(PPLastYear,MONTH('Input|General'!$G$9),1)</f>
        <v>45809</v>
      </c>
      <c r="G8" s="96"/>
      <c r="H8" s="96"/>
      <c r="I8" s="96"/>
      <c r="J8" s="149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46174</v>
      </c>
      <c r="P11" s="163">
        <f>IF(YEAR(P$4)&gt;='Input|General'!$G$13,IF(YEAR(P$4)&lt;='Input|General'!$G$14,P$4,""),"")</f>
        <v>46539</v>
      </c>
      <c r="Q11" s="163">
        <f>IF(YEAR(Q$4)&gt;='Input|General'!$G$13,IF(YEAR(Q$4)&lt;='Input|General'!$G$14,Q$4,""),"")</f>
        <v>46905</v>
      </c>
      <c r="R11" s="163">
        <f>IF(YEAR(R$4)&gt;='Input|General'!$G$13,IF(YEAR(R$4)&lt;='Input|General'!$G$14,R$4,""),"")</f>
        <v>47270</v>
      </c>
      <c r="S11" s="163">
        <f>IF(YEAR(S$4)&gt;='Input|General'!$G$13,IF(YEAR(S$4)&lt;='Input|General'!$G$14,S$4,""),"")</f>
        <v>47635</v>
      </c>
      <c r="U11" s="137" t="s">
        <v>54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104</v>
      </c>
      <c r="E13" s="30" t="str">
        <f>$E$8</f>
        <v>$millions</v>
      </c>
      <c r="F13" s="161">
        <f>$F$8</f>
        <v>45809</v>
      </c>
      <c r="H13" s="32"/>
      <c r="I13" s="32"/>
      <c r="J13" s="180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0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0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0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0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0">
        <f ca="1"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462.69135216300458</v>
      </c>
      <c r="P13" s="180">
        <f ca="1"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465.16091834435207</v>
      </c>
      <c r="Q13" s="180">
        <f ca="1"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467.722518536255</v>
      </c>
      <c r="R13" s="180">
        <f ca="1"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469.0787161592167</v>
      </c>
      <c r="S13" s="180">
        <f ca="1"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471.30436690275275</v>
      </c>
      <c r="T13" s="111"/>
      <c r="U13" s="152"/>
    </row>
    <row r="14" spans="1:26">
      <c r="C14" s="111">
        <f>'Input|Step changes'!C28</f>
        <v>0</v>
      </c>
      <c r="D14" s="34" t="s">
        <v>104</v>
      </c>
      <c r="E14" s="30" t="str">
        <f t="shared" ref="E14:E16" si="0">$E$8</f>
        <v>$millions</v>
      </c>
      <c r="F14" s="161">
        <f t="shared" ref="F14:F16" si="1">$F$8</f>
        <v>45809</v>
      </c>
      <c r="H14" s="32"/>
      <c r="I14" s="32"/>
      <c r="J14" s="180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0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0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0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0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0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P14" s="180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Q14" s="180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80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80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104</v>
      </c>
      <c r="E15" s="30" t="str">
        <f t="shared" si="0"/>
        <v>$millions</v>
      </c>
      <c r="F15" s="161">
        <f t="shared" si="1"/>
        <v>45809</v>
      </c>
      <c r="H15" s="32"/>
      <c r="I15" s="32"/>
      <c r="J15" s="180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0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0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0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0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0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80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80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0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0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104</v>
      </c>
      <c r="E16" s="30" t="str">
        <f t="shared" si="0"/>
        <v>$millions</v>
      </c>
      <c r="F16" s="161">
        <f t="shared" si="1"/>
        <v>45809</v>
      </c>
      <c r="H16" s="32"/>
      <c r="I16" s="32"/>
      <c r="J16" s="180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0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0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0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0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0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0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0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0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0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7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24" spans="1:23" hidden="1">
      <c r="M24" s="146"/>
      <c r="N24" s="146"/>
      <c r="O24" s="146"/>
      <c r="P24" s="146"/>
      <c r="Q24" s="146"/>
      <c r="R24" s="146"/>
      <c r="S24" s="146"/>
    </row>
  </sheetData>
  <mergeCells count="1">
    <mergeCell ref="N3:S3"/>
  </mergeCells>
  <conditionalFormatting sqref="V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S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S11">
    <cfRule type="expression" dxfId="18" priority="7">
      <formula>J$11=J$4</formula>
    </cfRule>
  </conditionalFormatting>
  <conditionalFormatting sqref="S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U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83"/>
  <sheetViews>
    <sheetView showGridLines="0" topLeftCell="A37" workbookViewId="0">
      <selection activeCell="C70" sqref="C70:H70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1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2" t="s">
        <v>12</v>
      </c>
    </row>
    <row r="11" spans="1:47">
      <c r="C11" s="15" t="s">
        <v>13</v>
      </c>
      <c r="D11" s="16" t="s">
        <v>69</v>
      </c>
      <c r="E11" s="16"/>
      <c r="F11" s="16"/>
      <c r="G11" s="52" t="s">
        <v>20</v>
      </c>
    </row>
    <row r="12" spans="1:47">
      <c r="C12" s="15" t="s">
        <v>14</v>
      </c>
      <c r="D12" s="16" t="s">
        <v>69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2" t="s">
        <v>31</v>
      </c>
    </row>
    <row r="15" spans="1:47">
      <c r="C15" s="15" t="s">
        <v>8</v>
      </c>
      <c r="D15" s="16" t="s">
        <v>69</v>
      </c>
      <c r="E15" s="16"/>
      <c r="F15" s="16"/>
      <c r="G15" s="52" t="s">
        <v>11</v>
      </c>
    </row>
    <row r="16" spans="1:47">
      <c r="C16" s="15" t="s">
        <v>17</v>
      </c>
      <c r="D16" s="16" t="s">
        <v>69</v>
      </c>
      <c r="E16" s="16"/>
      <c r="F16" s="16"/>
      <c r="G16" s="52" t="s">
        <v>18</v>
      </c>
    </row>
    <row r="17" spans="1:47">
      <c r="C17" s="15" t="s">
        <v>37</v>
      </c>
      <c r="D17" s="16" t="s">
        <v>69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2" t="s">
        <v>23</v>
      </c>
    </row>
    <row r="20" spans="1:47">
      <c r="C20" s="15" t="s">
        <v>74</v>
      </c>
      <c r="D20" s="16" t="s">
        <v>69</v>
      </c>
      <c r="E20" s="16"/>
      <c r="F20" s="16"/>
      <c r="G20" s="52" t="s">
        <v>74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120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121</v>
      </c>
      <c r="D25" s="16" t="s">
        <v>69</v>
      </c>
      <c r="E25" s="16"/>
      <c r="F25" s="16"/>
      <c r="G25" s="154">
        <v>36526</v>
      </c>
      <c r="H25" s="14"/>
    </row>
    <row r="26" spans="1:47">
      <c r="C26" s="15" t="s">
        <v>122</v>
      </c>
      <c r="D26" s="16" t="s">
        <v>69</v>
      </c>
      <c r="E26" s="16"/>
      <c r="F26" s="16"/>
      <c r="G26" s="154">
        <v>36557</v>
      </c>
      <c r="H26" s="14"/>
    </row>
    <row r="27" spans="1:47">
      <c r="C27" s="15" t="s">
        <v>123</v>
      </c>
      <c r="D27" s="16" t="s">
        <v>69</v>
      </c>
      <c r="E27" s="16"/>
      <c r="F27" s="16"/>
      <c r="G27" s="154">
        <v>36586</v>
      </c>
      <c r="H27" s="14"/>
    </row>
    <row r="28" spans="1:47">
      <c r="C28" s="15" t="s">
        <v>124</v>
      </c>
      <c r="D28" s="16" t="s">
        <v>69</v>
      </c>
      <c r="E28" s="16"/>
      <c r="F28" s="16"/>
      <c r="G28" s="154">
        <v>36617</v>
      </c>
    </row>
    <row r="29" spans="1:47">
      <c r="C29" s="15" t="s">
        <v>125</v>
      </c>
      <c r="D29" s="16" t="s">
        <v>69</v>
      </c>
      <c r="E29" s="16"/>
      <c r="F29" s="16"/>
      <c r="G29" s="154">
        <v>36647</v>
      </c>
    </row>
    <row r="30" spans="1:47">
      <c r="C30" s="15" t="s">
        <v>126</v>
      </c>
      <c r="D30" s="16" t="s">
        <v>69</v>
      </c>
      <c r="E30" s="16"/>
      <c r="F30" s="16"/>
      <c r="G30" s="154">
        <v>36678</v>
      </c>
      <c r="T30" s="17"/>
    </row>
    <row r="31" spans="1:47">
      <c r="C31" s="15" t="s">
        <v>127</v>
      </c>
      <c r="D31" s="16" t="s">
        <v>69</v>
      </c>
      <c r="E31" s="16"/>
      <c r="F31" s="16"/>
      <c r="G31" s="154">
        <v>36708</v>
      </c>
      <c r="T31" s="17"/>
    </row>
    <row r="32" spans="1:47">
      <c r="C32" s="15" t="s">
        <v>128</v>
      </c>
      <c r="D32" s="16" t="s">
        <v>69</v>
      </c>
      <c r="E32" s="16"/>
      <c r="F32" s="16"/>
      <c r="G32" s="154">
        <v>36739</v>
      </c>
      <c r="T32" s="17"/>
    </row>
    <row r="33" spans="1:47">
      <c r="C33" s="15" t="s">
        <v>129</v>
      </c>
      <c r="D33" s="16" t="s">
        <v>69</v>
      </c>
      <c r="E33" s="16"/>
      <c r="F33" s="16"/>
      <c r="G33" s="154">
        <v>36770</v>
      </c>
      <c r="T33" s="17"/>
    </row>
    <row r="34" spans="1:47">
      <c r="C34" s="15" t="s">
        <v>130</v>
      </c>
      <c r="D34" s="16" t="s">
        <v>69</v>
      </c>
      <c r="E34" s="16"/>
      <c r="F34" s="16"/>
      <c r="G34" s="154">
        <v>36800</v>
      </c>
      <c r="T34" s="17"/>
    </row>
    <row r="35" spans="1:47">
      <c r="C35" s="15" t="s">
        <v>131</v>
      </c>
      <c r="D35" s="16" t="s">
        <v>69</v>
      </c>
      <c r="E35" s="16"/>
      <c r="F35" s="16"/>
      <c r="G35" s="154">
        <v>36831</v>
      </c>
      <c r="T35" s="17"/>
    </row>
    <row r="36" spans="1:47">
      <c r="C36" s="15" t="s">
        <v>132</v>
      </c>
      <c r="D36" s="16" t="s">
        <v>69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70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155</v>
      </c>
      <c r="H40" s="14" t="s">
        <v>153</v>
      </c>
      <c r="I40" s="14" t="s">
        <v>154</v>
      </c>
    </row>
    <row r="41" spans="1:47">
      <c r="C41" s="160">
        <v>40695</v>
      </c>
      <c r="D41" s="16" t="s">
        <v>69</v>
      </c>
      <c r="E41" s="16"/>
      <c r="F41" s="16"/>
      <c r="G41" s="155">
        <v>2011</v>
      </c>
      <c r="H41" s="185">
        <f>DATE(G41,MONTH('Input|General'!$G$9),1)</f>
        <v>40695</v>
      </c>
      <c r="I41" s="183" t="str">
        <f>G41-1&amp;"–"&amp;RIGHT(G41,2)</f>
        <v>2010–11</v>
      </c>
    </row>
    <row r="42" spans="1:47">
      <c r="C42" s="160">
        <v>41061</v>
      </c>
      <c r="D42" s="16" t="s">
        <v>69</v>
      </c>
      <c r="E42" s="16"/>
      <c r="F42" s="16"/>
      <c r="G42" s="155">
        <v>2012</v>
      </c>
      <c r="H42" s="185">
        <f>DATE(G42,MONTH('Input|General'!$G$9),1)</f>
        <v>41061</v>
      </c>
      <c r="I42" s="183" t="str">
        <f t="shared" ref="I42:I60" si="0">G42-1&amp;"–"&amp;RIGHT(G42,2)</f>
        <v>2011–12</v>
      </c>
    </row>
    <row r="43" spans="1:47">
      <c r="C43" s="160">
        <v>41426</v>
      </c>
      <c r="D43" s="16" t="s">
        <v>69</v>
      </c>
      <c r="E43" s="16"/>
      <c r="F43" s="16"/>
      <c r="G43" s="155">
        <v>2013</v>
      </c>
      <c r="H43" s="185">
        <f>DATE(G43,MONTH('Input|General'!$G$9),1)</f>
        <v>41426</v>
      </c>
      <c r="I43" s="183" t="str">
        <f t="shared" si="0"/>
        <v>2012–13</v>
      </c>
    </row>
    <row r="44" spans="1:47">
      <c r="C44" s="160">
        <v>41791</v>
      </c>
      <c r="D44" s="16" t="s">
        <v>69</v>
      </c>
      <c r="E44" s="16"/>
      <c r="F44" s="16"/>
      <c r="G44" s="155">
        <v>2014</v>
      </c>
      <c r="H44" s="185">
        <f>DATE(G44,MONTH('Input|General'!$G$9),1)</f>
        <v>41791</v>
      </c>
      <c r="I44" s="183" t="str">
        <f t="shared" si="0"/>
        <v>2013–14</v>
      </c>
    </row>
    <row r="45" spans="1:47">
      <c r="C45" s="160">
        <v>42156</v>
      </c>
      <c r="D45" s="16" t="s">
        <v>69</v>
      </c>
      <c r="E45" s="16"/>
      <c r="F45" s="16"/>
      <c r="G45" s="155">
        <v>2015</v>
      </c>
      <c r="H45" s="185">
        <f>DATE(G45,MONTH('Input|General'!$G$9),1)</f>
        <v>42156</v>
      </c>
      <c r="I45" s="183" t="str">
        <f t="shared" si="0"/>
        <v>2014–15</v>
      </c>
      <c r="T45" s="17"/>
    </row>
    <row r="46" spans="1:47">
      <c r="C46" s="160">
        <v>42522</v>
      </c>
      <c r="D46" s="16" t="s">
        <v>69</v>
      </c>
      <c r="E46" s="16"/>
      <c r="F46" s="16"/>
      <c r="G46" s="155">
        <v>2016</v>
      </c>
      <c r="H46" s="185">
        <f>DATE(G46,MONTH('Input|General'!$G$9),1)</f>
        <v>42522</v>
      </c>
      <c r="I46" s="183" t="str">
        <f t="shared" si="0"/>
        <v>2015–16</v>
      </c>
      <c r="T46" s="17"/>
    </row>
    <row r="47" spans="1:47">
      <c r="C47" s="160">
        <v>42887</v>
      </c>
      <c r="D47" s="16" t="s">
        <v>69</v>
      </c>
      <c r="E47" s="16"/>
      <c r="F47" s="16"/>
      <c r="G47" s="155">
        <v>2017</v>
      </c>
      <c r="H47" s="185">
        <f>DATE(G47,MONTH('Input|General'!$G$9),1)</f>
        <v>42887</v>
      </c>
      <c r="I47" s="183" t="str">
        <f t="shared" si="0"/>
        <v>2016–17</v>
      </c>
      <c r="T47" s="17"/>
    </row>
    <row r="48" spans="1:47">
      <c r="C48" s="160">
        <v>43252</v>
      </c>
      <c r="D48" s="16" t="s">
        <v>69</v>
      </c>
      <c r="E48" s="16"/>
      <c r="F48" s="16"/>
      <c r="G48" s="155">
        <v>2018</v>
      </c>
      <c r="H48" s="185">
        <f>DATE(G48,MONTH('Input|General'!$G$9),1)</f>
        <v>43252</v>
      </c>
      <c r="I48" s="183" t="str">
        <f t="shared" si="0"/>
        <v>2017–18</v>
      </c>
      <c r="T48" s="17"/>
    </row>
    <row r="49" spans="1:47">
      <c r="C49" s="160">
        <v>43617</v>
      </c>
      <c r="D49" s="16" t="s">
        <v>69</v>
      </c>
      <c r="E49" s="16"/>
      <c r="F49" s="16"/>
      <c r="G49" s="155">
        <v>2019</v>
      </c>
      <c r="H49" s="185">
        <f>DATE(G49,MONTH('Input|General'!$G$9),1)</f>
        <v>43617</v>
      </c>
      <c r="I49" s="183" t="str">
        <f t="shared" si="0"/>
        <v>2018–19</v>
      </c>
      <c r="T49" s="17"/>
    </row>
    <row r="50" spans="1:47">
      <c r="C50" s="160">
        <v>43983</v>
      </c>
      <c r="D50" s="16" t="s">
        <v>69</v>
      </c>
      <c r="E50" s="16"/>
      <c r="F50" s="16"/>
      <c r="G50" s="155">
        <v>2020</v>
      </c>
      <c r="H50" s="185">
        <f>DATE(G50,MONTH('Input|General'!$G$9),1)</f>
        <v>43983</v>
      </c>
      <c r="I50" s="183" t="str">
        <f t="shared" si="0"/>
        <v>2019–20</v>
      </c>
      <c r="T50" s="17"/>
    </row>
    <row r="51" spans="1:47">
      <c r="C51" s="160">
        <v>44348</v>
      </c>
      <c r="D51" s="16" t="s">
        <v>69</v>
      </c>
      <c r="E51" s="16"/>
      <c r="F51" s="16"/>
      <c r="G51" s="155">
        <v>2021</v>
      </c>
      <c r="H51" s="185">
        <f>DATE(G51,MONTH('Input|General'!$G$9),1)</f>
        <v>44348</v>
      </c>
      <c r="I51" s="183" t="str">
        <f t="shared" si="0"/>
        <v>2020–21</v>
      </c>
      <c r="T51" s="17"/>
    </row>
    <row r="52" spans="1:47">
      <c r="C52" s="160">
        <v>44713</v>
      </c>
      <c r="D52" s="16" t="s">
        <v>69</v>
      </c>
      <c r="E52" s="16"/>
      <c r="F52" s="16"/>
      <c r="G52" s="155">
        <v>2022</v>
      </c>
      <c r="H52" s="185">
        <f>DATE(G52,MONTH('Input|General'!$G$9),1)</f>
        <v>44713</v>
      </c>
      <c r="I52" s="183" t="str">
        <f t="shared" si="0"/>
        <v>2021–22</v>
      </c>
      <c r="T52" s="17"/>
    </row>
    <row r="53" spans="1:47">
      <c r="C53" s="160">
        <v>45078</v>
      </c>
      <c r="D53" s="16" t="s">
        <v>69</v>
      </c>
      <c r="E53" s="16"/>
      <c r="F53" s="16"/>
      <c r="G53" s="155">
        <v>2023</v>
      </c>
      <c r="H53" s="185">
        <f>DATE(G53,MONTH('Input|General'!$G$9),1)</f>
        <v>45078</v>
      </c>
      <c r="I53" s="183" t="str">
        <f t="shared" si="0"/>
        <v>2022–23</v>
      </c>
      <c r="T53" s="17"/>
    </row>
    <row r="54" spans="1:47">
      <c r="C54" s="160">
        <v>45444</v>
      </c>
      <c r="D54" s="16" t="s">
        <v>69</v>
      </c>
      <c r="E54" s="16"/>
      <c r="F54" s="16"/>
      <c r="G54" s="155">
        <v>2024</v>
      </c>
      <c r="H54" s="185">
        <f>DATE(G54,MONTH('Input|General'!$G$9),1)</f>
        <v>45444</v>
      </c>
      <c r="I54" s="183" t="str">
        <f t="shared" si="0"/>
        <v>2023–24</v>
      </c>
      <c r="T54" s="17"/>
    </row>
    <row r="55" spans="1:47">
      <c r="C55" s="160">
        <v>45809</v>
      </c>
      <c r="D55" s="16" t="s">
        <v>69</v>
      </c>
      <c r="E55" s="16"/>
      <c r="F55" s="16"/>
      <c r="G55" s="155">
        <v>2025</v>
      </c>
      <c r="H55" s="185">
        <f>DATE(G55,MONTH('Input|General'!$G$9),1)</f>
        <v>45809</v>
      </c>
      <c r="I55" s="183" t="str">
        <f t="shared" si="0"/>
        <v>2024–25</v>
      </c>
      <c r="T55" s="17"/>
    </row>
    <row r="56" spans="1:47">
      <c r="C56" s="160">
        <v>46174</v>
      </c>
      <c r="D56" s="16" t="s">
        <v>69</v>
      </c>
      <c r="E56" s="16"/>
      <c r="F56" s="16"/>
      <c r="G56" s="155">
        <v>2026</v>
      </c>
      <c r="H56" s="185">
        <f>DATE(G56,MONTH('Input|General'!$G$9),1)</f>
        <v>46174</v>
      </c>
      <c r="I56" s="183" t="str">
        <f t="shared" si="0"/>
        <v>2025–26</v>
      </c>
      <c r="T56" s="17"/>
    </row>
    <row r="57" spans="1:47">
      <c r="C57" s="160">
        <v>46539</v>
      </c>
      <c r="D57" s="16" t="s">
        <v>69</v>
      </c>
      <c r="E57" s="16"/>
      <c r="F57" s="16"/>
      <c r="G57" s="155">
        <v>2027</v>
      </c>
      <c r="H57" s="185">
        <f>DATE(G57,MONTH('Input|General'!$G$9),1)</f>
        <v>46539</v>
      </c>
      <c r="I57" s="183" t="str">
        <f t="shared" si="0"/>
        <v>2026–27</v>
      </c>
      <c r="T57" s="17"/>
    </row>
    <row r="58" spans="1:47">
      <c r="C58" s="160">
        <v>46905</v>
      </c>
      <c r="D58" s="16" t="s">
        <v>69</v>
      </c>
      <c r="E58" s="16"/>
      <c r="F58" s="16"/>
      <c r="G58" s="155">
        <v>2028</v>
      </c>
      <c r="H58" s="185">
        <f>DATE(G58,MONTH('Input|General'!$G$9),1)</f>
        <v>46905</v>
      </c>
      <c r="I58" s="183" t="str">
        <f t="shared" si="0"/>
        <v>2027–28</v>
      </c>
      <c r="T58" s="17"/>
    </row>
    <row r="59" spans="1:47">
      <c r="C59" s="160">
        <v>47270</v>
      </c>
      <c r="D59" s="16" t="s">
        <v>69</v>
      </c>
      <c r="E59" s="16"/>
      <c r="F59" s="16"/>
      <c r="G59" s="155">
        <v>2029</v>
      </c>
      <c r="H59" s="185">
        <f>DATE(G59,MONTH('Input|General'!$G$9),1)</f>
        <v>47270</v>
      </c>
      <c r="I59" s="183" t="str">
        <f t="shared" si="0"/>
        <v>2028–29</v>
      </c>
      <c r="T59" s="17"/>
    </row>
    <row r="60" spans="1:47">
      <c r="C60" s="160">
        <v>47635</v>
      </c>
      <c r="D60" s="16" t="s">
        <v>69</v>
      </c>
      <c r="E60" s="16"/>
      <c r="F60" s="16"/>
      <c r="G60" s="155">
        <v>2030</v>
      </c>
      <c r="H60" s="185">
        <f>DATE(G60,MONTH('Input|General'!$G$9),1)</f>
        <v>47635</v>
      </c>
      <c r="I60" s="183" t="str">
        <f t="shared" si="0"/>
        <v>2029–30</v>
      </c>
      <c r="T60" s="17"/>
    </row>
    <row r="61" spans="1:47"/>
    <row r="62" spans="1:47" customFormat="1" ht="12.75">
      <c r="A62" s="43"/>
      <c r="B62" s="51" t="s">
        <v>151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152</v>
      </c>
      <c r="H64" s="14" t="s">
        <v>119</v>
      </c>
    </row>
    <row r="65" spans="1:47">
      <c r="C65" s="15" t="s">
        <v>192</v>
      </c>
      <c r="D65" s="16" t="s">
        <v>98</v>
      </c>
      <c r="E65" s="21"/>
      <c r="F65" s="14"/>
      <c r="G65" s="183" t="str">
        <f>IF(MONTH('Input|General'!$G$9)=12,PPFirstYear-1,PPFirstYear-2&amp;"–"&amp;RIGHT(PPFirstYear-1,2))</f>
        <v>2019–20</v>
      </c>
      <c r="H65" s="185">
        <f>DATE(PPFirstYear-1,MONTH('Input|General'!$G$9),1)</f>
        <v>43983</v>
      </c>
    </row>
    <row r="66" spans="1:47">
      <c r="C66" s="15" t="s">
        <v>139</v>
      </c>
      <c r="D66" s="16" t="s">
        <v>98</v>
      </c>
      <c r="E66" s="16"/>
      <c r="F66" s="16"/>
      <c r="G66" s="183" t="str">
        <f>IF(MONTH('Input|General'!$G$9)=12,PPFirstYear,PPFirstYear-1&amp;"–"&amp;RIGHT(PPFirstYear,2))</f>
        <v>2020–21</v>
      </c>
      <c r="H66" s="185">
        <f>DATE(PPFirstYear,MONTH('Input|General'!$G$9),1)</f>
        <v>44348</v>
      </c>
    </row>
    <row r="67" spans="1:47">
      <c r="C67" s="15" t="s">
        <v>140</v>
      </c>
      <c r="D67" s="16" t="s">
        <v>98</v>
      </c>
      <c r="E67" s="16"/>
      <c r="F67" s="16"/>
      <c r="G67" s="183" t="str">
        <f>IF(MONTH('Input|General'!$G$9)=12,PPFirstYear+1,PPFirstYear&amp;"–"&amp;RIGHT(PPFirstYear+1,2))</f>
        <v>2021–22</v>
      </c>
      <c r="H67" s="185">
        <f>IF(PPLastYear-PPFirstYear&lt;1,"",DATE(PPFirstYear+1,MONTH('Input|General'!$G$9),1))</f>
        <v>44713</v>
      </c>
    </row>
    <row r="68" spans="1:47">
      <c r="C68" s="15" t="s">
        <v>141</v>
      </c>
      <c r="D68" s="16" t="s">
        <v>98</v>
      </c>
      <c r="E68" s="16"/>
      <c r="F68" s="16"/>
      <c r="G68" s="183" t="str">
        <f>IF(MONTH('Input|General'!$G$9)=12,PPFirstYear+2,PPFirstYear+1&amp;"–"&amp;RIGHT(PPFirstYear+2,2))</f>
        <v>2022–23</v>
      </c>
      <c r="H68" s="185">
        <f>IF(PPLastYear-PPFirstYear&lt;2,"",DATE(PPFirstYear+2,MONTH('Input|General'!$G$9),1))</f>
        <v>45078</v>
      </c>
    </row>
    <row r="69" spans="1:47">
      <c r="C69" s="15" t="s">
        <v>142</v>
      </c>
      <c r="D69" s="16" t="s">
        <v>98</v>
      </c>
      <c r="E69" s="16"/>
      <c r="F69" s="16"/>
      <c r="G69" s="183" t="str">
        <f>IF(MONTH('Input|General'!$G$9)=12,PPFirstYear+3,PPFirstYear+2&amp;"–"&amp;RIGHT(PPFirstYear+3,2))</f>
        <v>2023–24</v>
      </c>
      <c r="H69" s="185">
        <f>IF(PPLastYear-PPFirstYear&lt;3,"",DATE(PPFirstYear+3,MONTH('Input|General'!$G$9),1))</f>
        <v>45444</v>
      </c>
    </row>
    <row r="70" spans="1:47">
      <c r="C70" s="15" t="s">
        <v>143</v>
      </c>
      <c r="D70" s="16" t="s">
        <v>98</v>
      </c>
      <c r="E70" s="16"/>
      <c r="F70" s="16"/>
      <c r="G70" s="183" t="str">
        <f>IF(MONTH('Input|General'!$G$9)=12,PPFirstYear+4,PPFirstYear+3&amp;"–"&amp;RIGHT(PPFirstYear+4,2))</f>
        <v>2024–25</v>
      </c>
      <c r="H70" s="185">
        <f>IF(PPLastYear-PPFirstYear&lt;4,"",DATE(PPFirstYear+4,MONTH('Input|General'!$G$9),1))</f>
        <v>45809</v>
      </c>
    </row>
    <row r="71" spans="1:47">
      <c r="C71" s="15" t="s">
        <v>144</v>
      </c>
      <c r="D71" s="16" t="s">
        <v>98</v>
      </c>
      <c r="E71" s="16"/>
      <c r="F71" s="16"/>
      <c r="G71" s="184" t="str">
        <f>IF(MONTH('Input|General'!$G$9)=12,FPFirstYear,FPFirstYear-1&amp;"–"&amp;RIGHT(FPFirstYear,2))</f>
        <v>2025–26</v>
      </c>
      <c r="H71" s="185">
        <f>DATE(FPFirstYear,MONTH('Input|General'!$G$9),1)</f>
        <v>46174</v>
      </c>
      <c r="T71" s="17"/>
    </row>
    <row r="72" spans="1:47">
      <c r="C72" s="15" t="s">
        <v>145</v>
      </c>
      <c r="D72" s="16" t="s">
        <v>98</v>
      </c>
      <c r="E72" s="16"/>
      <c r="F72" s="16"/>
      <c r="G72" s="184" t="str">
        <f>IF(MONTH('Input|General'!$G$9)=12,FPFirstYear+1,FPFirstYear&amp;"–"&amp;RIGHT(FPFirstYear+1,2))</f>
        <v>2026–27</v>
      </c>
      <c r="H72" s="185">
        <f>IF(FPLastYear-FPFirstYear&lt;1,"",DATE(FPFirstYear+1,MONTH('Input|General'!$G$9),1))</f>
        <v>46539</v>
      </c>
      <c r="T72" s="17"/>
    </row>
    <row r="73" spans="1:47">
      <c r="C73" s="15" t="s">
        <v>146</v>
      </c>
      <c r="D73" s="16" t="s">
        <v>98</v>
      </c>
      <c r="E73" s="16"/>
      <c r="F73" s="16"/>
      <c r="G73" s="184" t="str">
        <f>IF(MONTH('Input|General'!$G$9)=12,FPFirstYear+2,FPFirstYear+1&amp;"–"&amp;RIGHT(FPFirstYear+2,2))</f>
        <v>2027–28</v>
      </c>
      <c r="H73" s="185">
        <f>IF(FPLastYear-FPFirstYear&lt;2,"",DATE(FPFirstYear+2,MONTH('Input|General'!$G$9),1))</f>
        <v>46905</v>
      </c>
      <c r="T73" s="17"/>
    </row>
    <row r="74" spans="1:47">
      <c r="C74" s="15" t="s">
        <v>147</v>
      </c>
      <c r="D74" s="16" t="s">
        <v>98</v>
      </c>
      <c r="E74" s="16"/>
      <c r="F74" s="16"/>
      <c r="G74" s="184" t="str">
        <f>IF(MONTH('Input|General'!$G$9)=12,FPFirstYear+3,FPFirstYear+2&amp;"–"&amp;RIGHT(FPFirstYear+3,2))</f>
        <v>2028–29</v>
      </c>
      <c r="H74" s="185">
        <f>IF(FPLastYear-FPFirstYear&lt;3,"",DATE(FPFirstYear+3,MONTH('Input|General'!$G$9),1))</f>
        <v>47270</v>
      </c>
      <c r="T74" s="17"/>
    </row>
    <row r="75" spans="1:47">
      <c r="C75" s="15" t="s">
        <v>148</v>
      </c>
      <c r="D75" s="16" t="s">
        <v>98</v>
      </c>
      <c r="E75" s="16"/>
      <c r="F75" s="16"/>
      <c r="G75" s="184" t="str">
        <f>IF(MONTH('Input|General'!$G$9)=12,FPFirstYear+4,FPFirstYear+3&amp;"–"&amp;RIGHT(FPFirstYear+4,2))</f>
        <v>2029–30</v>
      </c>
      <c r="H75" s="185">
        <f>IF(FPLastYear-FPFirstYear&lt;4,"",DATE(FPFirstYear+4,MONTH('Input|General'!$G$9),1))</f>
        <v>47635</v>
      </c>
      <c r="T75" s="17"/>
    </row>
    <row r="76" spans="1:47">
      <c r="C76" s="15"/>
      <c r="D76" s="16"/>
      <c r="E76" s="16"/>
      <c r="F76" s="16"/>
      <c r="G76" s="212"/>
      <c r="H76" s="213"/>
      <c r="T76" s="17"/>
    </row>
    <row r="77" spans="1:47" customFormat="1" ht="12.75">
      <c r="A77" s="43"/>
      <c r="B77" s="51" t="s">
        <v>42</v>
      </c>
      <c r="C77" s="43"/>
      <c r="D77" s="43"/>
      <c r="E77" s="43"/>
      <c r="F77" s="44"/>
      <c r="G77" s="44"/>
      <c r="H77" s="44"/>
      <c r="I77" s="44"/>
      <c r="J77" s="45"/>
      <c r="K77" s="46"/>
      <c r="L77" s="45"/>
      <c r="M77" s="46"/>
      <c r="N77" s="45"/>
      <c r="O77" s="45"/>
      <c r="P77" s="45"/>
      <c r="Q77" s="45"/>
      <c r="R77" s="45"/>
      <c r="S77" s="45"/>
      <c r="T77" s="45"/>
      <c r="U77" s="45"/>
      <c r="V77" s="46"/>
      <c r="W77" s="46"/>
      <c r="X77" s="47"/>
      <c r="Y77" s="47"/>
      <c r="Z77" s="47"/>
      <c r="AA77" s="47"/>
      <c r="AB77" s="48"/>
      <c r="AC77" s="49"/>
      <c r="AD77" s="49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</row>
    <row r="78" spans="1:47"/>
    <row r="79" spans="1:47">
      <c r="C79" s="13" t="str">
        <f>B77</f>
        <v>Rate of change</v>
      </c>
      <c r="D79" s="21" t="s">
        <v>7</v>
      </c>
      <c r="E79" s="21"/>
      <c r="F79" s="14"/>
      <c r="G79" s="14" t="s">
        <v>152</v>
      </c>
      <c r="H79" s="214"/>
    </row>
    <row r="80" spans="1:47">
      <c r="C80" s="15" t="s">
        <v>185</v>
      </c>
      <c r="D80" s="16" t="s">
        <v>69</v>
      </c>
      <c r="E80" s="16"/>
      <c r="F80" s="16"/>
      <c r="G80" s="183" t="s">
        <v>107</v>
      </c>
      <c r="H80" s="213"/>
    </row>
    <row r="81" spans="1:47">
      <c r="C81" s="15" t="s">
        <v>186</v>
      </c>
      <c r="D81" s="16" t="s">
        <v>69</v>
      </c>
      <c r="E81" s="16"/>
      <c r="F81" s="16"/>
      <c r="G81" s="184" t="s">
        <v>187</v>
      </c>
      <c r="H81" s="213"/>
    </row>
    <row r="82" spans="1:47"/>
    <row r="83" spans="1:47" customFormat="1" ht="12.75">
      <c r="A83" s="43"/>
      <c r="B83" s="51" t="s">
        <v>21</v>
      </c>
      <c r="C83" s="43"/>
      <c r="D83" s="43"/>
      <c r="E83" s="43"/>
      <c r="F83" s="44"/>
      <c r="G83" s="44"/>
      <c r="H83" s="44"/>
      <c r="I83" s="44"/>
      <c r="J83" s="45"/>
      <c r="K83" s="46"/>
      <c r="L83" s="45"/>
      <c r="M83" s="46"/>
      <c r="N83" s="45"/>
      <c r="O83" s="45"/>
      <c r="P83" s="45"/>
      <c r="Q83" s="45"/>
      <c r="R83" s="45"/>
      <c r="S83" s="45"/>
      <c r="T83" s="45"/>
      <c r="U83" s="45"/>
      <c r="V83" s="46"/>
      <c r="W83" s="46"/>
      <c r="X83" s="47"/>
      <c r="Y83" s="47"/>
      <c r="Z83" s="47"/>
      <c r="AA83" s="47"/>
      <c r="AB83" s="48"/>
      <c r="AC83" s="49"/>
      <c r="AD83" s="49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</row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2">
    <cfRule type="expression" dxfId="13" priority="53" stopIfTrue="1">
      <formula>#REF!="Actual"</formula>
    </cfRule>
  </conditionalFormatting>
  <conditionalFormatting sqref="Q82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8"/>
  <sheetViews>
    <sheetView showGridLines="0" workbookViewId="0">
      <selection activeCell="D26" sqref="D26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1" t="s">
        <v>24</v>
      </c>
      <c r="S1" s="40" t="str">
        <f>IF(COUNTIF(G10:G15,"Check")=0,"Ok","Check")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5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Index!C13</f>
        <v>Output | Models</v>
      </c>
      <c r="D15" s="34" t="str">
        <f t="shared" si="0"/>
        <v>Output | Models</v>
      </c>
      <c r="E15" s="16" t="s">
        <v>28</v>
      </c>
      <c r="F15" s="16"/>
      <c r="G15" s="18" t="str">
        <f>'Output|Models'!S1</f>
        <v>n/a</v>
      </c>
      <c r="H15" s="16"/>
      <c r="T15" s="17"/>
    </row>
    <row r="16" spans="1:47">
      <c r="C16" s="15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C18" s="15"/>
    </row>
    <row r="19" spans="1:47" hidden="1">
      <c r="C19" s="15"/>
    </row>
    <row r="20" spans="1:47" hidden="1">
      <c r="C20" s="15"/>
    </row>
    <row r="21" spans="1:47" hidden="1">
      <c r="C21" s="15"/>
    </row>
    <row r="23" spans="1:47"/>
    <row r="24" spans="1:47"/>
    <row r="25" spans="1:47"/>
    <row r="26" spans="1:47"/>
    <row r="27" spans="1:47"/>
    <row r="28" spans="1:47"/>
  </sheetData>
  <conditionalFormatting sqref="G10:G15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_final'!A1" display="'Input|Rate of change_final'!A1" xr:uid="{00000000-0004-0000-0900-000003000000}"/>
    <hyperlink ref="D11" location="'Input|Inflation'!A1" display="'Input|Inflation'!A1" xr:uid="{00000000-0004-0000-0900-000004000000}"/>
    <hyperlink ref="R1" location="'Check|List'!A1" display="Overall Check:" xr:uid="{00000000-0004-0000-0900-000005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TaxCatchAll xmlns="2b6314a3-02c5-49ae-9e9b-4170ca21d125" xsi:nil="true"/>
    <SharedWithUsers xmlns="2b6314a3-02c5-49ae-9e9b-4170ca21d125">
      <UserInfo>
        <DisplayName/>
        <AccountId xsi:nil="true"/>
        <AccountType/>
      </UserInfo>
    </SharedWithUsers>
  </documentManagement>
</p:properties>
</file>

<file path=customXml/item4.xml><?xml version="1.0" encoding="utf-8"?>
<Application xmlns="http://www.sap.com/cof/excel/application">
  <Version>2</Version>
  <Revision>2.8.000.92058</Revision>
</Application>
</file>

<file path=customXml/itemProps1.xml><?xml version="1.0" encoding="utf-8"?>
<ds:datastoreItem xmlns:ds="http://schemas.openxmlformats.org/officeDocument/2006/customXml" ds:itemID="{48B7B392-F80E-480F-A7BA-EA1429259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45BF2-6017-42D5-967B-1F3B516746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74F2EC-6F86-49F5-AF71-FDD26C50617B}">
  <ds:schemaRefs>
    <ds:schemaRef ds:uri="http://schemas.microsoft.com/sharepoint/v3"/>
    <ds:schemaRef ds:uri="http://purl.org/dc/terms/"/>
    <ds:schemaRef ds:uri="db304e25-41f7-439f-a0b4-57d6fe7814b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b6314a3-02c5-49ae-9e9b-4170ca21d12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5AA75B9-FDF2-4160-8AD1-5A31AF043886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Grant Haydon</cp:lastModifiedBy>
  <dcterms:created xsi:type="dcterms:W3CDTF">2020-05-27T04:50:20Z</dcterms:created>
  <dcterms:modified xsi:type="dcterms:W3CDTF">2024-01-24T22:42:51Z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0x010100DA87E261F1861D46A9AC2E8912814C9C</vt:lpwstr>
  </property>
  <property fmtid="{D5CDD505-2E9C-101B-9397-08002B2CF9AE}" pid="4" name="Order">
    <vt:r8>134800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ediaServiceImageTags">
    <vt:lpwstr/>
  </property>
</Properties>
</file>