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filterPrivacy="1" updateLinks="never" codeName="ThisWorkbook"/>
  <xr:revisionPtr revIDLastSave="0" documentId="8_{371A7B9F-72CC-463B-9AC9-B2D7F4782549}" xr6:coauthVersionLast="47" xr6:coauthVersionMax="47" xr10:uidLastSave="{00000000-0000-0000-0000-000000000000}"/>
  <bookViews>
    <workbookView xWindow="-110" yWindow="-110" windowWidth="25180" windowHeight="16260" xr2:uid="{00000000-000D-0000-FFFF-FFFF00000000}"/>
  </bookViews>
  <sheets>
    <sheet name="Pricing model - ACS" sheetId="11" r:id="rId1"/>
    <sheet name="General Inputs" sheetId="3" r:id="rId2"/>
    <sheet name="ERG -Security Lighting Services" sheetId="5" r:id="rId3"/>
    <sheet name="Lookup Tables" sheetId="7" r:id="rId4"/>
    <sheet name="Model update log" sheetId="12" r:id="rId5"/>
  </sheets>
  <externalReferences>
    <externalReference r:id="rId6"/>
  </externalReferences>
  <definedNames>
    <definedName name="_xlnm._FilterDatabase" localSheetId="1" hidden="1">'General Inputs'!$D$7:$D$13</definedName>
    <definedName name="anscount" hidden="1">1</definedName>
    <definedName name="cents">'Lookup Tables'!$G$9</definedName>
    <definedName name="currentyear">'General Inputs'!$D$11</definedName>
    <definedName name="day">'Lookup Tables'!#REF!</definedName>
    <definedName name="DNSP">'General Inputs'!$D$8</definedName>
    <definedName name="dollars">'Lookup Tables'!$G$10</definedName>
    <definedName name="Forecastinflation">'General Inputs'!#REF!</definedName>
    <definedName name="forecastyear">'General Inputs'!$D$10</definedName>
    <definedName name="millions">'Lookup Tables'!#REF!</definedName>
    <definedName name="month">'Lookup Tables'!#REF!</definedName>
    <definedName name="RCP_firstyear">'General Inputs'!$D$12</definedName>
    <definedName name="RCP_fourthyear">'Lookup Tables'!$G$54</definedName>
    <definedName name="RCP_lastyear">'General Inputs'!$D$13</definedName>
    <definedName name="RCP_secondyear">'Lookup Tables'!$G$52</definedName>
    <definedName name="RCP_thirdyear">'Lookup Tables'!$G$53</definedName>
    <definedName name="thousands">'Lookup Tables'!#REF!</definedName>
    <definedName name="year">'Lookup Tables'!#REF!</definedName>
    <definedName name="yearending">'General Inputs'!$D$9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8" i="5" l="1"/>
  <c r="M9" i="5"/>
  <c r="AL8" i="5"/>
  <c r="Z8" i="5"/>
  <c r="O9" i="5"/>
  <c r="M10" i="5"/>
  <c r="O10" i="5"/>
  <c r="M11" i="5"/>
  <c r="O11" i="5"/>
  <c r="M12" i="5"/>
  <c r="O12" i="5"/>
  <c r="M8" i="5"/>
  <c r="O8" i="5"/>
  <c r="AF8" i="5"/>
  <c r="AG8" i="5"/>
  <c r="AH8" i="5"/>
  <c r="AI8" i="5"/>
  <c r="AM5" i="5"/>
  <c r="AN5" i="5"/>
  <c r="AO5" i="5"/>
  <c r="AP5" i="5"/>
  <c r="AL5" i="5"/>
  <c r="AG5" i="5"/>
  <c r="AH5" i="5"/>
  <c r="AI5" i="5"/>
  <c r="AJ5" i="5"/>
  <c r="AF5" i="5"/>
  <c r="AL9" i="5"/>
  <c r="AM9" i="5"/>
  <c r="AN9" i="5"/>
  <c r="AO9" i="5"/>
  <c r="AP9" i="5"/>
  <c r="AL10" i="5"/>
  <c r="AM10" i="5"/>
  <c r="AN10" i="5"/>
  <c r="AO10" i="5"/>
  <c r="AP10" i="5"/>
  <c r="AL11" i="5"/>
  <c r="AM11" i="5"/>
  <c r="AN11" i="5"/>
  <c r="AO11" i="5"/>
  <c r="AP11" i="5"/>
  <c r="AL12" i="5"/>
  <c r="AM12" i="5"/>
  <c r="AN12" i="5"/>
  <c r="AO12" i="5"/>
  <c r="AP12" i="5"/>
  <c r="AM8" i="5"/>
  <c r="AN8" i="5"/>
  <c r="AO8" i="5"/>
  <c r="AP8" i="5"/>
  <c r="AJ9" i="5"/>
  <c r="AJ10" i="5"/>
  <c r="AJ11" i="5"/>
  <c r="AJ12" i="5"/>
  <c r="AC9" i="5"/>
  <c r="AD9" i="5"/>
  <c r="AC10" i="5"/>
  <c r="AD10" i="5"/>
  <c r="AC11" i="5"/>
  <c r="AD11" i="5"/>
  <c r="AC12" i="5"/>
  <c r="AD12" i="5"/>
  <c r="AD8" i="5"/>
  <c r="AO13" i="5"/>
  <c r="AN13" i="5"/>
  <c r="AM13" i="5"/>
  <c r="AL13" i="5"/>
  <c r="AO7" i="5"/>
  <c r="AN7" i="5"/>
  <c r="AM7" i="5"/>
  <c r="AL7" i="5"/>
  <c r="Z9" i="5"/>
  <c r="AA9" i="5"/>
  <c r="AB9" i="5"/>
  <c r="Z10" i="5"/>
  <c r="AA10" i="5"/>
  <c r="AB10" i="5"/>
  <c r="Z11" i="5"/>
  <c r="AA11" i="5"/>
  <c r="AB11" i="5"/>
  <c r="Z12" i="5"/>
  <c r="AA12" i="5"/>
  <c r="AB12" i="5"/>
  <c r="AA8" i="5"/>
  <c r="AB8" i="5"/>
  <c r="AC8" i="5"/>
  <c r="N17" i="3"/>
  <c r="J17" i="3"/>
  <c r="G28" i="3"/>
  <c r="L17" i="3"/>
  <c r="G29" i="3"/>
  <c r="M17" i="3"/>
  <c r="G27" i="3"/>
  <c r="K17" i="3"/>
  <c r="P12" i="5"/>
  <c r="Q12" i="5"/>
  <c r="R12" i="5"/>
  <c r="S12" i="5"/>
  <c r="P9" i="5"/>
  <c r="Q9" i="5"/>
  <c r="R9" i="5"/>
  <c r="S9" i="5"/>
  <c r="P11" i="5"/>
  <c r="Q11" i="5"/>
  <c r="R11" i="5"/>
  <c r="S11" i="5"/>
  <c r="P10" i="5"/>
  <c r="Q10" i="5"/>
  <c r="R10" i="5"/>
  <c r="S10" i="5"/>
  <c r="Z7" i="5"/>
  <c r="AA7" i="5"/>
  <c r="AB7" i="5"/>
  <c r="AC7" i="5"/>
  <c r="Z13" i="5"/>
  <c r="AA13" i="5"/>
  <c r="AB13" i="5"/>
  <c r="AC13" i="5"/>
  <c r="B2" i="12"/>
  <c r="H33" i="7"/>
  <c r="H26" i="7"/>
  <c r="K26" i="7"/>
  <c r="H24" i="7"/>
  <c r="H25" i="7"/>
  <c r="K25" i="7"/>
  <c r="H27" i="7"/>
  <c r="K27" i="7"/>
  <c r="H28" i="7"/>
  <c r="K28" i="7"/>
  <c r="H29" i="7"/>
  <c r="K29" i="7"/>
  <c r="H30" i="7"/>
  <c r="K30" i="7"/>
  <c r="H31" i="7"/>
  <c r="K31" i="7"/>
  <c r="H32" i="7"/>
  <c r="K32" i="7"/>
  <c r="H34" i="7"/>
  <c r="H35" i="7"/>
  <c r="K35" i="7"/>
  <c r="H36" i="7"/>
  <c r="K36" i="7"/>
  <c r="H37" i="7"/>
  <c r="K37" i="7"/>
  <c r="H38" i="7"/>
  <c r="K38" i="7"/>
  <c r="H39" i="7"/>
  <c r="K39" i="7"/>
  <c r="H40" i="7"/>
  <c r="H41" i="7"/>
  <c r="K41" i="7"/>
  <c r="H42" i="7"/>
  <c r="K42" i="7"/>
  <c r="H43" i="7"/>
  <c r="K43" i="7"/>
  <c r="H44" i="7"/>
  <c r="K44" i="7"/>
  <c r="H45" i="7"/>
  <c r="K45" i="7"/>
  <c r="H46" i="7"/>
  <c r="K46" i="7"/>
  <c r="I13" i="5"/>
  <c r="B2" i="7"/>
  <c r="B2" i="5"/>
  <c r="B2" i="3"/>
  <c r="C59" i="7"/>
  <c r="G51" i="7"/>
  <c r="C50" i="7"/>
  <c r="I46" i="7"/>
  <c r="L46" i="7"/>
  <c r="I45" i="7"/>
  <c r="L45" i="7"/>
  <c r="I44" i="7"/>
  <c r="L44" i="7"/>
  <c r="I43" i="7"/>
  <c r="L43" i="7"/>
  <c r="I42" i="7"/>
  <c r="L42" i="7"/>
  <c r="I41" i="7"/>
  <c r="L41" i="7"/>
  <c r="I40" i="7"/>
  <c r="L40" i="7"/>
  <c r="I39" i="7"/>
  <c r="L39" i="7"/>
  <c r="I38" i="7"/>
  <c r="L38" i="7"/>
  <c r="I37" i="7"/>
  <c r="L37" i="7"/>
  <c r="I36" i="7"/>
  <c r="L36" i="7"/>
  <c r="I35" i="7"/>
  <c r="L35" i="7"/>
  <c r="I34" i="7"/>
  <c r="L34" i="7"/>
  <c r="K34" i="7"/>
  <c r="I33" i="7"/>
  <c r="L33" i="7"/>
  <c r="I32" i="7"/>
  <c r="L32" i="7"/>
  <c r="I31" i="7"/>
  <c r="L31" i="7"/>
  <c r="I30" i="7"/>
  <c r="L30" i="7"/>
  <c r="I29" i="7"/>
  <c r="I28" i="7"/>
  <c r="L28" i="7"/>
  <c r="I27" i="7"/>
  <c r="L27" i="7"/>
  <c r="I26" i="7"/>
  <c r="L26" i="7"/>
  <c r="I25" i="7"/>
  <c r="L24" i="7"/>
  <c r="K24" i="7"/>
  <c r="I24" i="7"/>
  <c r="C23" i="7"/>
  <c r="C8" i="7"/>
  <c r="K33" i="7"/>
  <c r="G52" i="7"/>
  <c r="H52" i="7"/>
  <c r="L29" i="7"/>
  <c r="D11" i="3"/>
  <c r="G55" i="7"/>
  <c r="D13" i="3"/>
  <c r="G53" i="7"/>
  <c r="H53" i="7"/>
  <c r="G54" i="7"/>
  <c r="H51" i="7"/>
  <c r="K29" i="3"/>
  <c r="K27" i="3"/>
  <c r="K33" i="3"/>
  <c r="K28" i="3"/>
  <c r="K34" i="3"/>
  <c r="K26" i="3"/>
  <c r="N26" i="3"/>
  <c r="K41" i="3"/>
  <c r="B1" i="3"/>
  <c r="K40" i="3"/>
  <c r="K32" i="3"/>
  <c r="K47" i="3"/>
  <c r="K39" i="3"/>
  <c r="K31" i="3"/>
  <c r="K46" i="3"/>
  <c r="K38" i="3"/>
  <c r="K45" i="3"/>
  <c r="K37" i="3"/>
  <c r="K44" i="3"/>
  <c r="K36" i="3"/>
  <c r="K40" i="7"/>
  <c r="K43" i="3"/>
  <c r="K35" i="3"/>
  <c r="K42" i="3"/>
  <c r="B1" i="5"/>
  <c r="B1" i="7"/>
  <c r="H55" i="7"/>
  <c r="U5" i="5"/>
  <c r="V5" i="5"/>
  <c r="H54" i="7"/>
  <c r="G37" i="3"/>
  <c r="W5" i="5"/>
  <c r="G44" i="3"/>
  <c r="G47" i="3"/>
  <c r="G35" i="3"/>
  <c r="G39" i="3"/>
  <c r="G42" i="3"/>
  <c r="G40" i="3"/>
  <c r="G34" i="3"/>
  <c r="G45" i="3"/>
  <c r="G31" i="3"/>
  <c r="G38" i="3"/>
  <c r="G43" i="3"/>
  <c r="G36" i="3"/>
  <c r="G46" i="3"/>
  <c r="G41" i="3"/>
  <c r="G33" i="3"/>
  <c r="X5" i="5"/>
  <c r="J13" i="5"/>
  <c r="K13" i="5"/>
  <c r="M13" i="5"/>
  <c r="L13" i="5"/>
  <c r="P8" i="5"/>
  <c r="Q8" i="5"/>
  <c r="R8" i="5"/>
  <c r="S8" i="5"/>
</calcChain>
</file>

<file path=xl/sharedStrings.xml><?xml version="1.0" encoding="utf-8"?>
<sst xmlns="http://schemas.openxmlformats.org/spreadsheetml/2006/main" count="176" uniqueCount="102">
  <si>
    <t>Description</t>
  </si>
  <si>
    <t>DNSP name</t>
  </si>
  <si>
    <t>Changelog (to detail completion of inputs, and any changes to inputs)</t>
  </si>
  <si>
    <t>End</t>
  </si>
  <si>
    <t>Back to Index</t>
  </si>
  <si>
    <t>Input table 1 | General inputs</t>
  </si>
  <si>
    <t>Inputs</t>
  </si>
  <si>
    <t>Source</t>
  </si>
  <si>
    <t>Value</t>
  </si>
  <si>
    <t>AER</t>
  </si>
  <si>
    <t>Energex</t>
  </si>
  <si>
    <t>Year ending</t>
  </si>
  <si>
    <t>Forecast regulatory year (t)</t>
  </si>
  <si>
    <t>Current regulatory year (t-1)</t>
  </si>
  <si>
    <t>Calculated</t>
  </si>
  <si>
    <t>Current regulatory control period, first year</t>
  </si>
  <si>
    <t>Current regulatory control period, last year</t>
  </si>
  <si>
    <t>Input table 2 | Other inputs</t>
  </si>
  <si>
    <t>Unit</t>
  </si>
  <si>
    <t>Notes</t>
  </si>
  <si>
    <t>Inflation</t>
  </si>
  <si>
    <t>'General'</t>
  </si>
  <si>
    <t>Per cent</t>
  </si>
  <si>
    <t>$dollars</t>
  </si>
  <si>
    <t>Input table 3 | Inflation</t>
  </si>
  <si>
    <t>Index value</t>
  </si>
  <si>
    <t>Applicable regulatory year</t>
  </si>
  <si>
    <t>ABS</t>
  </si>
  <si>
    <t>index</t>
  </si>
  <si>
    <t>Percent</t>
  </si>
  <si>
    <t>ALL PRICES ARE EXCLUDING GST</t>
  </si>
  <si>
    <t>X-FACTORS</t>
  </si>
  <si>
    <t>Charge</t>
  </si>
  <si>
    <t>Security lighting small LED (W70, W100)</t>
  </si>
  <si>
    <t>Security lighting LED (W200)</t>
  </si>
  <si>
    <t>Security lighting small conventional (W150)</t>
  </si>
  <si>
    <t>Security lighting medium conventional (W250)</t>
  </si>
  <si>
    <t>Security lighting large conventional (W400)</t>
  </si>
  <si>
    <t>Unit Denominations</t>
  </si>
  <si>
    <t>Ref</t>
  </si>
  <si>
    <t>Cents</t>
  </si>
  <si>
    <t>cents</t>
  </si>
  <si>
    <t>Dollars</t>
  </si>
  <si>
    <t>unit</t>
  </si>
  <si>
    <t>Number</t>
  </si>
  <si>
    <t>number</t>
  </si>
  <si>
    <t>Factor</t>
  </si>
  <si>
    <t>factor</t>
  </si>
  <si>
    <t>Actual</t>
  </si>
  <si>
    <t>Estimate</t>
  </si>
  <si>
    <t>Years</t>
  </si>
  <si>
    <t>Calendar Year</t>
  </si>
  <si>
    <t>Year Ending</t>
  </si>
  <si>
    <t>Financial Year</t>
  </si>
  <si>
    <t>Yr/end Vic</t>
  </si>
  <si>
    <t>Reg yr Vic</t>
  </si>
  <si>
    <t>HY21</t>
  </si>
  <si>
    <t>nominal</t>
  </si>
  <si>
    <t>Regulatory years</t>
  </si>
  <si>
    <t>Year</t>
  </si>
  <si>
    <t>Forecast period year 1</t>
  </si>
  <si>
    <t>Forecast period year 2</t>
  </si>
  <si>
    <t>Forecast period year 3</t>
  </si>
  <si>
    <t>Forecast period year 4</t>
  </si>
  <si>
    <t>Forecast period year 5</t>
  </si>
  <si>
    <t>Qld</t>
  </si>
  <si>
    <t>Ergon Energy</t>
  </si>
  <si>
    <t>Version</t>
  </si>
  <si>
    <t>Cell range</t>
  </si>
  <si>
    <t>v1.2</t>
  </si>
  <si>
    <t>2025–26</t>
  </si>
  <si>
    <t>2026–27</t>
  </si>
  <si>
    <t>2027–28</t>
  </si>
  <si>
    <t>2028–29</t>
  </si>
  <si>
    <t>2029-30</t>
  </si>
  <si>
    <t>v1.0</t>
  </si>
  <si>
    <t>2025-30</t>
  </si>
  <si>
    <t>Security Lighting Services X-factor</t>
  </si>
  <si>
    <t>2024-25</t>
  </si>
  <si>
    <t>2025-26</t>
  </si>
  <si>
    <t>2026-27</t>
  </si>
  <si>
    <t>2027-28</t>
  </si>
  <si>
    <t>2028-29</t>
  </si>
  <si>
    <t>2020-25 regulatory control period</t>
  </si>
  <si>
    <t>2025-30 regulatory control period</t>
  </si>
  <si>
    <t>2020-21</t>
  </si>
  <si>
    <t>INFLATION</t>
  </si>
  <si>
    <t>2021-22</t>
  </si>
  <si>
    <t>2022-23</t>
  </si>
  <si>
    <t>2023-24</t>
  </si>
  <si>
    <t>Forecast</t>
  </si>
  <si>
    <t>Ergon Energy Pricing Model - Price Capped Security Lighting Services</t>
  </si>
  <si>
    <t>Version submitted to the AER as part of Ergon Energy's 2025-30 Regulatory Proposal</t>
  </si>
  <si>
    <t>Forecast wage price escalation</t>
  </si>
  <si>
    <t>Schedule 1 | Security Lighting Services</t>
  </si>
  <si>
    <t>per year</t>
  </si>
  <si>
    <t>Tariff code</t>
  </si>
  <si>
    <t>UWLSLED</t>
  </si>
  <si>
    <t>UWLMLED</t>
  </si>
  <si>
    <t>UWLSCON</t>
  </si>
  <si>
    <t>UWLMCON</t>
  </si>
  <si>
    <t>UWLLCON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</si>
</sst>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mmm\ yyyy"/>
    <numFmt numFmtId="166" formatCode="_-* #,##0_-;\-* #,##0_-;_-* &quot;-&quot;??_-;_-@_-"/>
    <numFmt numFmtId="167" formatCode="_(&quot;$&quot;* #,##0.00_);_(&quot;$&quot;* \(#,##0.00\);_(&quot;$&quot;* &quot;-&quot;??_);_(@_)"/>
    <numFmt numFmtId="168" formatCode="_(#,##0_);\(#,##0\);_(&quot;-&quot;_)"/>
    <numFmt numFmtId="169" formatCode="_(#,##0.00_);\(#,##0.00\);_(&quot;-&quot;_)"/>
    <numFmt numFmtId="170" formatCode="dd\-mmm"/>
    <numFmt numFmtId="171" formatCode="_-* #,##0.##_-;\-* #,##0.##_-;_-* &quot;-&quot;??_-;_-@_-"/>
    <numFmt numFmtId="172" formatCode="mmmm"/>
    <numFmt numFmtId="173" formatCode="[$-C09]mmm\-yyyy;@"/>
    <numFmt numFmtId="174" formatCode="0.0"/>
    <numFmt numFmtId="175" formatCode="_-* #,##0.0_-;\-* #,##0.0_-;_-* &quot;-&quot;??_-;_-@_-"/>
    <numFmt numFmtId="176" formatCode="_-* #,##0.00%_-;\-* #,##0.00%_-;_-* &quot;-&quot;??_-;_-@_-"/>
    <numFmt numFmtId="177" formatCode="_-* #,###_-;\-* #,###_-;_-* &quot;-&quot;??_-;_-@_-"/>
    <numFmt numFmtId="178" formatCode="_-* #,##0.00_-;\-* #,##0.00_-;_-* &quot;&quot;??_-;_-@_-"/>
    <numFmt numFmtId="179" formatCode="[$-C09]dd\-mmm\-yy;@"/>
    <numFmt numFmtId="180" formatCode="_-* #,##0.00%_-;\-* #,##0.00%_-;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10"/>
      <color theme="1"/>
      <name val="Arial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8"/>
      <color theme="1"/>
      <name val="Arial"/>
      <family val="2"/>
    </font>
    <font>
      <b/>
      <i/>
      <sz val="8"/>
      <color theme="0"/>
      <name val="Arial"/>
      <family val="2"/>
    </font>
    <font>
      <i/>
      <sz val="8"/>
      <color indexed="8"/>
      <name val="Arial"/>
      <family val="2"/>
    </font>
    <font>
      <b/>
      <i/>
      <sz val="8"/>
      <name val="Arial"/>
      <family val="2"/>
    </font>
    <font>
      <b/>
      <sz val="10"/>
      <name val="Arial"/>
      <family val="2"/>
    </font>
    <font>
      <b/>
      <i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9"/>
      <name val="Arial"/>
      <family val="2"/>
    </font>
    <font>
      <i/>
      <u/>
      <sz val="10"/>
      <color indexed="12"/>
      <name val="Calibri"/>
      <family val="2"/>
    </font>
    <font>
      <b/>
      <sz val="26"/>
      <color theme="1"/>
      <name val="Arial"/>
      <family val="2"/>
    </font>
    <font>
      <u/>
      <sz val="10"/>
      <color indexed="12"/>
      <name val="Calibri"/>
      <family val="2"/>
    </font>
    <font>
      <sz val="8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8"/>
      <color theme="2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rgb="FF6BA1AA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168" fontId="17" fillId="0" borderId="4">
      <alignment horizontal="right" vertical="center"/>
      <protection locked="0"/>
    </xf>
    <xf numFmtId="9" fontId="2" fillId="0" borderId="0" applyFont="0" applyFill="0" applyBorder="0" applyAlignment="0" applyProtection="0"/>
  </cellStyleXfs>
  <cellXfs count="162">
    <xf numFmtId="0" fontId="0" fillId="0" borderId="0" xfId="0"/>
    <xf numFmtId="0" fontId="2" fillId="2" borderId="0" xfId="2" applyFill="1"/>
    <xf numFmtId="0" fontId="3" fillId="2" borderId="0" xfId="2" applyFont="1" applyFill="1" applyAlignment="1">
      <alignment horizontal="left" vertical="center"/>
    </xf>
    <xf numFmtId="0" fontId="3" fillId="2" borderId="0" xfId="2" applyFont="1" applyFill="1" applyAlignment="1">
      <alignment horizontal="left" indent="9"/>
    </xf>
    <xf numFmtId="0" fontId="4" fillId="2" borderId="0" xfId="2" applyFont="1" applyFill="1"/>
    <xf numFmtId="0" fontId="2" fillId="0" borderId="0" xfId="2"/>
    <xf numFmtId="0" fontId="2" fillId="0" borderId="0" xfId="2" applyAlignment="1">
      <alignment horizontal="right"/>
    </xf>
    <xf numFmtId="0" fontId="5" fillId="0" borderId="0" xfId="2" applyFont="1" applyAlignment="1">
      <alignment horizontal="center"/>
    </xf>
    <xf numFmtId="0" fontId="5" fillId="0" borderId="0" xfId="2" applyFont="1"/>
    <xf numFmtId="164" fontId="6" fillId="0" borderId="0" xfId="2" applyNumberFormat="1" applyFont="1" applyAlignment="1">
      <alignment horizontal="center"/>
    </xf>
    <xf numFmtId="0" fontId="7" fillId="0" borderId="0" xfId="3" applyFill="1" applyBorder="1" applyAlignment="1" applyProtection="1">
      <alignment horizontal="right"/>
    </xf>
    <xf numFmtId="0" fontId="2" fillId="2" borderId="1" xfId="2" applyFill="1" applyBorder="1"/>
    <xf numFmtId="0" fontId="8" fillId="2" borderId="1" xfId="2" applyFont="1" applyFill="1" applyBorder="1" applyAlignment="1">
      <alignment horizontal="left"/>
    </xf>
    <xf numFmtId="0" fontId="8" fillId="2" borderId="1" xfId="2" applyFont="1" applyFill="1" applyBorder="1" applyAlignment="1">
      <alignment horizontal="left" indent="9"/>
    </xf>
    <xf numFmtId="0" fontId="2" fillId="0" borderId="1" xfId="2" applyBorder="1"/>
    <xf numFmtId="0" fontId="6" fillId="0" borderId="1" xfId="2" applyFont="1" applyBorder="1"/>
    <xf numFmtId="0" fontId="9" fillId="2" borderId="2" xfId="2" applyFont="1" applyFill="1" applyBorder="1"/>
    <xf numFmtId="0" fontId="10" fillId="2" borderId="2" xfId="2" applyFont="1" applyFill="1" applyBorder="1" applyAlignment="1">
      <alignment horizontal="center"/>
    </xf>
    <xf numFmtId="165" fontId="12" fillId="2" borderId="2" xfId="2" applyNumberFormat="1" applyFont="1" applyFill="1" applyBorder="1" applyAlignment="1">
      <alignment horizontal="center"/>
    </xf>
    <xf numFmtId="166" fontId="5" fillId="3" borderId="0" xfId="2" applyNumberFormat="1" applyFont="1" applyFill="1"/>
    <xf numFmtId="166" fontId="13" fillId="3" borderId="0" xfId="2" applyNumberFormat="1" applyFont="1" applyFill="1" applyAlignment="1">
      <alignment horizontal="center"/>
    </xf>
    <xf numFmtId="166" fontId="5" fillId="3" borderId="0" xfId="2" applyNumberFormat="1" applyFont="1" applyFill="1" applyAlignment="1">
      <alignment horizontal="center"/>
    </xf>
    <xf numFmtId="0" fontId="2" fillId="4" borderId="3" xfId="2" applyFill="1" applyBorder="1"/>
    <xf numFmtId="0" fontId="6" fillId="4" borderId="3" xfId="2" applyFont="1" applyFill="1" applyBorder="1"/>
    <xf numFmtId="0" fontId="2" fillId="4" borderId="3" xfId="2" applyFill="1" applyBorder="1" applyAlignment="1">
      <alignment wrapText="1"/>
    </xf>
    <xf numFmtId="167" fontId="15" fillId="4" borderId="3" xfId="2" applyNumberFormat="1" applyFont="1" applyFill="1" applyBorder="1" applyAlignment="1">
      <alignment horizontal="center" wrapText="1"/>
    </xf>
    <xf numFmtId="166" fontId="5" fillId="0" borderId="0" xfId="2" applyNumberFormat="1" applyFont="1"/>
    <xf numFmtId="166" fontId="13" fillId="0" borderId="0" xfId="2" applyNumberFormat="1" applyFont="1" applyAlignment="1">
      <alignment horizontal="center"/>
    </xf>
    <xf numFmtId="166" fontId="16" fillId="0" borderId="0" xfId="2" applyNumberFormat="1" applyFont="1" applyAlignment="1">
      <alignment horizontal="center"/>
    </xf>
    <xf numFmtId="169" fontId="18" fillId="0" borderId="0" xfId="4" applyNumberFormat="1" applyFont="1" applyBorder="1" applyAlignment="1" applyProtection="1">
      <alignment horizontal="center" vertical="center"/>
    </xf>
    <xf numFmtId="0" fontId="15" fillId="4" borderId="3" xfId="2" applyFont="1" applyFill="1" applyBorder="1" applyAlignment="1">
      <alignment vertical="center"/>
    </xf>
    <xf numFmtId="0" fontId="7" fillId="2" borderId="0" xfId="3" applyFill="1" applyBorder="1" applyAlignment="1" applyProtection="1"/>
    <xf numFmtId="0" fontId="7" fillId="0" borderId="0" xfId="3" applyFill="1" applyBorder="1" applyAlignment="1" applyProtection="1"/>
    <xf numFmtId="0" fontId="2" fillId="3" borderId="0" xfId="2" applyFill="1" applyAlignment="1">
      <alignment wrapText="1"/>
    </xf>
    <xf numFmtId="0" fontId="2" fillId="3" borderId="0" xfId="2" applyFill="1"/>
    <xf numFmtId="166" fontId="18" fillId="0" borderId="0" xfId="2" applyNumberFormat="1" applyFont="1"/>
    <xf numFmtId="166" fontId="19" fillId="0" borderId="0" xfId="2" applyNumberFormat="1" applyFont="1" applyAlignment="1">
      <alignment horizontal="center"/>
    </xf>
    <xf numFmtId="166" fontId="19" fillId="0" borderId="0" xfId="2" applyNumberFormat="1" applyFont="1"/>
    <xf numFmtId="166" fontId="16" fillId="0" borderId="0" xfId="2" applyNumberFormat="1" applyFont="1"/>
    <xf numFmtId="173" fontId="5" fillId="0" borderId="0" xfId="2" applyNumberFormat="1" applyFont="1" applyAlignment="1">
      <alignment horizontal="left"/>
    </xf>
    <xf numFmtId="10" fontId="5" fillId="0" borderId="0" xfId="5" applyNumberFormat="1" applyFont="1" applyAlignment="1" applyProtection="1">
      <alignment horizontal="center"/>
    </xf>
    <xf numFmtId="166" fontId="13" fillId="0" borderId="0" xfId="2" applyNumberFormat="1" applyFont="1" applyAlignment="1">
      <alignment horizontal="left"/>
    </xf>
    <xf numFmtId="166" fontId="5" fillId="0" borderId="0" xfId="2" applyNumberFormat="1" applyFont="1" applyAlignment="1">
      <alignment horizontal="left" indent="1"/>
    </xf>
    <xf numFmtId="166" fontId="13" fillId="7" borderId="5" xfId="2" applyNumberFormat="1" applyFont="1" applyFill="1" applyBorder="1" applyAlignment="1">
      <alignment horizontal="center"/>
    </xf>
    <xf numFmtId="166" fontId="13" fillId="0" borderId="7" xfId="2" applyNumberFormat="1" applyFont="1" applyBorder="1" applyAlignment="1">
      <alignment horizontal="center"/>
    </xf>
    <xf numFmtId="164" fontId="13" fillId="0" borderId="0" xfId="2" applyNumberFormat="1" applyFont="1" applyAlignment="1">
      <alignment horizontal="center"/>
    </xf>
    <xf numFmtId="0" fontId="8" fillId="2" borderId="0" xfId="2" applyFont="1" applyFill="1" applyAlignment="1">
      <alignment horizontal="left"/>
    </xf>
    <xf numFmtId="166" fontId="13" fillId="0" borderId="0" xfId="2" applyNumberFormat="1" applyFont="1"/>
    <xf numFmtId="166" fontId="5" fillId="0" borderId="5" xfId="2" applyNumberFormat="1" applyFont="1" applyBorder="1" applyAlignment="1">
      <alignment horizontal="left" indent="1"/>
    </xf>
    <xf numFmtId="166" fontId="13" fillId="0" borderId="0" xfId="2" quotePrefix="1" applyNumberFormat="1" applyFont="1" applyAlignment="1">
      <alignment horizontal="center"/>
    </xf>
    <xf numFmtId="166" fontId="13" fillId="0" borderId="10" xfId="2" applyNumberFormat="1" applyFont="1" applyBorder="1" applyAlignment="1">
      <alignment horizontal="center"/>
    </xf>
    <xf numFmtId="0" fontId="20" fillId="10" borderId="0" xfId="2" applyFont="1" applyFill="1"/>
    <xf numFmtId="0" fontId="20" fillId="10" borderId="0" xfId="2" applyFont="1" applyFill="1" applyAlignment="1">
      <alignment horizontal="right"/>
    </xf>
    <xf numFmtId="0" fontId="5" fillId="10" borderId="0" xfId="2" applyFont="1" applyFill="1" applyAlignment="1">
      <alignment horizontal="center"/>
    </xf>
    <xf numFmtId="0" fontId="5" fillId="10" borderId="0" xfId="2" applyFont="1" applyFill="1"/>
    <xf numFmtId="166" fontId="19" fillId="0" borderId="6" xfId="2" applyNumberFormat="1" applyFont="1" applyBorder="1"/>
    <xf numFmtId="175" fontId="5" fillId="0" borderId="0" xfId="2" applyNumberFormat="1" applyFont="1"/>
    <xf numFmtId="175" fontId="13" fillId="0" borderId="0" xfId="2" applyNumberFormat="1" applyFont="1"/>
    <xf numFmtId="0" fontId="13" fillId="0" borderId="0" xfId="2" applyFont="1" applyAlignment="1">
      <alignment wrapText="1"/>
    </xf>
    <xf numFmtId="166" fontId="17" fillId="0" borderId="0" xfId="3" applyNumberFormat="1" applyFont="1" applyAlignment="1" applyProtection="1"/>
    <xf numFmtId="0" fontId="13" fillId="0" borderId="0" xfId="2" applyFont="1"/>
    <xf numFmtId="166" fontId="21" fillId="0" borderId="0" xfId="2" applyNumberFormat="1" applyFont="1"/>
    <xf numFmtId="166" fontId="13" fillId="0" borderId="0" xfId="2" applyNumberFormat="1" applyFont="1" applyAlignment="1">
      <alignment wrapText="1"/>
    </xf>
    <xf numFmtId="179" fontId="5" fillId="0" borderId="0" xfId="2" applyNumberFormat="1" applyFont="1"/>
    <xf numFmtId="0" fontId="22" fillId="2" borderId="0" xfId="2" applyFont="1" applyFill="1" applyAlignment="1">
      <alignment horizontal="center" vertical="center"/>
    </xf>
    <xf numFmtId="166" fontId="18" fillId="0" borderId="6" xfId="3" applyNumberFormat="1" applyFont="1" applyBorder="1" applyAlignment="1" applyProtection="1"/>
    <xf numFmtId="166" fontId="13" fillId="0" borderId="6" xfId="2" applyNumberFormat="1" applyFont="1" applyBorder="1"/>
    <xf numFmtId="0" fontId="13" fillId="0" borderId="6" xfId="2" applyFont="1" applyBorder="1"/>
    <xf numFmtId="10" fontId="5" fillId="0" borderId="0" xfId="1" applyNumberFormat="1" applyFont="1" applyProtection="1"/>
    <xf numFmtId="0" fontId="5" fillId="7" borderId="5" xfId="2" applyFont="1" applyFill="1" applyBorder="1" applyAlignment="1">
      <alignment horizontal="center"/>
    </xf>
    <xf numFmtId="172" fontId="5" fillId="7" borderId="5" xfId="2" applyNumberFormat="1" applyFont="1" applyFill="1" applyBorder="1" applyAlignment="1">
      <alignment horizontal="center"/>
    </xf>
    <xf numFmtId="0" fontId="5" fillId="8" borderId="5" xfId="2" applyFont="1" applyFill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7" borderId="5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76" fontId="5" fillId="5" borderId="5" xfId="1" applyNumberFormat="1" applyFont="1" applyFill="1" applyBorder="1" applyAlignment="1" applyProtection="1">
      <alignment horizontal="center"/>
    </xf>
    <xf numFmtId="49" fontId="5" fillId="0" borderId="5" xfId="2" applyNumberFormat="1" applyFont="1" applyBorder="1" applyAlignment="1">
      <alignment horizontal="left" indent="1"/>
    </xf>
    <xf numFmtId="176" fontId="5" fillId="9" borderId="5" xfId="2" applyNumberFormat="1" applyFont="1" applyFill="1" applyBorder="1" applyAlignment="1">
      <alignment horizontal="center"/>
    </xf>
    <xf numFmtId="49" fontId="5" fillId="0" borderId="7" xfId="2" applyNumberFormat="1" applyFont="1" applyBorder="1" applyAlignment="1">
      <alignment horizontal="left" indent="1"/>
    </xf>
    <xf numFmtId="171" fontId="5" fillId="0" borderId="7" xfId="2" applyNumberFormat="1" applyFont="1" applyBorder="1" applyAlignment="1">
      <alignment horizontal="center"/>
    </xf>
    <xf numFmtId="49" fontId="5" fillId="0" borderId="0" xfId="2" applyNumberFormat="1" applyFont="1" applyAlignment="1">
      <alignment horizontal="left" indent="1"/>
    </xf>
    <xf numFmtId="1" fontId="19" fillId="0" borderId="0" xfId="2" applyNumberFormat="1" applyFont="1" applyAlignment="1">
      <alignment horizontal="center"/>
    </xf>
    <xf numFmtId="1" fontId="13" fillId="0" borderId="0" xfId="2" applyNumberFormat="1" applyFont="1" applyAlignment="1">
      <alignment horizontal="center"/>
    </xf>
    <xf numFmtId="174" fontId="5" fillId="8" borderId="5" xfId="2" applyNumberFormat="1" applyFont="1" applyFill="1" applyBorder="1" applyAlignment="1">
      <alignment horizontal="center"/>
    </xf>
    <xf numFmtId="49" fontId="5" fillId="7" borderId="5" xfId="2" applyNumberFormat="1" applyFont="1" applyFill="1" applyBorder="1" applyAlignment="1">
      <alignment horizontal="left" indent="1"/>
    </xf>
    <xf numFmtId="178" fontId="5" fillId="6" borderId="5" xfId="2" applyNumberFormat="1" applyFont="1" applyFill="1" applyBorder="1" applyAlignment="1">
      <alignment horizontal="center"/>
    </xf>
    <xf numFmtId="164" fontId="5" fillId="7" borderId="5" xfId="2" applyNumberFormat="1" applyFont="1" applyFill="1" applyBorder="1" applyAlignment="1">
      <alignment horizontal="center"/>
    </xf>
    <xf numFmtId="178" fontId="5" fillId="5" borderId="5" xfId="2" applyNumberFormat="1" applyFont="1" applyFill="1" applyBorder="1" applyAlignment="1">
      <alignment horizontal="center"/>
    </xf>
    <xf numFmtId="178" fontId="5" fillId="0" borderId="0" xfId="2" applyNumberFormat="1" applyFont="1" applyAlignment="1">
      <alignment horizontal="center"/>
    </xf>
    <xf numFmtId="2" fontId="5" fillId="0" borderId="0" xfId="2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4" fontId="5" fillId="6" borderId="5" xfId="2" applyNumberFormat="1" applyFont="1" applyFill="1" applyBorder="1" applyAlignment="1">
      <alignment horizontal="center"/>
    </xf>
    <xf numFmtId="177" fontId="5" fillId="6" borderId="5" xfId="2" applyNumberFormat="1" applyFont="1" applyFill="1" applyBorder="1" applyAlignment="1">
      <alignment horizontal="center"/>
    </xf>
    <xf numFmtId="0" fontId="2" fillId="2" borderId="0" xfId="2" applyFill="1" applyAlignment="1">
      <alignment horizontal="right"/>
    </xf>
    <xf numFmtId="164" fontId="6" fillId="2" borderId="0" xfId="2" applyNumberFormat="1" applyFont="1" applyFill="1" applyAlignment="1">
      <alignment horizontal="center"/>
    </xf>
    <xf numFmtId="0" fontId="8" fillId="2" borderId="0" xfId="2" applyFont="1" applyFill="1" applyAlignment="1">
      <alignment horizontal="left" indent="9"/>
    </xf>
    <xf numFmtId="166" fontId="13" fillId="3" borderId="0" xfId="2" applyNumberFormat="1" applyFont="1" applyFill="1"/>
    <xf numFmtId="170" fontId="5" fillId="5" borderId="5" xfId="2" applyNumberFormat="1" applyFont="1" applyFill="1" applyBorder="1" applyAlignment="1">
      <alignment horizontal="center"/>
    </xf>
    <xf numFmtId="165" fontId="5" fillId="0" borderId="0" xfId="2" applyNumberFormat="1" applyFont="1" applyAlignment="1">
      <alignment horizontal="left" indent="1"/>
    </xf>
    <xf numFmtId="1" fontId="5" fillId="5" borderId="5" xfId="2" applyNumberFormat="1" applyFont="1" applyFill="1" applyBorder="1" applyAlignment="1">
      <alignment horizontal="center"/>
    </xf>
    <xf numFmtId="165" fontId="5" fillId="0" borderId="5" xfId="2" applyNumberFormat="1" applyFont="1" applyBorder="1" applyAlignment="1">
      <alignment horizontal="center"/>
    </xf>
    <xf numFmtId="0" fontId="5" fillId="0" borderId="5" xfId="2" applyFont="1" applyBorder="1" applyAlignment="1">
      <alignment horizontal="center"/>
    </xf>
    <xf numFmtId="165" fontId="5" fillId="5" borderId="5" xfId="2" applyNumberFormat="1" applyFont="1" applyFill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66" fontId="5" fillId="0" borderId="5" xfId="2" applyNumberFormat="1" applyFont="1" applyBorder="1"/>
    <xf numFmtId="180" fontId="5" fillId="7" borderId="5" xfId="2" applyNumberFormat="1" applyFont="1" applyFill="1" applyBorder="1" applyAlignment="1">
      <alignment horizontal="center"/>
    </xf>
    <xf numFmtId="0" fontId="4" fillId="0" borderId="0" xfId="2" applyFont="1"/>
    <xf numFmtId="175" fontId="13" fillId="0" borderId="6" xfId="2" applyNumberFormat="1" applyFont="1" applyBorder="1"/>
    <xf numFmtId="166" fontId="5" fillId="0" borderId="0" xfId="2" quotePrefix="1" applyNumberFormat="1" applyFont="1"/>
    <xf numFmtId="166" fontId="23" fillId="0" borderId="0" xfId="2" applyNumberFormat="1" applyFont="1"/>
    <xf numFmtId="165" fontId="13" fillId="5" borderId="5" xfId="5" applyNumberFormat="1" applyFont="1" applyFill="1" applyBorder="1" applyAlignment="1" applyProtection="1">
      <alignment horizontal="center"/>
    </xf>
    <xf numFmtId="166" fontId="19" fillId="3" borderId="6" xfId="2" applyNumberFormat="1" applyFont="1" applyFill="1" applyBorder="1" applyAlignment="1">
      <alignment horizontal="center"/>
    </xf>
    <xf numFmtId="0" fontId="6" fillId="0" borderId="0" xfId="2" applyFont="1" applyBorder="1"/>
    <xf numFmtId="166" fontId="5" fillId="0" borderId="0" xfId="2" applyNumberFormat="1" applyFont="1" applyFill="1"/>
    <xf numFmtId="0" fontId="2" fillId="0" borderId="3" xfId="2" applyFill="1" applyBorder="1" applyAlignment="1">
      <alignment wrapText="1"/>
    </xf>
    <xf numFmtId="0" fontId="2" fillId="0" borderId="0" xfId="2" applyFill="1"/>
    <xf numFmtId="166" fontId="5" fillId="0" borderId="0" xfId="2" applyNumberFormat="1" applyFont="1" applyFill="1" applyBorder="1"/>
    <xf numFmtId="166" fontId="17" fillId="0" borderId="0" xfId="3" applyNumberFormat="1" applyFont="1" applyFill="1" applyBorder="1" applyAlignment="1" applyProtection="1"/>
    <xf numFmtId="166" fontId="13" fillId="0" borderId="0" xfId="2" applyNumberFormat="1" applyFont="1" applyFill="1" applyBorder="1"/>
    <xf numFmtId="175" fontId="13" fillId="0" borderId="0" xfId="2" applyNumberFormat="1" applyFont="1" applyFill="1" applyBorder="1"/>
    <xf numFmtId="0" fontId="13" fillId="0" borderId="0" xfId="2" applyFont="1" applyFill="1" applyBorder="1"/>
    <xf numFmtId="0" fontId="13" fillId="0" borderId="0" xfId="2" applyFont="1" applyFill="1" applyBorder="1" applyAlignment="1">
      <alignment wrapText="1"/>
    </xf>
    <xf numFmtId="166" fontId="21" fillId="0" borderId="0" xfId="2" applyNumberFormat="1" applyFont="1" applyFill="1" applyBorder="1"/>
    <xf numFmtId="166" fontId="13" fillId="0" borderId="0" xfId="2" applyNumberFormat="1" applyFont="1" applyFill="1" applyBorder="1" applyAlignment="1">
      <alignment wrapText="1"/>
    </xf>
    <xf numFmtId="0" fontId="2" fillId="0" borderId="0" xfId="2" applyFill="1" applyBorder="1"/>
    <xf numFmtId="0" fontId="6" fillId="0" borderId="0" xfId="2" applyFont="1" applyFill="1" applyBorder="1"/>
    <xf numFmtId="0" fontId="15" fillId="0" borderId="0" xfId="2" applyFont="1" applyFill="1" applyBorder="1" applyAlignment="1">
      <alignment vertical="center"/>
    </xf>
    <xf numFmtId="0" fontId="2" fillId="0" borderId="0" xfId="2" applyFill="1" applyBorder="1" applyAlignment="1">
      <alignment wrapText="1"/>
    </xf>
    <xf numFmtId="167" fontId="15" fillId="0" borderId="0" xfId="2" applyNumberFormat="1" applyFont="1" applyFill="1" applyBorder="1" applyAlignment="1">
      <alignment horizontal="center" wrapText="1"/>
    </xf>
    <xf numFmtId="179" fontId="5" fillId="0" borderId="0" xfId="2" applyNumberFormat="1" applyFont="1" applyFill="1" applyBorder="1"/>
    <xf numFmtId="171" fontId="5" fillId="0" borderId="0" xfId="2" applyNumberFormat="1" applyFont="1" applyBorder="1" applyAlignment="1">
      <alignment horizontal="center"/>
    </xf>
    <xf numFmtId="0" fontId="5" fillId="0" borderId="0" xfId="2" applyFont="1" applyFill="1"/>
    <xf numFmtId="0" fontId="2" fillId="0" borderId="1" xfId="2" applyFill="1" applyBorder="1"/>
    <xf numFmtId="165" fontId="11" fillId="0" borderId="3" xfId="2" applyNumberFormat="1" applyFont="1" applyFill="1" applyBorder="1" applyAlignment="1">
      <alignment horizontal="center" wrapText="1"/>
    </xf>
    <xf numFmtId="169" fontId="18" fillId="0" borderId="0" xfId="4" applyNumberFormat="1" applyFont="1" applyFill="1" applyBorder="1" applyAlignment="1" applyProtection="1">
      <alignment horizontal="center" vertical="center"/>
    </xf>
    <xf numFmtId="176" fontId="5" fillId="0" borderId="0" xfId="1" applyNumberFormat="1" applyFont="1" applyFill="1" applyBorder="1" applyAlignment="1" applyProtection="1">
      <alignment horizontal="center"/>
    </xf>
    <xf numFmtId="176" fontId="5" fillId="0" borderId="0" xfId="2" applyNumberFormat="1" applyFont="1" applyFill="1" applyBorder="1" applyAlignment="1">
      <alignment horizontal="center"/>
    </xf>
    <xf numFmtId="171" fontId="5" fillId="0" borderId="0" xfId="2" applyNumberFormat="1" applyFont="1" applyFill="1" applyBorder="1" applyAlignment="1">
      <alignment horizontal="center"/>
    </xf>
    <xf numFmtId="166" fontId="19" fillId="0" borderId="0" xfId="2" applyNumberFormat="1" applyFont="1" applyFill="1" applyAlignment="1">
      <alignment horizontal="center"/>
    </xf>
    <xf numFmtId="10" fontId="5" fillId="0" borderId="0" xfId="1" applyNumberFormat="1" applyFont="1" applyFill="1" applyProtection="1"/>
    <xf numFmtId="166" fontId="19" fillId="3" borderId="0" xfId="2" applyNumberFormat="1" applyFont="1" applyFill="1" applyBorder="1" applyAlignment="1">
      <alignment horizontal="center"/>
    </xf>
    <xf numFmtId="0" fontId="2" fillId="0" borderId="0" xfId="2" applyFill="1" applyAlignment="1">
      <alignment horizontal="right"/>
    </xf>
    <xf numFmtId="0" fontId="6" fillId="0" borderId="1" xfId="2" applyFont="1" applyFill="1" applyBorder="1"/>
    <xf numFmtId="0" fontId="25" fillId="11" borderId="6" xfId="0" applyFont="1" applyFill="1" applyBorder="1"/>
    <xf numFmtId="0" fontId="26" fillId="11" borderId="6" xfId="0" applyFont="1" applyFill="1" applyBorder="1"/>
    <xf numFmtId="0" fontId="27" fillId="11" borderId="6" xfId="0" applyFont="1" applyFill="1" applyBorder="1"/>
    <xf numFmtId="174" fontId="5" fillId="5" borderId="5" xfId="2" applyNumberFormat="1" applyFont="1" applyFill="1" applyBorder="1" applyAlignment="1">
      <alignment horizontal="center"/>
    </xf>
    <xf numFmtId="0" fontId="27" fillId="2" borderId="6" xfId="0" applyFont="1" applyFill="1" applyBorder="1" applyAlignment="1"/>
    <xf numFmtId="0" fontId="28" fillId="12" borderId="3" xfId="2" applyFont="1" applyFill="1" applyBorder="1"/>
    <xf numFmtId="0" fontId="29" fillId="12" borderId="3" xfId="2" applyFont="1" applyFill="1" applyBorder="1"/>
    <xf numFmtId="0" fontId="12" fillId="12" borderId="3" xfId="2" applyFont="1" applyFill="1" applyBorder="1" applyAlignment="1">
      <alignment horizontal="center"/>
    </xf>
    <xf numFmtId="1" fontId="12" fillId="12" borderId="3" xfId="2" applyNumberFormat="1" applyFont="1" applyFill="1" applyBorder="1" applyAlignment="1">
      <alignment horizontal="center"/>
    </xf>
    <xf numFmtId="1" fontId="12" fillId="12" borderId="3" xfId="2" applyNumberFormat="1" applyFont="1" applyFill="1" applyBorder="1" applyAlignment="1">
      <alignment horizontal="center" vertical="center"/>
    </xf>
    <xf numFmtId="0" fontId="12" fillId="12" borderId="3" xfId="2" applyFont="1" applyFill="1" applyBorder="1" applyAlignment="1">
      <alignment horizontal="center" vertical="center"/>
    </xf>
    <xf numFmtId="0" fontId="12" fillId="0" borderId="3" xfId="2" applyFont="1" applyFill="1" applyBorder="1" applyAlignment="1">
      <alignment vertical="center"/>
    </xf>
    <xf numFmtId="0" fontId="12" fillId="0" borderId="3" xfId="2" applyFont="1" applyFill="1" applyBorder="1" applyAlignment="1">
      <alignment horizontal="center"/>
    </xf>
    <xf numFmtId="0" fontId="12" fillId="12" borderId="3" xfId="2" applyFont="1" applyFill="1" applyBorder="1"/>
    <xf numFmtId="0" fontId="27" fillId="11" borderId="6" xfId="0" applyFont="1" applyFill="1" applyBorder="1" applyAlignment="1">
      <alignment horizontal="center"/>
    </xf>
    <xf numFmtId="166" fontId="19" fillId="3" borderId="0" xfId="2" applyNumberFormat="1" applyFont="1" applyFill="1" applyBorder="1" applyAlignment="1">
      <alignment horizontal="center"/>
    </xf>
    <xf numFmtId="165" fontId="14" fillId="2" borderId="2" xfId="2" applyNumberFormat="1" applyFont="1" applyFill="1" applyBorder="1" applyAlignment="1">
      <alignment horizontal="center"/>
    </xf>
    <xf numFmtId="0" fontId="5" fillId="5" borderId="8" xfId="2" applyFont="1" applyFill="1" applyBorder="1" applyAlignment="1">
      <alignment horizontal="left"/>
    </xf>
    <xf numFmtId="0" fontId="5" fillId="5" borderId="9" xfId="2" applyFont="1" applyFill="1" applyBorder="1" applyAlignment="1">
      <alignment horizontal="left"/>
    </xf>
  </cellXfs>
  <cellStyles count="6">
    <cellStyle name="Assumptions Right Number" xfId="4" xr:uid="{00000000-0005-0000-0000-000000000000}"/>
    <cellStyle name="Hyperlink" xfId="3" builtinId="8"/>
    <cellStyle name="Normal" xfId="0" builtinId="0"/>
    <cellStyle name="Normal 2" xfId="2" xr:uid="{00000000-0005-0000-0000-000003000000}"/>
    <cellStyle name="Percent" xfId="1" builtinId="5"/>
    <cellStyle name="Percent 2" xfId="5" xr:uid="{00000000-0005-0000-0000-000005000000}"/>
  </cellStyles>
  <dxfs count="0"/>
  <tableStyles count="0" defaultTableStyle="TableStyleMedium2" defaultPivotStyle="PivotStyleLight16"/>
  <colors>
    <mruColors>
      <color rgb="FF6BA1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483870</xdr:colOff>
      <xdr:row>4</xdr:row>
      <xdr:rowOff>49530</xdr:rowOff>
    </xdr:from>
    <xdr:to>
      <xdr:col>8</xdr:col>
      <xdr:colOff>2416502</xdr:colOff>
      <xdr:row>67</xdr:row>
      <xdr:rowOff>39197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75A62-D92F-422D-AF16-F8538DBF4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2245" y="1116330"/>
          <a:ext cx="7542857" cy="64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ale\Work%20Folders\Pricing%20template%20model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|Tables"/>
      <sheetName val="Worksheet sizes"/>
      <sheetName val="To-do"/>
      <sheetName val="Pricing model"/>
      <sheetName val="Rules"/>
      <sheetName val="Mechanisms"/>
      <sheetName val="Outputs&gt;&gt;"/>
      <sheetName val="Compliance"/>
      <sheetName val="Price comparisons"/>
      <sheetName val="Tariff schedule"/>
      <sheetName val="Tables"/>
      <sheetName val="Cost movements"/>
      <sheetName val="Charts"/>
      <sheetName val="Charts example (to be removed)"/>
      <sheetName val="Inputs&gt;&gt;"/>
      <sheetName val="General"/>
      <sheetName val="Financial"/>
      <sheetName val="Actuals"/>
      <sheetName val="Metering"/>
      <sheetName val="Tariffs"/>
      <sheetName val="Qty"/>
      <sheetName val="Prop. prices"/>
      <sheetName val="Hist. prices"/>
      <sheetName val="Indicative prices"/>
      <sheetName val="Trial tariffs"/>
      <sheetName val="Tariff costs"/>
      <sheetName val="Calculations&gt;&gt;"/>
      <sheetName val="TAR"/>
      <sheetName val="Prop. rev. detail"/>
      <sheetName val="Hist. rev. detail"/>
      <sheetName val="Tariff revenue"/>
      <sheetName val="Total qty"/>
      <sheetName val="Accounts"/>
      <sheetName val="SC revenue"/>
      <sheetName val="Movements"/>
      <sheetName val="Charts example"/>
      <sheetName val="Check|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030A0"/>
  </sheetPr>
  <dimension ref="A1:AJ83"/>
  <sheetViews>
    <sheetView showGridLines="0" tabSelected="1" zoomScaleNormal="100" workbookViewId="0">
      <selection activeCell="J9" sqref="J9"/>
    </sheetView>
  </sheetViews>
  <sheetFormatPr defaultColWidth="0" defaultRowHeight="11.25" customHeight="1" zeroHeight="1" x14ac:dyDescent="0.2"/>
  <cols>
    <col min="1" max="2" width="1.36328125" style="26" customWidth="1"/>
    <col min="3" max="3" width="24.54296875" style="26" customWidth="1"/>
    <col min="4" max="4" width="5.36328125" style="26" customWidth="1"/>
    <col min="5" max="5" width="40.90625" style="26" customWidth="1"/>
    <col min="6" max="6" width="12.90625" style="26" customWidth="1"/>
    <col min="7" max="7" width="17" style="26" customWidth="1"/>
    <col min="8" max="8" width="11.08984375" style="26" customWidth="1"/>
    <col min="9" max="10" width="36" style="26" customWidth="1"/>
    <col min="11" max="11" width="5.54296875" style="26" customWidth="1"/>
    <col min="12" max="12" width="8" style="26" hidden="1" customWidth="1"/>
    <col min="13" max="20" width="8.453125" style="26" hidden="1" customWidth="1"/>
    <col min="21" max="21" width="1.36328125" style="26" hidden="1" customWidth="1"/>
    <col min="22" max="22" width="9" style="26" hidden="1" customWidth="1"/>
    <col min="23" max="23" width="1.36328125" style="26" hidden="1" customWidth="1"/>
    <col min="24" max="16384" width="9" style="26" hidden="1"/>
  </cols>
  <sheetData>
    <row r="1" spans="1:36" ht="11.25" customHeight="1" x14ac:dyDescent="0.2"/>
    <row r="2" spans="1:36" s="51" customFormat="1" ht="32.5" x14ac:dyDescent="0.2">
      <c r="A2" s="1"/>
      <c r="B2" s="1"/>
      <c r="C2" s="1"/>
      <c r="D2" s="1"/>
      <c r="E2" s="1"/>
      <c r="F2" s="1"/>
      <c r="G2" s="64" t="s">
        <v>91</v>
      </c>
      <c r="H2" s="2"/>
      <c r="I2" s="1"/>
      <c r="J2" s="1"/>
      <c r="K2" s="1"/>
      <c r="M2" s="52"/>
      <c r="N2" s="53"/>
      <c r="O2" s="54"/>
    </row>
    <row r="3" spans="1:36" s="51" customFormat="1" ht="32.5" x14ac:dyDescent="0.2">
      <c r="A3" s="1"/>
      <c r="B3" s="1"/>
      <c r="C3" s="1"/>
      <c r="D3" s="1"/>
      <c r="E3" s="1"/>
      <c r="F3" s="1"/>
      <c r="G3" s="64" t="s">
        <v>76</v>
      </c>
      <c r="H3" s="2"/>
      <c r="I3" s="1"/>
      <c r="J3" s="1"/>
      <c r="K3" s="1"/>
      <c r="M3" s="52"/>
      <c r="N3" s="53"/>
      <c r="O3" s="54"/>
    </row>
    <row r="4" spans="1:36" s="5" customFormat="1" ht="7.75" customHeight="1" x14ac:dyDescent="0.3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30"/>
      <c r="M4" s="30"/>
      <c r="N4" s="30"/>
      <c r="O4" s="30"/>
      <c r="P4" s="24"/>
      <c r="Q4" s="25"/>
      <c r="R4" s="24"/>
      <c r="S4" s="25"/>
      <c r="T4" s="24"/>
      <c r="U4" s="24"/>
      <c r="V4" s="24"/>
      <c r="W4" s="24"/>
      <c r="X4" s="24"/>
      <c r="Y4" s="24"/>
      <c r="Z4" s="24"/>
      <c r="AA4" s="24"/>
      <c r="AB4" s="25"/>
      <c r="AC4" s="25"/>
      <c r="AD4" s="33"/>
      <c r="AE4" s="33"/>
      <c r="AF4" s="33"/>
      <c r="AG4" s="33"/>
      <c r="AH4" s="33"/>
      <c r="AI4" s="34"/>
      <c r="AJ4" s="34"/>
    </row>
    <row r="5" spans="1:36" ht="10" x14ac:dyDescent="0.2">
      <c r="C5" s="59"/>
      <c r="D5" s="47"/>
      <c r="E5" s="47"/>
      <c r="F5" s="47"/>
      <c r="G5" s="57"/>
      <c r="H5" s="60"/>
      <c r="I5" s="58"/>
      <c r="J5" s="58"/>
    </row>
    <row r="6" spans="1:36" ht="10" hidden="1" x14ac:dyDescent="0.2">
      <c r="C6" s="59"/>
      <c r="D6" s="47"/>
      <c r="E6" s="47"/>
      <c r="F6" s="47"/>
      <c r="G6" s="57"/>
      <c r="H6" s="60"/>
      <c r="I6" s="58"/>
      <c r="J6" s="58"/>
    </row>
    <row r="7" spans="1:36" ht="10" x14ac:dyDescent="0.2">
      <c r="C7" s="59"/>
      <c r="D7" s="47"/>
      <c r="E7" s="47"/>
      <c r="F7" s="47"/>
      <c r="G7" s="57"/>
      <c r="H7" s="60"/>
      <c r="I7" s="58"/>
      <c r="J7" s="58"/>
    </row>
    <row r="8" spans="1:36" ht="10" x14ac:dyDescent="0.2">
      <c r="C8" s="59"/>
      <c r="D8" s="47"/>
      <c r="E8" s="47"/>
      <c r="F8" s="47"/>
      <c r="G8" s="57"/>
      <c r="H8" s="60"/>
      <c r="I8" s="58"/>
      <c r="J8" s="58"/>
    </row>
    <row r="9" spans="1:36" ht="10" x14ac:dyDescent="0.2">
      <c r="C9" s="59"/>
      <c r="D9" s="47"/>
      <c r="E9" s="47"/>
      <c r="F9" s="47"/>
      <c r="G9" s="57"/>
      <c r="H9" s="60"/>
      <c r="I9" s="58"/>
      <c r="J9" s="58"/>
    </row>
    <row r="10" spans="1:36" ht="10" x14ac:dyDescent="0.2">
      <c r="C10" s="59"/>
      <c r="D10" s="47"/>
      <c r="E10" s="47"/>
      <c r="F10" s="47"/>
      <c r="G10" s="57"/>
      <c r="H10" s="60"/>
      <c r="I10" s="58"/>
      <c r="J10" s="58"/>
    </row>
    <row r="11" spans="1:36" ht="10" x14ac:dyDescent="0.2">
      <c r="C11" s="59"/>
      <c r="D11" s="47"/>
      <c r="E11" s="47"/>
      <c r="F11" s="47"/>
      <c r="G11" s="57"/>
      <c r="H11" s="60"/>
      <c r="I11" s="58"/>
      <c r="J11" s="58"/>
    </row>
    <row r="12" spans="1:36" ht="10" x14ac:dyDescent="0.2">
      <c r="C12" s="59"/>
      <c r="D12" s="47"/>
      <c r="E12" s="47"/>
      <c r="F12" s="47"/>
      <c r="G12" s="57"/>
      <c r="H12" s="60"/>
      <c r="I12" s="58"/>
      <c r="J12" s="58"/>
    </row>
    <row r="13" spans="1:36" s="116" customFormat="1" ht="10" x14ac:dyDescent="0.2">
      <c r="C13" s="117"/>
      <c r="D13" s="118"/>
      <c r="E13" s="118"/>
      <c r="F13" s="118"/>
      <c r="G13" s="119"/>
      <c r="H13" s="120"/>
      <c r="I13" s="121"/>
      <c r="J13" s="121"/>
    </row>
    <row r="14" spans="1:36" s="116" customFormat="1" ht="10" x14ac:dyDescent="0.2">
      <c r="C14" s="117"/>
      <c r="D14" s="118"/>
      <c r="E14" s="118"/>
      <c r="F14" s="118"/>
      <c r="G14" s="119"/>
      <c r="H14" s="120"/>
      <c r="I14" s="121"/>
      <c r="J14" s="121"/>
    </row>
    <row r="15" spans="1:36" s="116" customFormat="1" ht="10" x14ac:dyDescent="0.2">
      <c r="C15" s="117"/>
      <c r="D15" s="118"/>
      <c r="E15" s="118"/>
      <c r="F15" s="118"/>
      <c r="G15" s="119"/>
      <c r="H15" s="120"/>
      <c r="I15" s="121"/>
      <c r="J15" s="121"/>
    </row>
    <row r="16" spans="1:36" s="116" customFormat="1" ht="10" x14ac:dyDescent="0.2">
      <c r="C16" s="117"/>
      <c r="D16" s="118"/>
      <c r="E16" s="118"/>
      <c r="F16" s="118"/>
      <c r="G16" s="119"/>
      <c r="H16" s="120"/>
      <c r="I16" s="121"/>
      <c r="J16" s="121"/>
    </row>
    <row r="17" spans="2:34" s="116" customFormat="1" ht="13" x14ac:dyDescent="0.3">
      <c r="C17" s="122"/>
      <c r="D17" s="118"/>
      <c r="E17" s="118"/>
      <c r="F17" s="118"/>
      <c r="G17" s="118"/>
      <c r="H17" s="118"/>
      <c r="I17" s="123"/>
      <c r="J17" s="123"/>
    </row>
    <row r="18" spans="2:34" s="124" customFormat="1" ht="13" x14ac:dyDescent="0.3">
      <c r="B18" s="125"/>
      <c r="L18" s="126"/>
      <c r="M18" s="126"/>
      <c r="N18" s="126"/>
      <c r="O18" s="126"/>
      <c r="P18" s="127"/>
      <c r="Q18" s="128"/>
      <c r="R18" s="127"/>
      <c r="S18" s="128"/>
      <c r="T18" s="127"/>
      <c r="U18" s="127"/>
      <c r="V18" s="127"/>
      <c r="W18" s="127"/>
      <c r="X18" s="127"/>
      <c r="Y18" s="127"/>
      <c r="Z18" s="127"/>
      <c r="AA18" s="127"/>
      <c r="AB18" s="128"/>
      <c r="AC18" s="128"/>
      <c r="AD18" s="127"/>
      <c r="AE18" s="127"/>
      <c r="AF18" s="127"/>
      <c r="AG18" s="127"/>
      <c r="AH18" s="127"/>
    </row>
    <row r="19" spans="2:34" s="116" customFormat="1" ht="10" hidden="1" x14ac:dyDescent="0.2">
      <c r="D19" s="118"/>
      <c r="E19" s="118"/>
      <c r="F19" s="118"/>
      <c r="G19" s="118"/>
      <c r="H19" s="118"/>
      <c r="I19" s="118"/>
      <c r="J19" s="118"/>
      <c r="L19" s="129"/>
    </row>
    <row r="20" spans="2:34" s="116" customFormat="1" ht="10" hidden="1" x14ac:dyDescent="0.2">
      <c r="D20" s="118"/>
      <c r="E20" s="118"/>
      <c r="F20" s="118"/>
      <c r="G20" s="118"/>
      <c r="H20" s="118"/>
      <c r="I20" s="118"/>
      <c r="J20" s="118"/>
      <c r="L20" s="129"/>
    </row>
    <row r="21" spans="2:34" s="116" customFormat="1" ht="10" hidden="1" x14ac:dyDescent="0.2">
      <c r="D21" s="118"/>
      <c r="E21" s="118"/>
      <c r="F21" s="118"/>
      <c r="G21" s="118"/>
      <c r="H21" s="118"/>
      <c r="I21" s="118"/>
      <c r="J21" s="118"/>
      <c r="L21" s="129"/>
    </row>
    <row r="22" spans="2:34" s="116" customFormat="1" ht="10" hidden="1" x14ac:dyDescent="0.2">
      <c r="D22" s="118"/>
      <c r="E22" s="118"/>
      <c r="F22" s="118"/>
      <c r="G22" s="118"/>
      <c r="H22" s="118"/>
      <c r="I22" s="118"/>
      <c r="J22" s="118"/>
      <c r="L22" s="129"/>
    </row>
    <row r="23" spans="2:34" s="116" customFormat="1" ht="10" hidden="1" x14ac:dyDescent="0.2">
      <c r="D23" s="118"/>
      <c r="E23" s="118"/>
      <c r="F23" s="118"/>
      <c r="G23" s="118"/>
      <c r="H23" s="118"/>
      <c r="I23" s="118"/>
      <c r="J23" s="118"/>
      <c r="L23" s="129"/>
    </row>
    <row r="24" spans="2:34" s="116" customFormat="1" ht="10" hidden="1" x14ac:dyDescent="0.2">
      <c r="C24" s="118"/>
      <c r="D24" s="118"/>
      <c r="E24" s="118"/>
      <c r="F24" s="118"/>
      <c r="G24" s="118"/>
      <c r="H24" s="118"/>
      <c r="I24" s="118"/>
      <c r="J24" s="118"/>
      <c r="L24" s="129"/>
    </row>
    <row r="25" spans="2:34" s="116" customFormat="1" ht="10" hidden="1" x14ac:dyDescent="0.2">
      <c r="C25" s="118"/>
      <c r="D25" s="118"/>
      <c r="E25" s="118"/>
      <c r="F25" s="118"/>
      <c r="G25" s="118"/>
      <c r="H25" s="118"/>
      <c r="I25" s="118"/>
      <c r="J25" s="118"/>
      <c r="L25" s="129"/>
    </row>
    <row r="26" spans="2:34" s="116" customFormat="1" ht="10" hidden="1" x14ac:dyDescent="0.2">
      <c r="C26" s="118"/>
      <c r="D26" s="118"/>
      <c r="E26" s="118"/>
      <c r="F26" s="118"/>
      <c r="G26" s="118"/>
      <c r="H26" s="118"/>
      <c r="I26" s="118"/>
      <c r="J26" s="118"/>
    </row>
    <row r="27" spans="2:34" s="116" customFormat="1" ht="10" hidden="1" x14ac:dyDescent="0.2">
      <c r="D27" s="118"/>
      <c r="E27" s="118"/>
      <c r="F27" s="118"/>
      <c r="G27" s="118"/>
      <c r="H27" s="118"/>
      <c r="I27" s="118"/>
      <c r="J27" s="118"/>
    </row>
    <row r="28" spans="2:34" s="116" customFormat="1" ht="10" hidden="1" x14ac:dyDescent="0.2">
      <c r="D28" s="118"/>
      <c r="E28" s="118"/>
      <c r="F28" s="118"/>
      <c r="G28" s="118"/>
      <c r="H28" s="118"/>
      <c r="I28" s="118"/>
      <c r="J28" s="118"/>
    </row>
    <row r="29" spans="2:34" s="116" customFormat="1" ht="10" hidden="1" x14ac:dyDescent="0.2">
      <c r="D29" s="118"/>
      <c r="E29" s="118"/>
      <c r="F29" s="118"/>
      <c r="G29" s="118"/>
      <c r="H29" s="118"/>
      <c r="I29" s="118"/>
      <c r="J29" s="118"/>
    </row>
    <row r="30" spans="2:34" s="116" customFormat="1" ht="10" hidden="1" x14ac:dyDescent="0.2">
      <c r="D30" s="118"/>
      <c r="E30" s="118"/>
      <c r="F30" s="118"/>
      <c r="G30" s="118"/>
      <c r="H30" s="118"/>
      <c r="I30" s="118"/>
      <c r="J30" s="118"/>
    </row>
    <row r="31" spans="2:34" s="116" customFormat="1" ht="10" hidden="1" x14ac:dyDescent="0.2">
      <c r="D31" s="118"/>
      <c r="E31" s="118"/>
      <c r="F31" s="118"/>
      <c r="G31" s="118"/>
      <c r="H31" s="118"/>
      <c r="I31" s="118"/>
      <c r="J31" s="118"/>
    </row>
    <row r="32" spans="2:34" s="116" customFormat="1" ht="13" hidden="1" x14ac:dyDescent="0.3">
      <c r="C32" s="122"/>
      <c r="D32" s="118"/>
      <c r="E32" s="118"/>
      <c r="F32" s="118"/>
      <c r="G32" s="118"/>
      <c r="H32" s="118"/>
      <c r="I32" s="118"/>
      <c r="J32" s="118"/>
    </row>
    <row r="33" s="116" customFormat="1" ht="11.25" customHeight="1" x14ac:dyDescent="0.2"/>
    <row r="34" s="116" customFormat="1" ht="11.25" customHeight="1" x14ac:dyDescent="0.2"/>
    <row r="35" s="116" customFormat="1" ht="11.25" customHeight="1" x14ac:dyDescent="0.2"/>
    <row r="36" s="116" customFormat="1" ht="11.25" customHeight="1" x14ac:dyDescent="0.2"/>
    <row r="37" s="116" customFormat="1" ht="11.25" customHeight="1" x14ac:dyDescent="0.2"/>
    <row r="38" s="116" customFormat="1" ht="11.25" customHeight="1" x14ac:dyDescent="0.2"/>
    <row r="39" s="116" customFormat="1" ht="11.25" customHeight="1" x14ac:dyDescent="0.2"/>
    <row r="40" s="116" customFormat="1" ht="11.25" customHeight="1" x14ac:dyDescent="0.2"/>
    <row r="41" s="116" customFormat="1" ht="11.25" customHeight="1" x14ac:dyDescent="0.2"/>
    <row r="42" s="116" customFormat="1" ht="11.25" customHeight="1" x14ac:dyDescent="0.2"/>
    <row r="43" s="116" customFormat="1" ht="11.25" customHeight="1" x14ac:dyDescent="0.2"/>
    <row r="44" s="116" customFormat="1" ht="11.25" customHeight="1" x14ac:dyDescent="0.2"/>
    <row r="45" ht="11.25" customHeight="1" x14ac:dyDescent="0.2"/>
    <row r="46" ht="11.25" customHeight="1" x14ac:dyDescent="0.2"/>
    <row r="47" ht="11.25" customHeight="1" x14ac:dyDescent="0.2"/>
    <row r="48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  <row r="54" ht="11.25" customHeight="1" x14ac:dyDescent="0.2"/>
    <row r="55" ht="11.25" customHeight="1" x14ac:dyDescent="0.2"/>
    <row r="56" ht="11.25" customHeight="1" x14ac:dyDescent="0.2"/>
    <row r="57" ht="11.25" customHeight="1" x14ac:dyDescent="0.2"/>
    <row r="58" ht="11.25" customHeight="1" x14ac:dyDescent="0.2"/>
    <row r="59" ht="11.25" customHeight="1" x14ac:dyDescent="0.2"/>
    <row r="60" ht="11.25" customHeight="1" x14ac:dyDescent="0.2"/>
    <row r="61" ht="11.25" customHeight="1" x14ac:dyDescent="0.2"/>
    <row r="62" ht="11.25" customHeight="1" x14ac:dyDescent="0.2"/>
    <row r="63" ht="11.25" customHeight="1" x14ac:dyDescent="0.2"/>
    <row r="64" ht="11.25" customHeight="1" x14ac:dyDescent="0.2"/>
    <row r="65" ht="11.25" customHeight="1" x14ac:dyDescent="0.2"/>
    <row r="66" ht="11.25" customHeight="1" x14ac:dyDescent="0.2"/>
    <row r="67" ht="11.25" customHeight="1" x14ac:dyDescent="0.2"/>
    <row r="68" ht="11.25" customHeight="1" x14ac:dyDescent="0.2"/>
    <row r="69" ht="11.25" customHeight="1" x14ac:dyDescent="0.2"/>
    <row r="70" ht="11.25" customHeight="1" x14ac:dyDescent="0.2"/>
    <row r="71" ht="11.25" customHeight="1" x14ac:dyDescent="0.2"/>
    <row r="72" ht="11.25" customHeight="1" x14ac:dyDescent="0.2"/>
    <row r="73" ht="11.25" customHeight="1" x14ac:dyDescent="0.2"/>
    <row r="74" ht="11.25" customHeight="1" x14ac:dyDescent="0.2"/>
    <row r="75" ht="11.25" customHeight="1" x14ac:dyDescent="0.2"/>
    <row r="76" ht="11.25" customHeight="1" x14ac:dyDescent="0.2"/>
    <row r="77" ht="11.25" customHeight="1" x14ac:dyDescent="0.2"/>
    <row r="78" ht="11.25" customHeight="1" x14ac:dyDescent="0.2"/>
    <row r="79" ht="11.25" customHeight="1" x14ac:dyDescent="0.2"/>
    <row r="80" ht="11.25" customHeight="1" x14ac:dyDescent="0.2"/>
    <row r="81" ht="11.25" customHeight="1" x14ac:dyDescent="0.2"/>
    <row r="82" ht="11.25" customHeight="1" x14ac:dyDescent="0.2"/>
    <row r="83" ht="11.25" customHeight="1" x14ac:dyDescent="0.2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79998168889431442"/>
  </sheetPr>
  <dimension ref="A1:AB95"/>
  <sheetViews>
    <sheetView showGridLines="0" zoomScaleNormal="100" workbookViewId="0">
      <selection activeCell="G79" sqref="G79"/>
    </sheetView>
  </sheetViews>
  <sheetFormatPr defaultColWidth="0" defaultRowHeight="10" zeroHeight="1" outlineLevelRow="1" x14ac:dyDescent="0.2"/>
  <cols>
    <col min="1" max="2" width="1.36328125" style="26" customWidth="1"/>
    <col min="3" max="3" width="38" style="26" customWidth="1"/>
    <col min="4" max="4" width="14" style="27" customWidth="1"/>
    <col min="5" max="5" width="2.6328125" style="27" customWidth="1"/>
    <col min="6" max="6" width="12.54296875" style="27" customWidth="1"/>
    <col min="7" max="7" width="10" style="27" customWidth="1"/>
    <col min="8" max="9" width="2.90625" style="27" customWidth="1"/>
    <col min="10" max="10" width="9.36328125" style="26" customWidth="1"/>
    <col min="11" max="11" width="9.1796875" style="26" customWidth="1"/>
    <col min="12" max="14" width="9.36328125" style="26" customWidth="1"/>
    <col min="15" max="15" width="2.36328125" style="113" customWidth="1"/>
    <col min="16" max="20" width="9.36328125" style="26" customWidth="1"/>
    <col min="21" max="23" width="2.36328125" style="26" customWidth="1"/>
    <col min="24" max="28" width="0" style="26" hidden="1" customWidth="1"/>
    <col min="29" max="16384" width="9" style="26" hidden="1"/>
  </cols>
  <sheetData>
    <row r="1" spans="1:23" s="1" customFormat="1" ht="15.5" x14ac:dyDescent="0.35">
      <c r="B1" s="2" t="str">
        <f>'Pricing model - ACS'!G2&amp;" - "&amp;'Pricing model - ACS'!G3</f>
        <v>Ergon Energy Pricing Model - Price Capped Security Lighting Services - 2025-30</v>
      </c>
      <c r="C1" s="2"/>
      <c r="D1" s="2"/>
      <c r="E1" s="2"/>
      <c r="F1" s="3"/>
      <c r="G1" s="3"/>
      <c r="H1" s="3"/>
      <c r="I1" s="3"/>
      <c r="J1" s="31"/>
      <c r="K1" s="31"/>
      <c r="L1" s="32"/>
      <c r="M1" s="32"/>
      <c r="N1" s="8"/>
      <c r="O1" s="131"/>
      <c r="P1" s="8"/>
      <c r="Q1" s="8"/>
      <c r="R1" s="8"/>
      <c r="S1" s="8"/>
      <c r="T1" s="8"/>
      <c r="U1" s="8"/>
      <c r="V1" s="5"/>
      <c r="W1" s="5"/>
    </row>
    <row r="2" spans="1:23" s="11" customFormat="1" ht="13.5" thickBot="1" x14ac:dyDescent="0.35">
      <c r="B2" s="12" t="e">
        <f>'Pricing model - ACS'!#REF!&amp;" - "&amp;'Pricing model - ACS'!#REF!</f>
        <v>#REF!</v>
      </c>
      <c r="C2" s="12"/>
      <c r="D2" s="12"/>
      <c r="E2" s="12"/>
      <c r="F2" s="13"/>
      <c r="G2" s="13"/>
      <c r="H2" s="13"/>
      <c r="I2" s="13"/>
      <c r="O2" s="132"/>
    </row>
    <row r="3" spans="1:23" s="19" customFormat="1" x14ac:dyDescent="0.2">
      <c r="D3" s="20"/>
      <c r="E3" s="20"/>
      <c r="F3" s="20"/>
      <c r="G3" s="20"/>
      <c r="H3" s="20"/>
      <c r="I3" s="20"/>
      <c r="O3" s="113"/>
    </row>
    <row r="4" spans="1:23" s="19" customFormat="1" x14ac:dyDescent="0.2">
      <c r="D4" s="20"/>
      <c r="E4" s="20"/>
      <c r="F4" s="20"/>
      <c r="G4" s="20"/>
      <c r="H4" s="20"/>
      <c r="I4" s="20"/>
      <c r="O4" s="113"/>
    </row>
    <row r="5" spans="1:23" s="145" customFormat="1" ht="10.5" x14ac:dyDescent="0.25">
      <c r="A5" s="145">
        <v>1</v>
      </c>
      <c r="B5" s="145" t="s">
        <v>5</v>
      </c>
      <c r="O5" s="114"/>
    </row>
    <row r="6" spans="1:23" x14ac:dyDescent="0.2"/>
    <row r="7" spans="1:23" ht="10.5" x14ac:dyDescent="0.25">
      <c r="C7" s="35" t="s">
        <v>6</v>
      </c>
      <c r="D7" s="36" t="s">
        <v>8</v>
      </c>
      <c r="E7" s="28"/>
      <c r="H7" s="36"/>
      <c r="I7" s="26"/>
      <c r="J7" s="37"/>
    </row>
    <row r="8" spans="1:23" x14ac:dyDescent="0.2">
      <c r="C8" s="26" t="s">
        <v>1</v>
      </c>
      <c r="D8" s="69" t="s">
        <v>66</v>
      </c>
      <c r="E8" s="26"/>
      <c r="H8" s="26"/>
      <c r="I8" s="26"/>
    </row>
    <row r="9" spans="1:23" x14ac:dyDescent="0.2">
      <c r="C9" s="26" t="s">
        <v>11</v>
      </c>
      <c r="D9" s="70">
        <v>36678</v>
      </c>
      <c r="E9" s="26"/>
      <c r="H9" s="26"/>
      <c r="I9" s="26"/>
    </row>
    <row r="10" spans="1:23" x14ac:dyDescent="0.2">
      <c r="C10" s="26" t="s">
        <v>12</v>
      </c>
      <c r="D10" s="71" t="s">
        <v>70</v>
      </c>
      <c r="E10" s="26"/>
      <c r="G10" s="26"/>
      <c r="H10" s="26"/>
      <c r="I10" s="26"/>
    </row>
    <row r="11" spans="1:23" x14ac:dyDescent="0.2">
      <c r="C11" s="26" t="s">
        <v>13</v>
      </c>
      <c r="D11" s="72" t="str">
        <f>IF(INDEX('Lookup Tables'!I60:I61,MATCH(DNSP,'Lookup Tables'!G60:G61,0))="Vic",
INDEX('Lookup Tables'!L24:L46,MATCH(forecastyear,'Lookup Tables'!I24:I46,0)-1),
INDEX('Lookup Tables'!I24:I46,MATCH(forecastyear,'Lookup Tables'!I24:I46,0)-1))</f>
        <v>2024–25</v>
      </c>
      <c r="E11" s="26"/>
      <c r="G11" s="26"/>
      <c r="H11" s="26"/>
      <c r="I11" s="26"/>
    </row>
    <row r="12" spans="1:23" x14ac:dyDescent="0.2">
      <c r="C12" s="26" t="s">
        <v>15</v>
      </c>
      <c r="D12" s="73" t="s">
        <v>70</v>
      </c>
      <c r="E12" s="26"/>
      <c r="G12" s="26"/>
      <c r="H12" s="26"/>
      <c r="I12" s="26"/>
    </row>
    <row r="13" spans="1:23" x14ac:dyDescent="0.2">
      <c r="C13" s="26" t="s">
        <v>16</v>
      </c>
      <c r="D13" s="72" t="str">
        <f>'Lookup Tables'!G55</f>
        <v>2029–30</v>
      </c>
      <c r="E13" s="26"/>
      <c r="G13" s="26"/>
      <c r="H13" s="26"/>
      <c r="I13" s="26"/>
    </row>
    <row r="14" spans="1:23" x14ac:dyDescent="0.2">
      <c r="E14" s="26"/>
      <c r="F14" s="26"/>
      <c r="G14" s="74"/>
      <c r="H14" s="26"/>
      <c r="I14" s="26"/>
    </row>
    <row r="15" spans="1:23" s="145" customFormat="1" ht="12" x14ac:dyDescent="0.3">
      <c r="A15" s="144"/>
      <c r="B15" s="145" t="s">
        <v>17</v>
      </c>
      <c r="D15" s="145" t="s">
        <v>7</v>
      </c>
      <c r="F15" s="145" t="s">
        <v>18</v>
      </c>
      <c r="J15" s="145" t="s">
        <v>85</v>
      </c>
      <c r="K15" s="145" t="s">
        <v>87</v>
      </c>
      <c r="L15" s="145" t="s">
        <v>88</v>
      </c>
      <c r="M15" s="145" t="s">
        <v>89</v>
      </c>
      <c r="N15" s="145" t="s">
        <v>78</v>
      </c>
      <c r="O15" s="133"/>
      <c r="P15" s="145" t="s">
        <v>79</v>
      </c>
      <c r="Q15" s="145" t="s">
        <v>80</v>
      </c>
      <c r="R15" s="145" t="s">
        <v>81</v>
      </c>
      <c r="S15" s="145" t="s">
        <v>82</v>
      </c>
      <c r="T15" s="145" t="s">
        <v>74</v>
      </c>
      <c r="U15" s="145" t="s">
        <v>19</v>
      </c>
    </row>
    <row r="16" spans="1:23" s="5" customFormat="1" ht="10.5" x14ac:dyDescent="0.2">
      <c r="A16" s="26"/>
      <c r="B16" s="26"/>
      <c r="C16" s="42"/>
      <c r="D16" s="27"/>
      <c r="E16" s="28"/>
      <c r="F16" s="27"/>
      <c r="G16" s="28"/>
      <c r="H16" s="28"/>
      <c r="I16" s="27"/>
      <c r="J16" s="29"/>
      <c r="K16" s="29"/>
      <c r="L16" s="29"/>
      <c r="M16" s="29"/>
      <c r="N16" s="29"/>
      <c r="O16" s="134"/>
      <c r="P16" s="29"/>
      <c r="Q16" s="29"/>
      <c r="R16" s="29"/>
      <c r="S16" s="29"/>
      <c r="T16" s="29"/>
      <c r="U16" s="26"/>
      <c r="V16" s="26"/>
      <c r="W16" s="26"/>
    </row>
    <row r="17" spans="1:23" s="5" customFormat="1" x14ac:dyDescent="0.2">
      <c r="A17" s="26"/>
      <c r="B17" s="26"/>
      <c r="C17" s="48" t="s">
        <v>20</v>
      </c>
      <c r="D17" s="49" t="s">
        <v>21</v>
      </c>
      <c r="E17" s="28"/>
      <c r="F17" s="110" t="s">
        <v>22</v>
      </c>
      <c r="G17" s="28"/>
      <c r="H17" s="28"/>
      <c r="I17" s="27"/>
      <c r="J17" s="75">
        <f>G26</f>
        <v>1.8404907975460238E-2</v>
      </c>
      <c r="K17" s="75">
        <f>G27</f>
        <v>8.6058519793459354E-3</v>
      </c>
      <c r="L17" s="75">
        <f>G28</f>
        <v>3.4982935153583528E-2</v>
      </c>
      <c r="M17" s="75">
        <f>G29</f>
        <v>7.8318219291014124E-2</v>
      </c>
      <c r="N17" s="75">
        <f>G30</f>
        <v>5.37383177570094E-2</v>
      </c>
      <c r="O17" s="135"/>
      <c r="P17" s="75">
        <v>3.3000000000000002E-2</v>
      </c>
      <c r="Q17" s="75">
        <v>2.7997811278454687E-2</v>
      </c>
      <c r="R17" s="75">
        <v>2.7997811278454687E-2</v>
      </c>
      <c r="S17" s="75">
        <v>2.7997811278454687E-2</v>
      </c>
      <c r="T17" s="75">
        <v>2.7997811278454687E-2</v>
      </c>
      <c r="U17" s="26"/>
      <c r="V17" s="26"/>
      <c r="W17" s="26"/>
    </row>
    <row r="18" spans="1:23" s="5" customFormat="1" ht="10.5" x14ac:dyDescent="0.2">
      <c r="A18" s="26"/>
      <c r="B18" s="26"/>
      <c r="C18" s="42"/>
      <c r="D18" s="27"/>
      <c r="E18" s="28"/>
      <c r="F18" s="27"/>
      <c r="G18" s="28"/>
      <c r="H18" s="28"/>
      <c r="I18" s="27"/>
      <c r="J18" s="29"/>
      <c r="K18" s="29"/>
      <c r="L18" s="29"/>
      <c r="M18" s="29"/>
      <c r="N18" s="29"/>
      <c r="O18" s="134"/>
      <c r="P18" s="29"/>
      <c r="Q18" s="29"/>
      <c r="R18" s="29"/>
      <c r="S18" s="29"/>
      <c r="T18" s="29"/>
      <c r="U18" s="26"/>
      <c r="V18" s="26"/>
      <c r="W18" s="26"/>
    </row>
    <row r="19" spans="1:23" s="5" customFormat="1" x14ac:dyDescent="0.2">
      <c r="A19" s="26"/>
      <c r="B19" s="26"/>
      <c r="C19" s="76" t="s">
        <v>77</v>
      </c>
      <c r="D19" s="41" t="s">
        <v>93</v>
      </c>
      <c r="E19" s="28"/>
      <c r="F19" s="110" t="s">
        <v>22</v>
      </c>
      <c r="G19" s="28"/>
      <c r="H19" s="28"/>
      <c r="I19" s="28"/>
      <c r="J19" s="77"/>
      <c r="K19" s="75">
        <v>-9.8252646141938002E-3</v>
      </c>
      <c r="L19" s="75">
        <v>-1.0493456191476618E-2</v>
      </c>
      <c r="M19" s="75">
        <v>-1.0262247478872492E-2</v>
      </c>
      <c r="N19" s="75">
        <v>-9.6681803386212059E-3</v>
      </c>
      <c r="O19" s="136"/>
      <c r="P19" s="75">
        <v>-1.8560282730441528E-2</v>
      </c>
      <c r="Q19" s="75">
        <v>-1.1796269689429692E-2</v>
      </c>
      <c r="R19" s="75">
        <v>-9.2163946033419156E-3</v>
      </c>
      <c r="S19" s="75">
        <v>-1.2194995709093038E-2</v>
      </c>
      <c r="T19" s="75">
        <v>-1.3799589817157462E-2</v>
      </c>
      <c r="U19" s="26"/>
      <c r="V19" s="26"/>
      <c r="W19" s="26"/>
    </row>
    <row r="20" spans="1:23" s="5" customFormat="1" ht="10.5" x14ac:dyDescent="0.25">
      <c r="A20" s="26"/>
      <c r="B20" s="26"/>
      <c r="C20" s="78"/>
      <c r="D20" s="27"/>
      <c r="E20" s="28"/>
      <c r="F20" s="44"/>
      <c r="G20" s="28"/>
      <c r="H20" s="28"/>
      <c r="I20" s="28"/>
      <c r="J20" s="79"/>
      <c r="K20" s="79"/>
      <c r="L20" s="79"/>
      <c r="M20" s="79"/>
      <c r="N20" s="79"/>
      <c r="O20" s="137"/>
      <c r="P20" s="130"/>
      <c r="Q20" s="130"/>
      <c r="R20" s="130"/>
      <c r="S20" s="130"/>
      <c r="T20" s="130"/>
      <c r="U20" s="37"/>
      <c r="V20" s="26"/>
      <c r="W20" s="26"/>
    </row>
    <row r="21" spans="1:23" s="5" customFormat="1" ht="10.5" x14ac:dyDescent="0.25">
      <c r="A21" s="145"/>
      <c r="B21" s="145" t="s">
        <v>24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14"/>
      <c r="P21" s="145"/>
      <c r="Q21" s="145"/>
      <c r="R21" s="145"/>
      <c r="S21" s="145"/>
      <c r="T21" s="145"/>
      <c r="U21" s="145"/>
      <c r="V21" s="145"/>
      <c r="W21" s="145"/>
    </row>
    <row r="22" spans="1:23" x14ac:dyDescent="0.2">
      <c r="E22" s="26"/>
      <c r="F22" s="26"/>
      <c r="G22" s="74"/>
      <c r="H22" s="26"/>
      <c r="I22" s="26"/>
    </row>
    <row r="23" spans="1:23" ht="10.5" x14ac:dyDescent="0.25">
      <c r="E23" s="26"/>
      <c r="F23" s="36" t="s">
        <v>25</v>
      </c>
      <c r="G23" s="81" t="s">
        <v>20</v>
      </c>
      <c r="H23" s="26"/>
      <c r="I23" s="26"/>
      <c r="K23" s="36" t="s">
        <v>26</v>
      </c>
      <c r="N23" s="36"/>
      <c r="O23" s="138"/>
      <c r="P23" s="36"/>
      <c r="Q23" s="36"/>
      <c r="R23" s="36"/>
      <c r="S23" s="36"/>
      <c r="T23" s="36"/>
    </row>
    <row r="24" spans="1:23" x14ac:dyDescent="0.2">
      <c r="C24" s="38" t="s">
        <v>7</v>
      </c>
      <c r="E24" s="26"/>
      <c r="F24" s="27" t="s">
        <v>27</v>
      </c>
      <c r="G24" s="82" t="s">
        <v>14</v>
      </c>
      <c r="H24" s="26"/>
      <c r="I24" s="26"/>
    </row>
    <row r="25" spans="1:23" x14ac:dyDescent="0.2">
      <c r="C25" s="38" t="s">
        <v>18</v>
      </c>
      <c r="E25" s="26"/>
      <c r="F25" s="27" t="s">
        <v>28</v>
      </c>
      <c r="G25" s="82" t="s">
        <v>29</v>
      </c>
      <c r="H25" s="26"/>
      <c r="I25" s="26"/>
    </row>
    <row r="26" spans="1:23" x14ac:dyDescent="0.2">
      <c r="C26" s="39">
        <v>43830</v>
      </c>
      <c r="D26" s="41"/>
      <c r="E26" s="26"/>
      <c r="F26" s="146">
        <v>116.2</v>
      </c>
      <c r="G26" s="40">
        <v>1.8404907975460238E-2</v>
      </c>
      <c r="H26" s="56"/>
      <c r="I26" s="26"/>
      <c r="K26" s="8" t="str">
        <f>IF(INDEX('Lookup Tables'!$I$60:$I$61,MATCH(DNSP,'Lookup Tables'!$G$60:$G$61))="Vic",INDEX('Lookup Tables'!$L$24:$L$46,MATCH(EDATE(C26,18),'Lookup Tables'!$H$24:$H$46)),INDEX('Lookup Tables'!$I$24:$I$46,MATCH(EDATE(C26,18),'Lookup Tables'!$H$24:$H$46)))</f>
        <v>2020–21</v>
      </c>
      <c r="N26" s="68" t="str">
        <f>IF(LEFT(K26,2)="HY",F26/#REF!-1,"")</f>
        <v/>
      </c>
      <c r="O26" s="139"/>
      <c r="P26" s="68"/>
      <c r="Q26" s="68"/>
      <c r="R26" s="68"/>
      <c r="S26" s="68"/>
      <c r="T26" s="68"/>
    </row>
    <row r="27" spans="1:23" x14ac:dyDescent="0.2">
      <c r="C27" s="39">
        <v>44196</v>
      </c>
      <c r="D27" s="26"/>
      <c r="E27" s="26"/>
      <c r="F27" s="146">
        <v>117.2</v>
      </c>
      <c r="G27" s="40">
        <f>F27/F26-1</f>
        <v>8.6058519793459354E-3</v>
      </c>
      <c r="H27" s="56"/>
      <c r="I27" s="26"/>
      <c r="K27" s="8" t="str">
        <f>IF(INDEX('Lookup Tables'!$I$60:$I$61,MATCH(DNSP,'Lookup Tables'!$G$60:$G$61))="Vic",INDEX('Lookup Tables'!$L$24:$L$46,MATCH(EDATE(C27,18),'Lookup Tables'!$H$24:$H$46)),INDEX('Lookup Tables'!$I$24:$I$46,MATCH(EDATE(C27,18),'Lookup Tables'!$H$24:$H$46)))</f>
        <v>2021–22</v>
      </c>
    </row>
    <row r="28" spans="1:23" x14ac:dyDescent="0.2">
      <c r="C28" s="39">
        <v>44561</v>
      </c>
      <c r="E28" s="26"/>
      <c r="F28" s="146">
        <v>121.3</v>
      </c>
      <c r="G28" s="40">
        <f t="shared" ref="G28:G29" si="0">F28/F27-1</f>
        <v>3.4982935153583528E-2</v>
      </c>
      <c r="H28" s="26"/>
      <c r="I28" s="26"/>
      <c r="K28" s="8" t="str">
        <f>IF(INDEX('Lookup Tables'!$I$60:$I$61,MATCH(DNSP,'Lookup Tables'!$G$60:$G$61))="Vic",INDEX('Lookup Tables'!$L$24:$L$46,MATCH(EDATE(C28,18),'Lookup Tables'!$H$24:$H$46)),INDEX('Lookup Tables'!$I$24:$I$46,MATCH(EDATE(C28,18),'Lookup Tables'!$H$24:$H$46)))</f>
        <v>2022–23</v>
      </c>
    </row>
    <row r="29" spans="1:23" x14ac:dyDescent="0.2">
      <c r="C29" s="39">
        <v>44926</v>
      </c>
      <c r="E29" s="26"/>
      <c r="F29" s="146">
        <v>130.80000000000001</v>
      </c>
      <c r="G29" s="40">
        <f t="shared" si="0"/>
        <v>7.8318219291014124E-2</v>
      </c>
      <c r="H29" s="26"/>
      <c r="I29" s="26"/>
      <c r="K29" s="8" t="str">
        <f>IF(INDEX('Lookup Tables'!$I$60:$I$61,MATCH(DNSP,'Lookup Tables'!$G$60:$G$61))="Vic",INDEX('Lookup Tables'!$L$24:$L$46,MATCH(EDATE(C29,18),'Lookup Tables'!$H$24:$H$46)),INDEX('Lookup Tables'!$I$24:$I$46,MATCH(EDATE(C29,18),'Lookup Tables'!$H$24:$H$46)))</f>
        <v>2023–24</v>
      </c>
    </row>
    <row r="30" spans="1:23" x14ac:dyDescent="0.2">
      <c r="C30" s="39">
        <v>45170</v>
      </c>
      <c r="E30" s="26"/>
      <c r="F30" s="146"/>
      <c r="G30" s="40">
        <v>5.37383177570094E-2</v>
      </c>
      <c r="H30" s="26"/>
      <c r="I30" s="26"/>
      <c r="K30" s="8" t="s">
        <v>78</v>
      </c>
    </row>
    <row r="31" spans="1:23" x14ac:dyDescent="0.2">
      <c r="C31" s="39">
        <v>45657</v>
      </c>
      <c r="E31" s="26"/>
      <c r="F31" s="146"/>
      <c r="G31" s="40" t="str">
        <f>IF(MATCH(C31,$C$26:$C$47,0)&lt;=4,"",IF(AND(C31&gt;=IF(INDEX('Lookup Tables'!$I$60:$I$61,MATCH(DNSP,'Lookup Tables'!$G$60:$G$61,0))="Vic",(INDEX('Lookup Tables'!$K$24:$K$46,MATCH(currentyear,'Lookup Tables'!$L$24:$L$46,0))),(INDEX('Lookup Tables'!$H$24:$H$46,MATCH(currentyear,'Lookup Tables'!$I$24:$I$46,0)))),C31&lt;='Lookup Tables'!$H$54),'General Inputs'!#REF!,IF(ISBLANK(F31),"",IF(C31&gt;DATE('Lookup Tables'!#REF!,MONTH(#REF!),31),F31/F30-1,F31/F27-1))))</f>
        <v/>
      </c>
      <c r="H31" s="26"/>
      <c r="I31" s="26"/>
      <c r="K31" s="8" t="str">
        <f>IF(INDEX('Lookup Tables'!$I$60:$I$61,MATCH(DNSP,'Lookup Tables'!$G$60:$G$61))="Vic",INDEX('Lookup Tables'!$L$24:$L$46,MATCH(EDATE(C31,18),'Lookup Tables'!$H$24:$H$46)),INDEX('Lookup Tables'!$I$24:$I$46,MATCH(EDATE(C31,18),'Lookup Tables'!$H$24:$H$46)))</f>
        <v>2025–26</v>
      </c>
    </row>
    <row r="32" spans="1:23" x14ac:dyDescent="0.2">
      <c r="C32" s="39">
        <v>46022</v>
      </c>
      <c r="E32" s="26"/>
      <c r="F32" s="146"/>
      <c r="G32" s="40"/>
      <c r="H32" s="26"/>
      <c r="I32" s="26"/>
      <c r="K32" s="8" t="str">
        <f>IF(INDEX('Lookup Tables'!$I$60:$I$61,MATCH(DNSP,'Lookup Tables'!$G$60:$G$61))="Vic",INDEX('Lookup Tables'!$L$24:$L$46,MATCH(EDATE(C32,18),'Lookup Tables'!$H$24:$H$46)),INDEX('Lookup Tables'!$I$24:$I$46,MATCH(EDATE(C32,18),'Lookup Tables'!$H$24:$H$46)))</f>
        <v>2026–27</v>
      </c>
    </row>
    <row r="33" spans="3:11" hidden="1" outlineLevel="1" x14ac:dyDescent="0.2">
      <c r="C33" s="39">
        <v>46387</v>
      </c>
      <c r="E33" s="26"/>
      <c r="F33" s="83"/>
      <c r="G33" s="40" t="e">
        <f>IF(MATCH(C33,$C$26:$C$47,0)&lt;=4,"",IF(AND(C33&gt;=IF(INDEX('Lookup Tables'!$I$60:$I$61,MATCH(DNSP,'Lookup Tables'!$G$60:$G$61,0))="Vic",(INDEX('Lookup Tables'!$K$24:$K$46,MATCH(currentyear,'Lookup Tables'!$L$24:$L$46,0))),(INDEX('Lookup Tables'!$H$24:$H$46,MATCH(currentyear,'Lookup Tables'!$I$24:$I$46,0)))),C33&lt;='Lookup Tables'!$H$54),'General Inputs'!#REF!,IF(ISBLANK(F33),"",IF(C33&gt;DATE('Lookup Tables'!#REF!,MONTH(#REF!),31),F33/F32-1,F33/F29-1))))</f>
        <v>#REF!</v>
      </c>
      <c r="H33" s="26"/>
      <c r="I33" s="26"/>
      <c r="K33" s="8" t="str">
        <f>IF(INDEX('Lookup Tables'!$I$60:$I$61,MATCH(DNSP,'Lookup Tables'!$G$60:$G$61))="Vic",INDEX('Lookup Tables'!$L$24:$L$46,MATCH(EDATE(C33,18),'Lookup Tables'!$H$24:$H$46)),INDEX('Lookup Tables'!$I$24:$I$46,MATCH(EDATE(C33,18),'Lookup Tables'!$H$24:$H$46)))</f>
        <v>2027–28</v>
      </c>
    </row>
    <row r="34" spans="3:11" hidden="1" outlineLevel="1" x14ac:dyDescent="0.2">
      <c r="C34" s="39">
        <v>46752</v>
      </c>
      <c r="E34" s="26"/>
      <c r="F34" s="83"/>
      <c r="G34" s="40" t="e">
        <f>IF(MATCH(C34,$C$26:$C$47,0)&lt;=4,"",IF(AND(C34&gt;=IF(INDEX('Lookup Tables'!$I$60:$I$61,MATCH(DNSP,'Lookup Tables'!$G$60:$G$61,0))="Vic",(INDEX('Lookup Tables'!$K$24:$K$46,MATCH(currentyear,'Lookup Tables'!$L$24:$L$46,0))),(INDEX('Lookup Tables'!$H$24:$H$46,MATCH(currentyear,'Lookup Tables'!$I$24:$I$46,0)))),C34&lt;='Lookup Tables'!$H$54),'General Inputs'!#REF!,IF(ISBLANK(F34),"",IF(C34&gt;DATE('Lookup Tables'!#REF!,MONTH(#REF!),31),F34/F33-1,F34/F30-1))))</f>
        <v>#REF!</v>
      </c>
      <c r="H34" s="26"/>
      <c r="I34" s="26"/>
      <c r="K34" s="8" t="str">
        <f>IF(INDEX('Lookup Tables'!$I$60:$I$61,MATCH(DNSP,'Lookup Tables'!$G$60:$G$61))="Vic",INDEX('Lookup Tables'!$L$24:$L$46,MATCH(EDATE(C34,18),'Lookup Tables'!$H$24:$H$46)),INDEX('Lookup Tables'!$I$24:$I$46,MATCH(EDATE(C34,18),'Lookup Tables'!$H$24:$H$46)))</f>
        <v>2028–29</v>
      </c>
    </row>
    <row r="35" spans="3:11" hidden="1" outlineLevel="1" x14ac:dyDescent="0.2">
      <c r="C35" s="39">
        <v>47118</v>
      </c>
      <c r="E35" s="26"/>
      <c r="F35" s="83"/>
      <c r="G35" s="40" t="e">
        <f>IF(MATCH(C35,$C$26:$C$47,0)&lt;=4,"",IF(AND(C35&gt;=IF(INDEX('Lookup Tables'!$I$60:$I$61,MATCH(DNSP,'Lookup Tables'!$G$60:$G$61,0))="Vic",(INDEX('Lookup Tables'!$K$24:$K$46,MATCH(currentyear,'Lookup Tables'!$L$24:$L$46,0))),(INDEX('Lookup Tables'!$H$24:$H$46,MATCH(currentyear,'Lookup Tables'!$I$24:$I$46,0)))),C35&lt;='Lookup Tables'!$H$54),'General Inputs'!#REF!,IF(ISBLANK(F35),"",IF(C35&gt;DATE('Lookup Tables'!#REF!,MONTH(#REF!),31),F35/F34-1,F35/F31-1))))</f>
        <v>#REF!</v>
      </c>
      <c r="H35" s="26"/>
      <c r="I35" s="26"/>
      <c r="K35" s="8" t="str">
        <f>IF(INDEX('Lookup Tables'!$I$60:$I$61,MATCH(DNSP,'Lookup Tables'!$G$60:$G$61))="Vic",INDEX('Lookup Tables'!$L$24:$L$46,MATCH(EDATE(C35,18),'Lookup Tables'!$H$24:$H$46)),INDEX('Lookup Tables'!$I$24:$I$46,MATCH(EDATE(C35,18),'Lookup Tables'!$H$24:$H$46)))</f>
        <v>2029–30</v>
      </c>
    </row>
    <row r="36" spans="3:11" hidden="1" outlineLevel="1" x14ac:dyDescent="0.2">
      <c r="C36" s="39">
        <v>47483</v>
      </c>
      <c r="E36" s="26"/>
      <c r="F36" s="83"/>
      <c r="G36" s="40" t="str">
        <f>IF(MATCH(C36,$C$26:$C$47,0)&lt;=4,"",IF(AND(C36&gt;=IF(INDEX('Lookup Tables'!$I$60:$I$61,MATCH(DNSP,'Lookup Tables'!$G$60:$G$61,0))="Vic",(INDEX('Lookup Tables'!$K$24:$K$46,MATCH(currentyear,'Lookup Tables'!$L$24:$L$46,0))),(INDEX('Lookup Tables'!$H$24:$H$46,MATCH(currentyear,'Lookup Tables'!$I$24:$I$46,0)))),C36&lt;='Lookup Tables'!$H$54),'General Inputs'!#REF!,IF(ISBLANK(F36),"",IF(C36&gt;DATE('Lookup Tables'!#REF!,MONTH(#REF!),31),F36/F35-1,F36/F32-1))))</f>
        <v/>
      </c>
      <c r="H36" s="26"/>
      <c r="I36" s="26"/>
      <c r="K36" s="8" t="str">
        <f>IF(INDEX('Lookup Tables'!$I$60:$I$61,MATCH(DNSP,'Lookup Tables'!$G$60:$G$61))="Vic",INDEX('Lookup Tables'!$L$24:$L$46,MATCH(EDATE(C36,18),'Lookup Tables'!$H$24:$H$46)),INDEX('Lookup Tables'!$I$24:$I$46,MATCH(EDATE(C36,18),'Lookup Tables'!$H$24:$H$46)))</f>
        <v>2030–31</v>
      </c>
    </row>
    <row r="37" spans="3:11" hidden="1" outlineLevel="1" x14ac:dyDescent="0.2">
      <c r="C37" s="39">
        <v>47848</v>
      </c>
      <c r="E37" s="26"/>
      <c r="F37" s="83"/>
      <c r="G37" s="40" t="str">
        <f>IF(MATCH(C37,$C$26:$C$47,0)&lt;=4,"",IF(AND(C37&gt;=IF(INDEX('Lookup Tables'!$I$60:$I$61,MATCH(DNSP,'Lookup Tables'!$G$60:$G$61,0))="Vic",(INDEX('Lookup Tables'!$K$24:$K$46,MATCH(currentyear,'Lookup Tables'!$L$24:$L$46,0))),(INDEX('Lookup Tables'!$H$24:$H$46,MATCH(currentyear,'Lookup Tables'!$I$24:$I$46,0)))),C37&lt;='Lookup Tables'!$H$54),'General Inputs'!#REF!,IF(ISBLANK(F37),"",IF(C37&gt;DATE('Lookup Tables'!#REF!,MONTH(#REF!),31),F37/F36-1,F37/F33-1))))</f>
        <v/>
      </c>
      <c r="H37" s="26"/>
      <c r="I37" s="26"/>
      <c r="K37" s="8" t="str">
        <f>IF(INDEX('Lookup Tables'!$I$60:$I$61,MATCH(DNSP,'Lookup Tables'!$G$60:$G$61))="Vic",INDEX('Lookup Tables'!$L$24:$L$46,MATCH(EDATE(C37,18),'Lookup Tables'!$H$24:$H$46)),INDEX('Lookup Tables'!$I$24:$I$46,MATCH(EDATE(C37,18),'Lookup Tables'!$H$24:$H$46)))</f>
        <v>2031–32</v>
      </c>
    </row>
    <row r="38" spans="3:11" hidden="1" outlineLevel="1" x14ac:dyDescent="0.2">
      <c r="C38" s="39">
        <v>48213</v>
      </c>
      <c r="E38" s="26"/>
      <c r="F38" s="83"/>
      <c r="G38" s="40" t="str">
        <f>IF(MATCH(C38,$C$26:$C$47,0)&lt;=4,"",IF(AND(C38&gt;=IF(INDEX('Lookup Tables'!$I$60:$I$61,MATCH(DNSP,'Lookup Tables'!$G$60:$G$61,0))="Vic",(INDEX('Lookup Tables'!$K$24:$K$46,MATCH(currentyear,'Lookup Tables'!$L$24:$L$46,0))),(INDEX('Lookup Tables'!$H$24:$H$46,MATCH(currentyear,'Lookup Tables'!$I$24:$I$46,0)))),C38&lt;='Lookup Tables'!$H$54),'General Inputs'!#REF!,IF(ISBLANK(F38),"",IF(C38&gt;DATE('Lookup Tables'!#REF!,MONTH(#REF!),31),F38/F37-1,F38/F34-1))))</f>
        <v/>
      </c>
      <c r="H38" s="26"/>
      <c r="I38" s="26"/>
      <c r="K38" s="8" t="str">
        <f>IF(INDEX('Lookup Tables'!$I$60:$I$61,MATCH(DNSP,'Lookup Tables'!$G$60:$G$61))="Vic",INDEX('Lookup Tables'!$L$24:$L$46,MATCH(EDATE(C38,18),'Lookup Tables'!$H$24:$H$46)),INDEX('Lookup Tables'!$I$24:$I$46,MATCH(EDATE(C38,18),'Lookup Tables'!$H$24:$H$46)))</f>
        <v>2032–33</v>
      </c>
    </row>
    <row r="39" spans="3:11" hidden="1" outlineLevel="1" x14ac:dyDescent="0.2">
      <c r="C39" s="39">
        <v>48579</v>
      </c>
      <c r="E39" s="26"/>
      <c r="F39" s="83"/>
      <c r="G39" s="40" t="str">
        <f>IF(MATCH(C39,$C$26:$C$47,0)&lt;=4,"",IF(AND(C39&gt;=IF(INDEX('Lookup Tables'!$I$60:$I$61,MATCH(DNSP,'Lookup Tables'!$G$60:$G$61,0))="Vic",(INDEX('Lookup Tables'!$K$24:$K$46,MATCH(currentyear,'Lookup Tables'!$L$24:$L$46,0))),(INDEX('Lookup Tables'!$H$24:$H$46,MATCH(currentyear,'Lookup Tables'!$I$24:$I$46,0)))),C39&lt;='Lookup Tables'!$H$54),'General Inputs'!#REF!,IF(ISBLANK(F39),"",IF(C39&gt;DATE('Lookup Tables'!#REF!,MONTH(#REF!),31),F39/F38-1,F39/F35-1))))</f>
        <v/>
      </c>
      <c r="H39" s="26"/>
      <c r="I39" s="26"/>
      <c r="K39" s="8" t="str">
        <f>IF(INDEX('Lookup Tables'!$I$60:$I$61,MATCH(DNSP,'Lookup Tables'!$G$60:$G$61))="Vic",INDEX('Lookup Tables'!$L$24:$L$46,MATCH(EDATE(C39,18),'Lookup Tables'!$H$24:$H$46)),INDEX('Lookup Tables'!$I$24:$I$46,MATCH(EDATE(C39,18),'Lookup Tables'!$H$24:$H$46)))</f>
        <v>2033–34</v>
      </c>
    </row>
    <row r="40" spans="3:11" hidden="1" outlineLevel="1" x14ac:dyDescent="0.2">
      <c r="C40" s="39">
        <v>48944</v>
      </c>
      <c r="E40" s="26"/>
      <c r="F40" s="83"/>
      <c r="G40" s="40" t="str">
        <f>IF(MATCH(C40,$C$26:$C$47,0)&lt;=4,"",IF(AND(C40&gt;=IF(INDEX('Lookup Tables'!$I$60:$I$61,MATCH(DNSP,'Lookup Tables'!$G$60:$G$61,0))="Vic",(INDEX('Lookup Tables'!$K$24:$K$46,MATCH(currentyear,'Lookup Tables'!$L$24:$L$46,0))),(INDEX('Lookup Tables'!$H$24:$H$46,MATCH(currentyear,'Lookup Tables'!$I$24:$I$46,0)))),C40&lt;='Lookup Tables'!$H$54),'General Inputs'!#REF!,IF(ISBLANK(F40),"",IF(C40&gt;DATE('Lookup Tables'!#REF!,MONTH(#REF!),31),F40/F39-1,F40/F36-1))))</f>
        <v/>
      </c>
      <c r="H40" s="26"/>
      <c r="I40" s="26"/>
      <c r="K40" s="8" t="str">
        <f>IF(INDEX('Lookup Tables'!$I$60:$I$61,MATCH(DNSP,'Lookup Tables'!$G$60:$G$61))="Vic",INDEX('Lookup Tables'!$L$24:$L$46,MATCH(EDATE(C40,18),'Lookup Tables'!$H$24:$H$46)),INDEX('Lookup Tables'!$I$24:$I$46,MATCH(EDATE(C40,18),'Lookup Tables'!$H$24:$H$46)))</f>
        <v>2034–35</v>
      </c>
    </row>
    <row r="41" spans="3:11" hidden="1" outlineLevel="1" x14ac:dyDescent="0.2">
      <c r="C41" s="39">
        <v>49309</v>
      </c>
      <c r="E41" s="26"/>
      <c r="F41" s="83"/>
      <c r="G41" s="40" t="str">
        <f>IF(MATCH(C41,$C$26:$C$47,0)&lt;=4,"",IF(AND(C41&gt;=IF(INDEX('Lookup Tables'!$I$60:$I$61,MATCH(DNSP,'Lookup Tables'!$G$60:$G$61,0))="Vic",(INDEX('Lookup Tables'!$K$24:$K$46,MATCH(currentyear,'Lookup Tables'!$L$24:$L$46,0))),(INDEX('Lookup Tables'!$H$24:$H$46,MATCH(currentyear,'Lookup Tables'!$I$24:$I$46,0)))),C41&lt;='Lookup Tables'!$H$54),'General Inputs'!#REF!,IF(ISBLANK(F41),"",IF(C41&gt;DATE('Lookup Tables'!#REF!,MONTH(#REF!),31),F41/F40-1,F41/F37-1))))</f>
        <v/>
      </c>
      <c r="H41" s="26"/>
      <c r="I41" s="26"/>
      <c r="K41" s="8" t="str">
        <f>IF(INDEX('Lookup Tables'!$I$60:$I$61,MATCH(DNSP,'Lookup Tables'!$G$60:$G$61))="Vic",INDEX('Lookup Tables'!$L$24:$L$46,MATCH(EDATE(C41,18),'Lookup Tables'!$H$24:$H$46)),INDEX('Lookup Tables'!$I$24:$I$46,MATCH(EDATE(C41,18),'Lookup Tables'!$H$24:$H$46)))</f>
        <v>2035–36</v>
      </c>
    </row>
    <row r="42" spans="3:11" hidden="1" outlineLevel="1" x14ac:dyDescent="0.2">
      <c r="C42" s="39">
        <v>49674</v>
      </c>
      <c r="E42" s="26"/>
      <c r="F42" s="83"/>
      <c r="G42" s="40" t="str">
        <f>IF(MATCH(C42,$C$26:$C$47,0)&lt;=4,"",IF(AND(C42&gt;=IF(INDEX('Lookup Tables'!$I$60:$I$61,MATCH(DNSP,'Lookup Tables'!$G$60:$G$61,0))="Vic",(INDEX('Lookup Tables'!$K$24:$K$46,MATCH(currentyear,'Lookup Tables'!$L$24:$L$46,0))),(INDEX('Lookup Tables'!$H$24:$H$46,MATCH(currentyear,'Lookup Tables'!$I$24:$I$46,0)))),C42&lt;='Lookup Tables'!$H$54),'General Inputs'!#REF!,IF(ISBLANK(F42),"",IF(C42&gt;DATE('Lookup Tables'!#REF!,MONTH(#REF!),31),F42/F41-1,F42/F38-1))))</f>
        <v/>
      </c>
      <c r="H42" s="26"/>
      <c r="I42" s="26"/>
      <c r="K42" s="8" t="str">
        <f>IF(INDEX('Lookup Tables'!$I$60:$I$61,MATCH(DNSP,'Lookup Tables'!$G$60:$G$61))="Vic",INDEX('Lookup Tables'!$L$24:$L$46,MATCH(EDATE(C42,18),'Lookup Tables'!$H$24:$H$46)),INDEX('Lookup Tables'!$I$24:$I$46,MATCH(EDATE(C42,18),'Lookup Tables'!$H$24:$H$46)))</f>
        <v>2036–37</v>
      </c>
    </row>
    <row r="43" spans="3:11" hidden="1" outlineLevel="1" x14ac:dyDescent="0.2">
      <c r="C43" s="39">
        <v>50040</v>
      </c>
      <c r="E43" s="26"/>
      <c r="F43" s="83"/>
      <c r="G43" s="40" t="str">
        <f>IF(MATCH(C43,$C$26:$C$47,0)&lt;=4,"",IF(AND(C43&gt;=IF(INDEX('Lookup Tables'!$I$60:$I$61,MATCH(DNSP,'Lookup Tables'!$G$60:$G$61,0))="Vic",(INDEX('Lookup Tables'!$K$24:$K$46,MATCH(currentyear,'Lookup Tables'!$L$24:$L$46,0))),(INDEX('Lookup Tables'!$H$24:$H$46,MATCH(currentyear,'Lookup Tables'!$I$24:$I$46,0)))),C43&lt;='Lookup Tables'!$H$54),'General Inputs'!#REF!,IF(ISBLANK(F43),"",IF(C43&gt;DATE('Lookup Tables'!#REF!,MONTH(#REF!),31),F43/F42-1,F43/F39-1))))</f>
        <v/>
      </c>
      <c r="H43" s="26"/>
      <c r="I43" s="26"/>
      <c r="K43" s="8" t="str">
        <f>IF(INDEX('Lookup Tables'!$I$60:$I$61,MATCH(DNSP,'Lookup Tables'!$G$60:$G$61))="Vic",INDEX('Lookup Tables'!$L$24:$L$46,MATCH(EDATE(C43,18),'Lookup Tables'!$H$24:$H$46)),INDEX('Lookup Tables'!$I$24:$I$46,MATCH(EDATE(C43,18),'Lookup Tables'!$H$24:$H$46)))</f>
        <v>2037–38</v>
      </c>
    </row>
    <row r="44" spans="3:11" hidden="1" outlineLevel="1" x14ac:dyDescent="0.2">
      <c r="C44" s="39">
        <v>50405</v>
      </c>
      <c r="E44" s="26"/>
      <c r="F44" s="83"/>
      <c r="G44" s="40" t="str">
        <f>IF(MATCH(C44,$C$26:$C$47,0)&lt;=4,"",IF(AND(C44&gt;=IF(INDEX('Lookup Tables'!$I$60:$I$61,MATCH(DNSP,'Lookup Tables'!$G$60:$G$61,0))="Vic",(INDEX('Lookup Tables'!$K$24:$K$46,MATCH(currentyear,'Lookup Tables'!$L$24:$L$46,0))),(INDEX('Lookup Tables'!$H$24:$H$46,MATCH(currentyear,'Lookup Tables'!$I$24:$I$46,0)))),C44&lt;='Lookup Tables'!$H$54),'General Inputs'!#REF!,IF(ISBLANK(F44),"",IF(C44&gt;DATE('Lookup Tables'!#REF!,MONTH(#REF!),31),F44/F43-1,F44/F40-1))))</f>
        <v/>
      </c>
      <c r="H44" s="26"/>
      <c r="I44" s="26"/>
      <c r="K44" s="8" t="str">
        <f>IF(INDEX('Lookup Tables'!$I$60:$I$61,MATCH(DNSP,'Lookup Tables'!$G$60:$G$61))="Vic",INDEX('Lookup Tables'!$L$24:$L$46,MATCH(EDATE(C44,18),'Lookup Tables'!$H$24:$H$46)),INDEX('Lookup Tables'!$I$24:$I$46,MATCH(EDATE(C44,18),'Lookup Tables'!$H$24:$H$46)))</f>
        <v>2038–39</v>
      </c>
    </row>
    <row r="45" spans="3:11" hidden="1" outlineLevel="1" x14ac:dyDescent="0.2">
      <c r="C45" s="39">
        <v>50770</v>
      </c>
      <c r="E45" s="26"/>
      <c r="F45" s="83"/>
      <c r="G45" s="40" t="str">
        <f>IF(MATCH(C45,$C$26:$C$47,0)&lt;=4,"",IF(AND(C45&gt;=IF(INDEX('Lookup Tables'!$I$60:$I$61,MATCH(DNSP,'Lookup Tables'!$G$60:$G$61,0))="Vic",(INDEX('Lookup Tables'!$K$24:$K$46,MATCH(currentyear,'Lookup Tables'!$L$24:$L$46,0))),(INDEX('Lookup Tables'!$H$24:$H$46,MATCH(currentyear,'Lookup Tables'!$I$24:$I$46,0)))),C45&lt;='Lookup Tables'!$H$54),'General Inputs'!#REF!,IF(ISBLANK(F45),"",IF(C45&gt;DATE('Lookup Tables'!#REF!,MONTH(#REF!),31),F45/F44-1,F45/F41-1))))</f>
        <v/>
      </c>
      <c r="H45" s="26"/>
      <c r="I45" s="26"/>
      <c r="K45" s="8" t="str">
        <f>IF(INDEX('Lookup Tables'!$I$60:$I$61,MATCH(DNSP,'Lookup Tables'!$G$60:$G$61))="Vic",INDEX('Lookup Tables'!$L$24:$L$46,MATCH(EDATE(C45,18),'Lookup Tables'!$H$24:$H$46)),INDEX('Lookup Tables'!$I$24:$I$46,MATCH(EDATE(C45,18),'Lookup Tables'!$H$24:$H$46)))</f>
        <v>2039–40</v>
      </c>
    </row>
    <row r="46" spans="3:11" hidden="1" outlineLevel="1" x14ac:dyDescent="0.2">
      <c r="C46" s="39">
        <v>51135</v>
      </c>
      <c r="E46" s="26"/>
      <c r="F46" s="83"/>
      <c r="G46" s="40" t="str">
        <f>IF(MATCH(C46,$C$26:$C$47,0)&lt;=4,"",IF(AND(C46&gt;=IF(INDEX('Lookup Tables'!$I$60:$I$61,MATCH(DNSP,'Lookup Tables'!$G$60:$G$61,0))="Vic",(INDEX('Lookup Tables'!$K$24:$K$46,MATCH(currentyear,'Lookup Tables'!$L$24:$L$46,0))),(INDEX('Lookup Tables'!$H$24:$H$46,MATCH(currentyear,'Lookup Tables'!$I$24:$I$46,0)))),C46&lt;='Lookup Tables'!$H$54),'General Inputs'!#REF!,IF(ISBLANK(F46),"",IF(C46&gt;DATE('Lookup Tables'!#REF!,MONTH(#REF!),31),F46/F45-1,F46/F42-1))))</f>
        <v/>
      </c>
      <c r="H46" s="26"/>
      <c r="I46" s="26"/>
      <c r="K46" s="8" t="str">
        <f>IF(INDEX('Lookup Tables'!$I$60:$I$61,MATCH(DNSP,'Lookup Tables'!$G$60:$G$61))="Vic",INDEX('Lookup Tables'!$L$24:$L$46,MATCH(EDATE(C46,18),'Lookup Tables'!$H$24:$H$46)),INDEX('Lookup Tables'!$I$24:$I$46,MATCH(EDATE(C46,18),'Lookup Tables'!$H$24:$H$46)))</f>
        <v>2040–41</v>
      </c>
    </row>
    <row r="47" spans="3:11" hidden="1" outlineLevel="1" x14ac:dyDescent="0.2">
      <c r="C47" s="39">
        <v>51501</v>
      </c>
      <c r="E47" s="26"/>
      <c r="F47" s="83"/>
      <c r="G47" s="40" t="str">
        <f>IF(MATCH(C47,$C$26:$C$47,0)&lt;=4,"",IF(AND(C47&gt;=IF(INDEX('Lookup Tables'!$I$60:$I$61,MATCH(DNSP,'Lookup Tables'!$G$60:$G$61,0))="Vic",(INDEX('Lookup Tables'!$K$24:$K$46,MATCH(currentyear,'Lookup Tables'!$L$24:$L$46,0))),(INDEX('Lookup Tables'!$H$24:$H$46,MATCH(currentyear,'Lookup Tables'!$I$24:$I$46,0)))),C47&lt;='Lookup Tables'!$H$54),'General Inputs'!#REF!,IF(ISBLANK(F47),"",IF(C47&gt;DATE('Lookup Tables'!#REF!,MONTH(#REF!),31),F47/F46-1,F47/F43-1))))</f>
        <v/>
      </c>
      <c r="H47" s="26"/>
      <c r="I47" s="26"/>
      <c r="K47" s="8" t="str">
        <f>IF(INDEX('Lookup Tables'!$I$60:$I$61,MATCH(DNSP,'Lookup Tables'!$G$60:$G$61))="Vic",INDEX('Lookup Tables'!$L$24:$L$46,MATCH(EDATE(C47,18),'Lookup Tables'!$H$24:$H$46)),INDEX('Lookup Tables'!$I$24:$I$46,MATCH(EDATE(C47,18),'Lookup Tables'!$H$24:$H$46)))</f>
        <v>2041–42</v>
      </c>
    </row>
    <row r="48" spans="3:11" collapsed="1" x14ac:dyDescent="0.2">
      <c r="D48" s="26"/>
      <c r="E48" s="26"/>
      <c r="F48" s="26"/>
      <c r="G48" s="26"/>
      <c r="H48" s="26"/>
      <c r="I48" s="26"/>
    </row>
    <row r="49" spans="1:23" s="145" customFormat="1" ht="10.5" x14ac:dyDescent="0.25">
      <c r="B49" s="145" t="s">
        <v>3</v>
      </c>
      <c r="O49" s="114"/>
    </row>
    <row r="50" spans="1:23" hidden="1" x14ac:dyDescent="0.2">
      <c r="G50" s="28"/>
      <c r="H50" s="28"/>
    </row>
    <row r="51" spans="1:23" hidden="1" x14ac:dyDescent="0.2">
      <c r="G51" s="28"/>
      <c r="H51" s="28"/>
    </row>
    <row r="52" spans="1:23" hidden="1" x14ac:dyDescent="0.2">
      <c r="G52" s="28"/>
      <c r="H52" s="28"/>
    </row>
    <row r="53" spans="1:23" hidden="1" x14ac:dyDescent="0.2">
      <c r="G53" s="28"/>
      <c r="H53" s="28"/>
    </row>
    <row r="54" spans="1:23" hidden="1" x14ac:dyDescent="0.2">
      <c r="G54" s="28"/>
      <c r="H54" s="28"/>
    </row>
    <row r="55" spans="1:23" s="27" customFormat="1" hidden="1" x14ac:dyDescent="0.2">
      <c r="A55" s="26"/>
      <c r="B55" s="26"/>
      <c r="C55" s="26"/>
      <c r="G55" s="28"/>
      <c r="H55" s="28"/>
      <c r="J55" s="26"/>
      <c r="K55" s="26"/>
      <c r="L55" s="26"/>
      <c r="M55" s="26"/>
      <c r="N55" s="26"/>
      <c r="O55" s="113"/>
      <c r="P55" s="26"/>
      <c r="Q55" s="26"/>
      <c r="R55" s="26"/>
      <c r="S55" s="26"/>
      <c r="T55" s="26"/>
      <c r="U55" s="26"/>
      <c r="V55" s="26"/>
      <c r="W55" s="26"/>
    </row>
    <row r="56" spans="1:23" s="27" customFormat="1" hidden="1" x14ac:dyDescent="0.2">
      <c r="A56" s="26"/>
      <c r="B56" s="26"/>
      <c r="C56" s="26"/>
      <c r="G56" s="28"/>
      <c r="H56" s="28"/>
      <c r="J56" s="26"/>
      <c r="K56" s="26"/>
      <c r="L56" s="26"/>
      <c r="M56" s="26"/>
      <c r="N56" s="26"/>
      <c r="O56" s="113"/>
      <c r="P56" s="26"/>
      <c r="Q56" s="26"/>
      <c r="R56" s="26"/>
      <c r="S56" s="26"/>
      <c r="T56" s="26"/>
      <c r="U56" s="26"/>
      <c r="V56" s="26"/>
      <c r="W56" s="26"/>
    </row>
    <row r="57" spans="1:23" s="27" customFormat="1" hidden="1" x14ac:dyDescent="0.2">
      <c r="A57" s="26"/>
      <c r="B57" s="26"/>
      <c r="C57" s="26"/>
      <c r="G57" s="28"/>
      <c r="H57" s="28"/>
      <c r="J57" s="26"/>
      <c r="K57" s="26"/>
      <c r="L57" s="26"/>
      <c r="M57" s="26"/>
      <c r="N57" s="26"/>
      <c r="O57" s="113"/>
      <c r="P57" s="26"/>
      <c r="Q57" s="26"/>
      <c r="R57" s="26"/>
      <c r="S57" s="26"/>
      <c r="T57" s="26"/>
      <c r="U57" s="26"/>
      <c r="V57" s="26"/>
      <c r="W57" s="26"/>
    </row>
    <row r="58" spans="1:23" s="27" customFormat="1" hidden="1" x14ac:dyDescent="0.2">
      <c r="A58" s="26"/>
      <c r="B58" s="26"/>
      <c r="C58" s="26"/>
      <c r="G58" s="28"/>
      <c r="H58" s="28"/>
      <c r="J58" s="26"/>
      <c r="K58" s="26"/>
      <c r="L58" s="26"/>
      <c r="M58" s="26"/>
      <c r="N58" s="26"/>
      <c r="O58" s="113"/>
      <c r="P58" s="26"/>
      <c r="Q58" s="26"/>
      <c r="R58" s="26"/>
      <c r="S58" s="26"/>
      <c r="T58" s="26"/>
      <c r="U58" s="26"/>
      <c r="V58" s="26"/>
      <c r="W58" s="26"/>
    </row>
    <row r="59" spans="1:23" s="27" customFormat="1" hidden="1" x14ac:dyDescent="0.2">
      <c r="A59" s="26"/>
      <c r="B59" s="26"/>
      <c r="C59" s="26"/>
      <c r="G59" s="28"/>
      <c r="H59" s="28"/>
      <c r="J59" s="26"/>
      <c r="K59" s="26"/>
      <c r="L59" s="26"/>
      <c r="M59" s="26"/>
      <c r="N59" s="26"/>
      <c r="O59" s="113"/>
      <c r="P59" s="26"/>
      <c r="Q59" s="26"/>
      <c r="R59" s="26"/>
      <c r="S59" s="26"/>
      <c r="T59" s="26"/>
      <c r="U59" s="26"/>
      <c r="V59" s="26"/>
      <c r="W59" s="26"/>
    </row>
    <row r="60" spans="1:23" s="27" customFormat="1" hidden="1" x14ac:dyDescent="0.2">
      <c r="A60" s="26"/>
      <c r="B60" s="26"/>
      <c r="C60" s="26"/>
      <c r="J60" s="26"/>
      <c r="K60" s="26"/>
      <c r="L60" s="26"/>
      <c r="M60" s="26"/>
      <c r="N60" s="26"/>
      <c r="O60" s="113"/>
      <c r="P60" s="26"/>
      <c r="Q60" s="26"/>
      <c r="R60" s="26"/>
      <c r="S60" s="26"/>
      <c r="T60" s="26"/>
      <c r="U60" s="26"/>
      <c r="V60" s="26"/>
      <c r="W60" s="26"/>
    </row>
    <row r="61" spans="1:23" s="27" customFormat="1" hidden="1" x14ac:dyDescent="0.2">
      <c r="A61" s="26"/>
      <c r="B61" s="26"/>
      <c r="C61" s="26"/>
      <c r="J61" s="26"/>
      <c r="K61" s="26"/>
      <c r="L61" s="26"/>
      <c r="M61" s="26"/>
      <c r="N61" s="26"/>
      <c r="O61" s="113"/>
      <c r="P61" s="26"/>
      <c r="Q61" s="26"/>
      <c r="R61" s="26"/>
      <c r="S61" s="26"/>
      <c r="T61" s="26"/>
      <c r="U61" s="26"/>
      <c r="V61" s="26"/>
      <c r="W61" s="26"/>
    </row>
    <row r="62" spans="1:23" s="27" customFormat="1" hidden="1" x14ac:dyDescent="0.2">
      <c r="A62" s="26"/>
      <c r="B62" s="26"/>
      <c r="C62" s="26"/>
      <c r="J62" s="26"/>
      <c r="K62" s="26"/>
      <c r="L62" s="26"/>
      <c r="M62" s="26"/>
      <c r="N62" s="26"/>
      <c r="O62" s="113"/>
      <c r="P62" s="26"/>
      <c r="Q62" s="26"/>
      <c r="R62" s="26"/>
      <c r="S62" s="26"/>
      <c r="T62" s="26"/>
      <c r="U62" s="26"/>
      <c r="V62" s="26"/>
      <c r="W62" s="26"/>
    </row>
    <row r="63" spans="1:23" s="27" customFormat="1" hidden="1" x14ac:dyDescent="0.2">
      <c r="A63" s="26"/>
      <c r="B63" s="26"/>
      <c r="C63" s="26"/>
      <c r="J63" s="26"/>
      <c r="K63" s="26"/>
      <c r="L63" s="26"/>
      <c r="M63" s="26"/>
      <c r="N63" s="26"/>
      <c r="O63" s="113"/>
      <c r="P63" s="26"/>
      <c r="Q63" s="26"/>
      <c r="R63" s="26"/>
      <c r="S63" s="26"/>
      <c r="T63" s="26"/>
      <c r="U63" s="26"/>
      <c r="V63" s="26"/>
      <c r="W63" s="26"/>
    </row>
    <row r="64" spans="1:23" s="27" customFormat="1" hidden="1" x14ac:dyDescent="0.2">
      <c r="A64" s="26"/>
      <c r="B64" s="26"/>
      <c r="C64" s="26"/>
      <c r="J64" s="26"/>
      <c r="K64" s="26"/>
      <c r="L64" s="26"/>
      <c r="M64" s="26"/>
      <c r="N64" s="26"/>
      <c r="O64" s="113"/>
      <c r="P64" s="26"/>
      <c r="Q64" s="26"/>
      <c r="R64" s="26"/>
      <c r="S64" s="26"/>
      <c r="T64" s="26"/>
      <c r="U64" s="26"/>
      <c r="V64" s="26"/>
      <c r="W64" s="26"/>
    </row>
    <row r="65" spans="1:23" s="27" customFormat="1" hidden="1" x14ac:dyDescent="0.2">
      <c r="A65" s="26"/>
      <c r="B65" s="26"/>
      <c r="C65" s="26"/>
      <c r="J65" s="26"/>
      <c r="K65" s="26"/>
      <c r="L65" s="26"/>
      <c r="M65" s="26"/>
      <c r="N65" s="26"/>
      <c r="O65" s="113"/>
      <c r="P65" s="26"/>
      <c r="Q65" s="26"/>
      <c r="R65" s="26"/>
      <c r="S65" s="26"/>
      <c r="T65" s="26"/>
      <c r="U65" s="26"/>
      <c r="V65" s="26"/>
      <c r="W65" s="26"/>
    </row>
    <row r="66" spans="1:23" x14ac:dyDescent="0.2"/>
    <row r="67" spans="1:23" x14ac:dyDescent="0.2"/>
    <row r="68" spans="1:23" x14ac:dyDescent="0.2"/>
    <row r="69" spans="1:23" x14ac:dyDescent="0.2"/>
    <row r="70" spans="1:23" x14ac:dyDescent="0.2"/>
    <row r="71" spans="1:23" x14ac:dyDescent="0.2"/>
    <row r="72" spans="1:23" x14ac:dyDescent="0.2"/>
    <row r="73" spans="1:23" x14ac:dyDescent="0.2"/>
    <row r="74" spans="1:23" x14ac:dyDescent="0.2"/>
    <row r="75" spans="1:23" x14ac:dyDescent="0.2"/>
    <row r="76" spans="1:23" x14ac:dyDescent="0.2"/>
    <row r="77" spans="1:23" x14ac:dyDescent="0.2"/>
    <row r="78" spans="1:23" x14ac:dyDescent="0.2"/>
    <row r="79" spans="1:23" x14ac:dyDescent="0.2"/>
    <row r="80" spans="1:23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</sheetData>
  <dataConsolidate link="1"/>
  <dataValidations count="2">
    <dataValidation type="list" allowBlank="1" showInputMessage="1" showErrorMessage="1" sqref="F48" xr:uid="{00000000-0002-0000-0200-000000000000}">
      <formula1>"Real 2010,Real 2011,Real 2012,Real 2013,Real 2014,Real 2015,Nominal"</formula1>
    </dataValidation>
    <dataValidation type="list" allowBlank="1" showInputMessage="1" showErrorMessage="1" sqref="I22:I25 I28:I48 F20 I12:I14" xr:uid="{00000000-0002-0000-0200-000001000000}">
      <formula1>#REF!</formula1>
    </dataValidation>
  </dataValidation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'Lookup Tables'!#REF!</xm:f>
          </x14:formula1>
          <xm:sqref>D9</xm:sqref>
        </x14:dataValidation>
        <x14:dataValidation type="list" allowBlank="1" showInputMessage="1" showErrorMessage="1" xr:uid="{00000000-0002-0000-0200-000003000000}">
          <x14:formula1>
            <xm:f>'Lookup Tables'!$I$24:$I$46</xm:f>
          </x14:formula1>
          <xm:sqref>D12 D10</xm:sqref>
        </x14:dataValidation>
        <x14:dataValidation type="list" allowBlank="1" showInputMessage="1" showErrorMessage="1" xr:uid="{00000000-0002-0000-0200-000006000000}">
          <x14:formula1>
            <xm:f>'Lookup Tables'!$G$60:$G$61</xm:f>
          </x14:formula1>
          <xm:sqref>D8</xm:sqref>
        </x14:dataValidation>
        <x14:dataValidation type="list" allowBlank="1" showInputMessage="1" showErrorMessage="1" xr:uid="{00000000-0002-0000-0200-000005000000}">
          <x14:formula1>
            <xm:f>'Lookup Tables'!$G$9:$G$15</xm:f>
          </x14:formula1>
          <xm:sqref>F17 F19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79998168889431442"/>
  </sheetPr>
  <dimension ref="A1:AP346"/>
  <sheetViews>
    <sheetView showGridLines="0" zoomScaleNormal="100" workbookViewId="0">
      <selection activeCell="W49" sqref="W49"/>
    </sheetView>
  </sheetViews>
  <sheetFormatPr defaultColWidth="8.90625" defaultRowHeight="10" zeroHeight="1" outlineLevelCol="1" x14ac:dyDescent="0.2"/>
  <cols>
    <col min="1" max="2" width="1.453125" style="5" customWidth="1"/>
    <col min="3" max="3" width="42.36328125" style="5" customWidth="1"/>
    <col min="4" max="4" width="11.08984375" style="5" customWidth="1"/>
    <col min="5" max="6" width="8.1796875" style="5" bestFit="1" customWidth="1"/>
    <col min="7" max="7" width="1.453125" style="5" customWidth="1"/>
    <col min="8" max="8" width="2.453125" style="5" customWidth="1"/>
    <col min="9" max="13" width="9.36328125" style="5" customWidth="1"/>
    <col min="14" max="14" width="0.90625" style="5" customWidth="1"/>
    <col min="15" max="19" width="9.36328125" style="5" customWidth="1"/>
    <col min="20" max="20" width="3" style="5" customWidth="1"/>
    <col min="21" max="24" width="9.36328125" style="5" customWidth="1" outlineLevel="1"/>
    <col min="25" max="25" width="0.81640625" style="115" customWidth="1"/>
    <col min="26" max="26" width="6.81640625" style="5" customWidth="1"/>
    <col min="27" max="28" width="7.36328125" style="5" bestFit="1" customWidth="1"/>
    <col min="29" max="30" width="6.81640625" style="5" customWidth="1"/>
    <col min="31" max="31" width="3.08984375" style="5" customWidth="1"/>
    <col min="32" max="32" width="8.90625" style="5" customWidth="1"/>
    <col min="33" max="35" width="8.90625" style="5"/>
    <col min="36" max="36" width="7.08984375" style="5" customWidth="1"/>
    <col min="37" max="37" width="1.54296875" style="5" customWidth="1"/>
    <col min="38" max="16384" width="8.90625" style="5"/>
  </cols>
  <sheetData>
    <row r="1" spans="1:42" ht="18.649999999999999" customHeight="1" thickBot="1" x14ac:dyDescent="0.25">
      <c r="A1" s="1"/>
      <c r="B1" s="2" t="str">
        <f>'Pricing model - ACS'!G2&amp;" - "&amp;'Pricing model - ACS'!G3</f>
        <v>Ergon Energy Pricing Model - Price Capped Security Lighting Services - 2025-30</v>
      </c>
      <c r="C1" s="2"/>
      <c r="D1" s="2"/>
      <c r="E1" s="2"/>
      <c r="F1" s="2"/>
      <c r="G1" s="2"/>
      <c r="H1" s="6"/>
      <c r="I1" s="31"/>
      <c r="J1" s="8"/>
      <c r="K1" s="8"/>
      <c r="N1" s="14"/>
      <c r="O1" s="14"/>
      <c r="P1" s="8"/>
      <c r="Q1" s="8"/>
      <c r="Y1" s="141"/>
      <c r="Z1" s="6"/>
      <c r="AA1" s="6"/>
      <c r="AB1" s="6"/>
      <c r="AC1" s="6"/>
      <c r="AD1" s="6"/>
      <c r="AE1" s="6"/>
    </row>
    <row r="2" spans="1:42" ht="13.5" thickBot="1" x14ac:dyDescent="0.35">
      <c r="A2" s="11"/>
      <c r="B2" s="12" t="e">
        <f>'Pricing model - ACS'!#REF!&amp;" - "&amp;'Pricing model - ACS'!#REF!</f>
        <v>#REF!</v>
      </c>
      <c r="C2" s="12"/>
      <c r="D2" s="12"/>
      <c r="E2" s="12"/>
      <c r="F2" s="12"/>
      <c r="G2" s="12"/>
      <c r="H2" s="14"/>
      <c r="I2" s="14"/>
      <c r="J2" s="15"/>
      <c r="N2" s="13"/>
      <c r="O2" s="11"/>
      <c r="P2" s="14"/>
      <c r="Q2" s="14"/>
      <c r="R2" s="14"/>
      <c r="S2" s="14"/>
      <c r="T2" s="14"/>
      <c r="U2" s="14"/>
      <c r="V2" s="14"/>
      <c r="W2" s="14"/>
      <c r="X2" s="14"/>
      <c r="Y2" s="142"/>
      <c r="Z2" s="112"/>
      <c r="AA2" s="112"/>
      <c r="AB2" s="112"/>
      <c r="AC2" s="112"/>
      <c r="AD2" s="112"/>
      <c r="AE2" s="112"/>
    </row>
    <row r="3" spans="1:42" ht="14.4" customHeight="1" x14ac:dyDescent="0.25">
      <c r="A3" s="16"/>
      <c r="B3" s="16"/>
      <c r="C3" s="16"/>
      <c r="D3" s="16"/>
      <c r="E3" s="17"/>
      <c r="F3" s="17"/>
      <c r="G3" s="17"/>
      <c r="H3" s="18"/>
      <c r="I3" s="159" t="s">
        <v>30</v>
      </c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8"/>
      <c r="U3" s="158" t="s">
        <v>31</v>
      </c>
      <c r="V3" s="158"/>
      <c r="W3" s="158"/>
      <c r="X3" s="158"/>
      <c r="Y3" s="158"/>
      <c r="Z3" s="158"/>
      <c r="AA3" s="158"/>
      <c r="AB3" s="158"/>
      <c r="AC3" s="158"/>
      <c r="AD3" s="158"/>
      <c r="AE3" s="140"/>
      <c r="AF3" s="158" t="s">
        <v>86</v>
      </c>
      <c r="AG3" s="158"/>
      <c r="AH3" s="158"/>
      <c r="AI3" s="158"/>
      <c r="AJ3" s="158"/>
      <c r="AK3" s="158"/>
      <c r="AL3" s="158"/>
      <c r="AM3" s="158"/>
      <c r="AN3" s="158"/>
      <c r="AO3" s="158"/>
      <c r="AP3" s="158"/>
    </row>
    <row r="4" spans="1:42" ht="10.5" x14ac:dyDescent="0.25">
      <c r="A4" s="19"/>
      <c r="B4" s="19"/>
      <c r="C4" s="19"/>
      <c r="D4" s="19"/>
      <c r="E4" s="20"/>
      <c r="F4" s="20"/>
      <c r="G4" s="20"/>
      <c r="H4" s="21"/>
      <c r="I4" s="157" t="s">
        <v>83</v>
      </c>
      <c r="J4" s="157"/>
      <c r="K4" s="157"/>
      <c r="L4" s="157"/>
      <c r="M4" s="157"/>
      <c r="N4" s="20"/>
      <c r="O4" s="157" t="s">
        <v>84</v>
      </c>
      <c r="P4" s="157"/>
      <c r="Q4" s="157"/>
      <c r="R4" s="157"/>
      <c r="S4" s="157"/>
      <c r="T4" s="21"/>
      <c r="U4" s="157" t="s">
        <v>83</v>
      </c>
      <c r="V4" s="157"/>
      <c r="W4" s="157"/>
      <c r="X4" s="157"/>
      <c r="Y4" s="147"/>
      <c r="Z4" s="157" t="s">
        <v>84</v>
      </c>
      <c r="AA4" s="157"/>
      <c r="AB4" s="157"/>
      <c r="AC4" s="157"/>
      <c r="AD4" s="157"/>
      <c r="AE4" s="140"/>
      <c r="AF4" s="157" t="s">
        <v>83</v>
      </c>
      <c r="AG4" s="157"/>
      <c r="AH4" s="157"/>
      <c r="AI4" s="157"/>
      <c r="AJ4" s="157"/>
      <c r="AK4" s="111"/>
      <c r="AL4" s="157" t="s">
        <v>84</v>
      </c>
      <c r="AM4" s="157"/>
      <c r="AN4" s="157"/>
      <c r="AO4" s="157"/>
      <c r="AP4" s="157"/>
    </row>
    <row r="5" spans="1:42" ht="10.5" x14ac:dyDescent="0.25">
      <c r="A5" s="148"/>
      <c r="B5" s="149" t="s">
        <v>94</v>
      </c>
      <c r="C5" s="148"/>
      <c r="D5" s="156" t="s">
        <v>96</v>
      </c>
      <c r="E5" s="150" t="s">
        <v>18</v>
      </c>
      <c r="F5" s="150" t="s">
        <v>32</v>
      </c>
      <c r="G5" s="150"/>
      <c r="H5" s="153"/>
      <c r="I5" s="152" t="s">
        <v>85</v>
      </c>
      <c r="J5" s="152" t="s">
        <v>87</v>
      </c>
      <c r="K5" s="152" t="s">
        <v>88</v>
      </c>
      <c r="L5" s="152" t="s">
        <v>89</v>
      </c>
      <c r="M5" s="152" t="s">
        <v>78</v>
      </c>
      <c r="N5" s="154"/>
      <c r="O5" s="152" t="s">
        <v>79</v>
      </c>
      <c r="P5" s="152" t="s">
        <v>80</v>
      </c>
      <c r="Q5" s="152" t="s">
        <v>81</v>
      </c>
      <c r="R5" s="152" t="s">
        <v>82</v>
      </c>
      <c r="S5" s="152" t="s">
        <v>74</v>
      </c>
      <c r="T5" s="155"/>
      <c r="U5" s="150" t="str">
        <f>J5</f>
        <v>2021-22</v>
      </c>
      <c r="V5" s="150" t="str">
        <f>K5</f>
        <v>2022-23</v>
      </c>
      <c r="W5" s="150" t="str">
        <f>L5</f>
        <v>2023-24</v>
      </c>
      <c r="X5" s="150" t="str">
        <f>M5</f>
        <v>2024-25</v>
      </c>
      <c r="Y5" s="155"/>
      <c r="Z5" s="151" t="s">
        <v>70</v>
      </c>
      <c r="AA5" s="150" t="s">
        <v>71</v>
      </c>
      <c r="AB5" s="150" t="s">
        <v>72</v>
      </c>
      <c r="AC5" s="150" t="s">
        <v>73</v>
      </c>
      <c r="AD5" s="150" t="s">
        <v>74</v>
      </c>
      <c r="AE5" s="140"/>
      <c r="AF5" s="151" t="str">
        <f>I5</f>
        <v>2020-21</v>
      </c>
      <c r="AG5" s="151" t="str">
        <f t="shared" ref="AG5:AJ5" si="0">J5</f>
        <v>2021-22</v>
      </c>
      <c r="AH5" s="151" t="str">
        <f t="shared" si="0"/>
        <v>2022-23</v>
      </c>
      <c r="AI5" s="151" t="str">
        <f t="shared" si="0"/>
        <v>2023-24</v>
      </c>
      <c r="AJ5" s="151" t="str">
        <f t="shared" si="0"/>
        <v>2024-25</v>
      </c>
      <c r="AK5" s="111"/>
      <c r="AL5" s="151" t="str">
        <f>O5</f>
        <v>2025-26</v>
      </c>
      <c r="AM5" s="151" t="str">
        <f t="shared" ref="AM5:AP5" si="1">P5</f>
        <v>2026-27</v>
      </c>
      <c r="AN5" s="151" t="str">
        <f t="shared" si="1"/>
        <v>2027-28</v>
      </c>
      <c r="AO5" s="151" t="str">
        <f t="shared" si="1"/>
        <v>2028-29</v>
      </c>
      <c r="AP5" s="151" t="str">
        <f t="shared" si="1"/>
        <v>2029-30</v>
      </c>
    </row>
    <row r="6" spans="1:42" x14ac:dyDescent="0.2">
      <c r="A6" s="26"/>
      <c r="B6" s="26"/>
      <c r="C6" s="42"/>
      <c r="D6" s="42"/>
      <c r="E6" s="27"/>
      <c r="F6" s="27"/>
      <c r="G6" s="27"/>
      <c r="H6" s="27"/>
      <c r="I6" s="27" t="s">
        <v>48</v>
      </c>
      <c r="J6" s="27" t="s">
        <v>48</v>
      </c>
      <c r="K6" s="27" t="s">
        <v>48</v>
      </c>
      <c r="L6" s="27" t="s">
        <v>48</v>
      </c>
      <c r="M6" s="27" t="s">
        <v>90</v>
      </c>
      <c r="N6" s="27"/>
      <c r="O6" s="27" t="s">
        <v>90</v>
      </c>
      <c r="P6" s="27" t="s">
        <v>90</v>
      </c>
      <c r="Q6" s="27" t="s">
        <v>90</v>
      </c>
      <c r="R6" s="27" t="s">
        <v>90</v>
      </c>
      <c r="S6" s="27" t="s">
        <v>90</v>
      </c>
      <c r="T6" s="27"/>
      <c r="U6" s="27" t="s">
        <v>48</v>
      </c>
      <c r="V6" s="27" t="s">
        <v>48</v>
      </c>
      <c r="W6" s="27" t="s">
        <v>48</v>
      </c>
      <c r="X6" s="27" t="s">
        <v>90</v>
      </c>
      <c r="Y6" s="27"/>
      <c r="Z6" s="27" t="s">
        <v>90</v>
      </c>
      <c r="AA6" s="27" t="s">
        <v>90</v>
      </c>
      <c r="AB6" s="27" t="s">
        <v>90</v>
      </c>
      <c r="AC6" s="27" t="s">
        <v>90</v>
      </c>
      <c r="AD6" s="27" t="s">
        <v>90</v>
      </c>
      <c r="AE6" s="27"/>
      <c r="AF6" s="27" t="s">
        <v>48</v>
      </c>
      <c r="AG6" s="27" t="s">
        <v>48</v>
      </c>
      <c r="AH6" s="27" t="s">
        <v>48</v>
      </c>
      <c r="AI6" s="27" t="s">
        <v>48</v>
      </c>
      <c r="AJ6" s="27" t="s">
        <v>90</v>
      </c>
      <c r="AK6" s="27"/>
      <c r="AL6" s="27" t="s">
        <v>90</v>
      </c>
      <c r="AM6" s="27" t="s">
        <v>90</v>
      </c>
      <c r="AN6" s="27" t="s">
        <v>90</v>
      </c>
      <c r="AO6" s="27" t="s">
        <v>90</v>
      </c>
      <c r="AP6" s="27" t="s">
        <v>90</v>
      </c>
    </row>
    <row r="7" spans="1:42" x14ac:dyDescent="0.2">
      <c r="A7" s="26"/>
      <c r="B7" s="26"/>
      <c r="C7" s="84"/>
      <c r="D7" s="84"/>
      <c r="E7" s="43"/>
      <c r="F7" s="43"/>
      <c r="G7" s="50"/>
      <c r="H7" s="28"/>
      <c r="I7" s="85"/>
      <c r="J7" s="85"/>
      <c r="K7" s="85"/>
      <c r="L7" s="85"/>
      <c r="M7" s="87"/>
      <c r="N7" s="28"/>
      <c r="O7" s="87"/>
      <c r="P7" s="87"/>
      <c r="Q7" s="87"/>
      <c r="R7" s="87"/>
      <c r="S7" s="87"/>
      <c r="T7" s="88"/>
      <c r="U7" s="105"/>
      <c r="V7" s="105"/>
      <c r="W7" s="105"/>
      <c r="X7" s="105"/>
      <c r="Y7" s="113"/>
      <c r="Z7" s="105">
        <f>IF($O7="",0,'General Inputs'!K$19)</f>
        <v>0</v>
      </c>
      <c r="AA7" s="105">
        <f>IF($O7="",0,'General Inputs'!L$19)</f>
        <v>0</v>
      </c>
      <c r="AB7" s="105">
        <f>IF($O7="",0,'General Inputs'!M$19)</f>
        <v>0</v>
      </c>
      <c r="AC7" s="105">
        <f>IF($O7="",0,'General Inputs'!N$19)</f>
        <v>0</v>
      </c>
      <c r="AD7" s="105"/>
      <c r="AE7" s="26"/>
      <c r="AF7" s="105"/>
      <c r="AG7" s="105"/>
      <c r="AH7" s="105"/>
      <c r="AI7" s="105"/>
      <c r="AJ7" s="105"/>
      <c r="AK7" s="113"/>
      <c r="AL7" s="105">
        <f>IF($O7="",0,'General Inputs'!U$19)</f>
        <v>0</v>
      </c>
      <c r="AM7" s="105">
        <f>IF($O7="",0,'General Inputs'!V$19)</f>
        <v>0</v>
      </c>
      <c r="AN7" s="105">
        <f>IF($O7="",0,'General Inputs'!W$19)</f>
        <v>0</v>
      </c>
      <c r="AO7" s="105">
        <f>IF($O7="",0,'General Inputs'!X$19)</f>
        <v>0</v>
      </c>
      <c r="AP7" s="105"/>
    </row>
    <row r="8" spans="1:42" x14ac:dyDescent="0.2">
      <c r="A8" s="26"/>
      <c r="B8" s="26"/>
      <c r="C8" s="84" t="s">
        <v>33</v>
      </c>
      <c r="D8" s="84" t="s">
        <v>97</v>
      </c>
      <c r="E8" s="43" t="s">
        <v>23</v>
      </c>
      <c r="F8" s="43" t="s">
        <v>95</v>
      </c>
      <c r="G8" s="50"/>
      <c r="H8" s="28"/>
      <c r="I8" s="85">
        <v>307.77999999999997</v>
      </c>
      <c r="J8" s="85">
        <v>312.74</v>
      </c>
      <c r="K8" s="85">
        <v>326.25</v>
      </c>
      <c r="L8" s="85">
        <v>354.53</v>
      </c>
      <c r="M8" s="87">
        <f t="shared" ref="M8" si="2">ROUND(L8*(1+AJ$8)*(1-X$8),2)</f>
        <v>375.96</v>
      </c>
      <c r="N8" s="28"/>
      <c r="O8" s="87">
        <f>ROUND(M8*(1+AL$8)*(1-Z$8),2)</f>
        <v>395.57</v>
      </c>
      <c r="P8" s="87">
        <f>ROUND(O8*(1+AM$8)*(1-AA$8),2)</f>
        <v>411.44</v>
      </c>
      <c r="Q8" s="87">
        <f t="shared" ref="Q8:S8" si="3">ROUND(P8*(1+AN$8)*(1-AB$8),2)</f>
        <v>426.86</v>
      </c>
      <c r="R8" s="87">
        <f t="shared" si="3"/>
        <v>444.16</v>
      </c>
      <c r="S8" s="87">
        <f t="shared" si="3"/>
        <v>462.9</v>
      </c>
      <c r="T8" s="88"/>
      <c r="U8" s="105">
        <v>-6.4628501733505527E-3</v>
      </c>
      <c r="V8" s="105">
        <v>-6.9023723868118598E-3</v>
      </c>
      <c r="W8" s="105">
        <v>-6.7502882112696651E-3</v>
      </c>
      <c r="X8" s="105">
        <v>-6.3595234765663894E-3</v>
      </c>
      <c r="Y8" s="113"/>
      <c r="Z8" s="105">
        <f>'General Inputs'!P$19</f>
        <v>-1.8560282730441528E-2</v>
      </c>
      <c r="AA8" s="105">
        <f>'General Inputs'!Q$19</f>
        <v>-1.1796269689429692E-2</v>
      </c>
      <c r="AB8" s="105">
        <f>'General Inputs'!R$19</f>
        <v>-9.2163946033419156E-3</v>
      </c>
      <c r="AC8" s="105">
        <f>'General Inputs'!S$19</f>
        <v>-1.2194995709093038E-2</v>
      </c>
      <c r="AD8" s="105">
        <f>'General Inputs'!T$19</f>
        <v>-1.3799589817157462E-2</v>
      </c>
      <c r="AE8" s="26"/>
      <c r="AF8" s="105">
        <f>'General Inputs'!J$17</f>
        <v>1.8404907975460238E-2</v>
      </c>
      <c r="AG8" s="105">
        <f>'General Inputs'!K17</f>
        <v>8.6058519793459354E-3</v>
      </c>
      <c r="AH8" s="105">
        <f>'General Inputs'!L17</f>
        <v>3.4982935153583528E-2</v>
      </c>
      <c r="AI8" s="105">
        <f>'General Inputs'!M17</f>
        <v>7.8318219291014124E-2</v>
      </c>
      <c r="AJ8" s="105">
        <f>'General Inputs'!$G$30</f>
        <v>5.37383177570094E-2</v>
      </c>
      <c r="AK8" s="113"/>
      <c r="AL8" s="105">
        <f>'General Inputs'!P$17</f>
        <v>3.3000000000000002E-2</v>
      </c>
      <c r="AM8" s="105">
        <f>'General Inputs'!Q$17</f>
        <v>2.7997811278454687E-2</v>
      </c>
      <c r="AN8" s="105">
        <f>'General Inputs'!R$17</f>
        <v>2.7997811278454687E-2</v>
      </c>
      <c r="AO8" s="105">
        <f>'General Inputs'!S$17</f>
        <v>2.7997811278454687E-2</v>
      </c>
      <c r="AP8" s="105">
        <f>'General Inputs'!T$17</f>
        <v>2.7997811278454687E-2</v>
      </c>
    </row>
    <row r="9" spans="1:42" x14ac:dyDescent="0.2">
      <c r="A9" s="26"/>
      <c r="B9" s="26"/>
      <c r="C9" s="84" t="s">
        <v>34</v>
      </c>
      <c r="D9" s="84" t="s">
        <v>98</v>
      </c>
      <c r="E9" s="43" t="s">
        <v>23</v>
      </c>
      <c r="F9" s="43" t="s">
        <v>95</v>
      </c>
      <c r="G9" s="50"/>
      <c r="H9" s="28"/>
      <c r="I9" s="85">
        <v>365.78</v>
      </c>
      <c r="J9" s="85">
        <v>371.67</v>
      </c>
      <c r="K9" s="85">
        <v>387.73</v>
      </c>
      <c r="L9" s="85">
        <v>421.34</v>
      </c>
      <c r="M9" s="87">
        <f t="shared" ref="M9:M12" si="4">ROUND(L9*(1+AJ$8)*(1-X$8),2)</f>
        <v>446.81</v>
      </c>
      <c r="N9" s="28"/>
      <c r="O9" s="87">
        <f t="shared" ref="O9:O12" si="5">ROUND(M9*(1+AL$8)*(1-Z$8),2)</f>
        <v>470.12</v>
      </c>
      <c r="P9" s="87">
        <f t="shared" ref="P9:P12" si="6">ROUND(O9*(1+AM$8)*(1-AA$8),2)</f>
        <v>488.98</v>
      </c>
      <c r="Q9" s="87">
        <f t="shared" ref="Q9:Q12" si="7">ROUND(P9*(1+AN$8)*(1-AB$8),2)</f>
        <v>507.3</v>
      </c>
      <c r="R9" s="87">
        <f t="shared" ref="R9:R12" si="8">ROUND(Q9*(1+AO$8)*(1-AC$8),2)</f>
        <v>527.86</v>
      </c>
      <c r="S9" s="87">
        <f t="shared" ref="S9:S12" si="9">ROUND(R9*(1+AP$8)*(1-AD$8),2)</f>
        <v>550.13</v>
      </c>
      <c r="T9" s="88"/>
      <c r="U9" s="105">
        <v>-6.4628501733505527E-3</v>
      </c>
      <c r="V9" s="105">
        <v>-6.9023723868118598E-3</v>
      </c>
      <c r="W9" s="105">
        <v>-6.7502882112696651E-3</v>
      </c>
      <c r="X9" s="105">
        <v>-6.3595234765663894E-3</v>
      </c>
      <c r="Y9" s="113"/>
      <c r="Z9" s="105">
        <f>'General Inputs'!P$19</f>
        <v>-1.8560282730441528E-2</v>
      </c>
      <c r="AA9" s="105">
        <f>'General Inputs'!Q$19</f>
        <v>-1.1796269689429692E-2</v>
      </c>
      <c r="AB9" s="105">
        <f>'General Inputs'!R$19</f>
        <v>-9.2163946033419156E-3</v>
      </c>
      <c r="AC9" s="105">
        <f>'General Inputs'!S$19</f>
        <v>-1.2194995709093038E-2</v>
      </c>
      <c r="AD9" s="105">
        <f>'General Inputs'!T$19</f>
        <v>-1.3799589817157462E-2</v>
      </c>
      <c r="AE9" s="26"/>
      <c r="AF9" s="105">
        <v>1.8404907975460238E-2</v>
      </c>
      <c r="AG9" s="105">
        <v>8.6058519793459354E-3</v>
      </c>
      <c r="AH9" s="105">
        <v>3.4982935153583528E-2</v>
      </c>
      <c r="AI9" s="105">
        <v>7.8318219291014124E-2</v>
      </c>
      <c r="AJ9" s="105">
        <f>'General Inputs'!$G$30</f>
        <v>5.37383177570094E-2</v>
      </c>
      <c r="AK9" s="113"/>
      <c r="AL9" s="105">
        <f>'General Inputs'!P$17</f>
        <v>3.3000000000000002E-2</v>
      </c>
      <c r="AM9" s="105">
        <f>'General Inputs'!Q$17</f>
        <v>2.7997811278454687E-2</v>
      </c>
      <c r="AN9" s="105">
        <f>'General Inputs'!R$17</f>
        <v>2.7997811278454687E-2</v>
      </c>
      <c r="AO9" s="105">
        <f>'General Inputs'!S$17</f>
        <v>2.7997811278454687E-2</v>
      </c>
      <c r="AP9" s="105">
        <f>'General Inputs'!T$17</f>
        <v>2.7997811278454687E-2</v>
      </c>
    </row>
    <row r="10" spans="1:42" x14ac:dyDescent="0.2">
      <c r="A10" s="26"/>
      <c r="B10" s="26"/>
      <c r="C10" s="84" t="s">
        <v>35</v>
      </c>
      <c r="D10" s="84" t="s">
        <v>99</v>
      </c>
      <c r="E10" s="43" t="s">
        <v>23</v>
      </c>
      <c r="F10" s="43" t="s">
        <v>95</v>
      </c>
      <c r="G10" s="50"/>
      <c r="H10" s="28"/>
      <c r="I10" s="85">
        <v>392.12</v>
      </c>
      <c r="J10" s="85">
        <v>398.43</v>
      </c>
      <c r="K10" s="85">
        <v>415.64</v>
      </c>
      <c r="L10" s="85">
        <v>451.67</v>
      </c>
      <c r="M10" s="87">
        <f t="shared" si="4"/>
        <v>478.97</v>
      </c>
      <c r="N10" s="28"/>
      <c r="O10" s="87">
        <f t="shared" si="5"/>
        <v>503.96</v>
      </c>
      <c r="P10" s="87">
        <f t="shared" si="6"/>
        <v>524.17999999999995</v>
      </c>
      <c r="Q10" s="87">
        <f t="shared" si="7"/>
        <v>543.82000000000005</v>
      </c>
      <c r="R10" s="87">
        <f t="shared" si="8"/>
        <v>565.86</v>
      </c>
      <c r="S10" s="87">
        <f t="shared" si="9"/>
        <v>589.73</v>
      </c>
      <c r="T10" s="88"/>
      <c r="U10" s="105">
        <v>-6.4628501733505527E-3</v>
      </c>
      <c r="V10" s="105">
        <v>-6.9023723868118598E-3</v>
      </c>
      <c r="W10" s="105">
        <v>-6.7502882112696651E-3</v>
      </c>
      <c r="X10" s="105">
        <v>-6.3595234765663894E-3</v>
      </c>
      <c r="Y10" s="113"/>
      <c r="Z10" s="105">
        <f>'General Inputs'!P$19</f>
        <v>-1.8560282730441528E-2</v>
      </c>
      <c r="AA10" s="105">
        <f>'General Inputs'!Q$19</f>
        <v>-1.1796269689429692E-2</v>
      </c>
      <c r="AB10" s="105">
        <f>'General Inputs'!R$19</f>
        <v>-9.2163946033419156E-3</v>
      </c>
      <c r="AC10" s="105">
        <f>'General Inputs'!S$19</f>
        <v>-1.2194995709093038E-2</v>
      </c>
      <c r="AD10" s="105">
        <f>'General Inputs'!T$19</f>
        <v>-1.3799589817157462E-2</v>
      </c>
      <c r="AE10" s="26"/>
      <c r="AF10" s="105">
        <v>1.8404907975460238E-2</v>
      </c>
      <c r="AG10" s="105">
        <v>8.6058519793459354E-3</v>
      </c>
      <c r="AH10" s="105">
        <v>3.4982935153583528E-2</v>
      </c>
      <c r="AI10" s="105">
        <v>7.8318219291014124E-2</v>
      </c>
      <c r="AJ10" s="105">
        <f>'General Inputs'!$G$30</f>
        <v>5.37383177570094E-2</v>
      </c>
      <c r="AK10" s="113"/>
      <c r="AL10" s="105">
        <f>'General Inputs'!P$17</f>
        <v>3.3000000000000002E-2</v>
      </c>
      <c r="AM10" s="105">
        <f>'General Inputs'!Q$17</f>
        <v>2.7997811278454687E-2</v>
      </c>
      <c r="AN10" s="105">
        <f>'General Inputs'!R$17</f>
        <v>2.7997811278454687E-2</v>
      </c>
      <c r="AO10" s="105">
        <f>'General Inputs'!S$17</f>
        <v>2.7997811278454687E-2</v>
      </c>
      <c r="AP10" s="105">
        <f>'General Inputs'!T$17</f>
        <v>2.7997811278454687E-2</v>
      </c>
    </row>
    <row r="11" spans="1:42" x14ac:dyDescent="0.2">
      <c r="A11" s="26"/>
      <c r="B11" s="26"/>
      <c r="C11" s="84" t="s">
        <v>36</v>
      </c>
      <c r="D11" s="84" t="s">
        <v>100</v>
      </c>
      <c r="E11" s="43" t="s">
        <v>23</v>
      </c>
      <c r="F11" s="43" t="s">
        <v>95</v>
      </c>
      <c r="G11" s="50"/>
      <c r="H11" s="28"/>
      <c r="I11" s="85">
        <v>404.38</v>
      </c>
      <c r="J11" s="85">
        <v>410.89</v>
      </c>
      <c r="K11" s="85">
        <v>428.64</v>
      </c>
      <c r="L11" s="85">
        <v>465.8</v>
      </c>
      <c r="M11" s="87">
        <f t="shared" si="4"/>
        <v>493.95</v>
      </c>
      <c r="N11" s="28"/>
      <c r="O11" s="87">
        <f t="shared" si="5"/>
        <v>519.72</v>
      </c>
      <c r="P11" s="87">
        <f t="shared" si="6"/>
        <v>540.57000000000005</v>
      </c>
      <c r="Q11" s="87">
        <f t="shared" si="7"/>
        <v>560.83000000000004</v>
      </c>
      <c r="R11" s="87">
        <f t="shared" si="8"/>
        <v>583.55999999999995</v>
      </c>
      <c r="S11" s="87">
        <f t="shared" si="9"/>
        <v>608.17999999999995</v>
      </c>
      <c r="T11" s="88"/>
      <c r="U11" s="105">
        <v>-6.4628501733505527E-3</v>
      </c>
      <c r="V11" s="105">
        <v>-6.9023723868118598E-3</v>
      </c>
      <c r="W11" s="105">
        <v>-6.7502882112696651E-3</v>
      </c>
      <c r="X11" s="105">
        <v>-6.3595234765663894E-3</v>
      </c>
      <c r="Y11" s="113"/>
      <c r="Z11" s="105">
        <f>'General Inputs'!P$19</f>
        <v>-1.8560282730441528E-2</v>
      </c>
      <c r="AA11" s="105">
        <f>'General Inputs'!Q$19</f>
        <v>-1.1796269689429692E-2</v>
      </c>
      <c r="AB11" s="105">
        <f>'General Inputs'!R$19</f>
        <v>-9.2163946033419156E-3</v>
      </c>
      <c r="AC11" s="105">
        <f>'General Inputs'!S$19</f>
        <v>-1.2194995709093038E-2</v>
      </c>
      <c r="AD11" s="105">
        <f>'General Inputs'!T$19</f>
        <v>-1.3799589817157462E-2</v>
      </c>
      <c r="AE11" s="26"/>
      <c r="AF11" s="105">
        <v>1.8404907975460238E-2</v>
      </c>
      <c r="AG11" s="105">
        <v>8.6058519793459354E-3</v>
      </c>
      <c r="AH11" s="105">
        <v>3.4982935153583528E-2</v>
      </c>
      <c r="AI11" s="105">
        <v>7.8318219291014124E-2</v>
      </c>
      <c r="AJ11" s="105">
        <f>'General Inputs'!$G$30</f>
        <v>5.37383177570094E-2</v>
      </c>
      <c r="AK11" s="113"/>
      <c r="AL11" s="105">
        <f>'General Inputs'!P$17</f>
        <v>3.3000000000000002E-2</v>
      </c>
      <c r="AM11" s="105">
        <f>'General Inputs'!Q$17</f>
        <v>2.7997811278454687E-2</v>
      </c>
      <c r="AN11" s="105">
        <f>'General Inputs'!R$17</f>
        <v>2.7997811278454687E-2</v>
      </c>
      <c r="AO11" s="105">
        <f>'General Inputs'!S$17</f>
        <v>2.7997811278454687E-2</v>
      </c>
      <c r="AP11" s="105">
        <f>'General Inputs'!T$17</f>
        <v>2.7997811278454687E-2</v>
      </c>
    </row>
    <row r="12" spans="1:42" x14ac:dyDescent="0.2">
      <c r="A12" s="26"/>
      <c r="B12" s="26"/>
      <c r="C12" s="84" t="s">
        <v>37</v>
      </c>
      <c r="D12" s="84" t="s">
        <v>101</v>
      </c>
      <c r="E12" s="43" t="s">
        <v>23</v>
      </c>
      <c r="F12" s="43" t="s">
        <v>95</v>
      </c>
      <c r="G12" s="50"/>
      <c r="H12" s="28"/>
      <c r="I12" s="85">
        <v>407.37</v>
      </c>
      <c r="J12" s="85">
        <v>413.93</v>
      </c>
      <c r="K12" s="85">
        <v>431.81</v>
      </c>
      <c r="L12" s="85">
        <v>469.24</v>
      </c>
      <c r="M12" s="87">
        <f t="shared" si="4"/>
        <v>497.6</v>
      </c>
      <c r="N12" s="28"/>
      <c r="O12" s="87">
        <f t="shared" si="5"/>
        <v>523.55999999999995</v>
      </c>
      <c r="P12" s="87">
        <f t="shared" si="6"/>
        <v>544.57000000000005</v>
      </c>
      <c r="Q12" s="87">
        <f t="shared" si="7"/>
        <v>564.98</v>
      </c>
      <c r="R12" s="87">
        <f t="shared" si="8"/>
        <v>587.88</v>
      </c>
      <c r="S12" s="87">
        <f t="shared" si="9"/>
        <v>612.67999999999995</v>
      </c>
      <c r="T12" s="88"/>
      <c r="U12" s="105">
        <v>-6.4628501733505527E-3</v>
      </c>
      <c r="V12" s="105">
        <v>-6.9023723868118598E-3</v>
      </c>
      <c r="W12" s="105">
        <v>-6.7502882112696651E-3</v>
      </c>
      <c r="X12" s="105">
        <v>-6.3595234765663894E-3</v>
      </c>
      <c r="Y12" s="113"/>
      <c r="Z12" s="105">
        <f>'General Inputs'!P$19</f>
        <v>-1.8560282730441528E-2</v>
      </c>
      <c r="AA12" s="105">
        <f>'General Inputs'!Q$19</f>
        <v>-1.1796269689429692E-2</v>
      </c>
      <c r="AB12" s="105">
        <f>'General Inputs'!R$19</f>
        <v>-9.2163946033419156E-3</v>
      </c>
      <c r="AC12" s="105">
        <f>'General Inputs'!S$19</f>
        <v>-1.2194995709093038E-2</v>
      </c>
      <c r="AD12" s="105">
        <f>'General Inputs'!T$19</f>
        <v>-1.3799589817157462E-2</v>
      </c>
      <c r="AE12" s="26"/>
      <c r="AF12" s="105">
        <v>1.8404907975460238E-2</v>
      </c>
      <c r="AG12" s="105">
        <v>8.6058519793459354E-3</v>
      </c>
      <c r="AH12" s="105">
        <v>3.4982935153583528E-2</v>
      </c>
      <c r="AI12" s="105">
        <v>7.8318219291014124E-2</v>
      </c>
      <c r="AJ12" s="105">
        <f>'General Inputs'!$G$30</f>
        <v>5.37383177570094E-2</v>
      </c>
      <c r="AK12" s="113"/>
      <c r="AL12" s="105">
        <f>'General Inputs'!P$17</f>
        <v>3.3000000000000002E-2</v>
      </c>
      <c r="AM12" s="105">
        <f>'General Inputs'!Q$17</f>
        <v>2.7997811278454687E-2</v>
      </c>
      <c r="AN12" s="105">
        <f>'General Inputs'!R$17</f>
        <v>2.7997811278454687E-2</v>
      </c>
      <c r="AO12" s="105">
        <f>'General Inputs'!S$17</f>
        <v>2.7997811278454687E-2</v>
      </c>
      <c r="AP12" s="105">
        <f>'General Inputs'!T$17</f>
        <v>2.7997811278454687E-2</v>
      </c>
    </row>
    <row r="13" spans="1:42" x14ac:dyDescent="0.2">
      <c r="A13" s="26"/>
      <c r="B13" s="26"/>
      <c r="C13" s="84"/>
      <c r="D13" s="84"/>
      <c r="E13" s="43"/>
      <c r="F13" s="43"/>
      <c r="G13" s="50"/>
      <c r="H13" s="28"/>
      <c r="I13" s="85">
        <f t="shared" ref="I13" si="10">O13</f>
        <v>0</v>
      </c>
      <c r="J13" s="85">
        <f t="shared" ref="J13" si="11">P13</f>
        <v>0</v>
      </c>
      <c r="K13" s="85">
        <f t="shared" ref="K13" si="12">Q13</f>
        <v>0</v>
      </c>
      <c r="L13" s="85">
        <f t="shared" ref="L13" si="13">R13</f>
        <v>0</v>
      </c>
      <c r="M13" s="87">
        <f t="shared" ref="M13" si="14">S13</f>
        <v>0</v>
      </c>
      <c r="N13" s="28"/>
      <c r="O13" s="87"/>
      <c r="P13" s="87"/>
      <c r="Q13" s="87"/>
      <c r="R13" s="87"/>
      <c r="S13" s="87"/>
      <c r="T13" s="88"/>
      <c r="U13" s="105"/>
      <c r="V13" s="105"/>
      <c r="W13" s="105"/>
      <c r="X13" s="105"/>
      <c r="Y13" s="113"/>
      <c r="Z13" s="105">
        <f>IF($O13="",0,'General Inputs'!K$19)</f>
        <v>0</v>
      </c>
      <c r="AA13" s="105">
        <f>IF($O13="",0,'General Inputs'!L$19)</f>
        <v>0</v>
      </c>
      <c r="AB13" s="105">
        <f>IF($O13="",0,'General Inputs'!M$19)</f>
        <v>0</v>
      </c>
      <c r="AC13" s="105">
        <f>IF($O13="",0,'General Inputs'!N$19)</f>
        <v>0</v>
      </c>
      <c r="AD13" s="105"/>
      <c r="AE13" s="26"/>
      <c r="AF13" s="105"/>
      <c r="AG13" s="105"/>
      <c r="AH13" s="105"/>
      <c r="AI13" s="105"/>
      <c r="AJ13" s="105"/>
      <c r="AK13" s="113"/>
      <c r="AL13" s="105">
        <f>IF($O13="",0,'General Inputs'!U$19)</f>
        <v>0</v>
      </c>
      <c r="AM13" s="105">
        <f>IF($O13="",0,'General Inputs'!V$19)</f>
        <v>0</v>
      </c>
      <c r="AN13" s="105">
        <f>IF($O13="",0,'General Inputs'!W$19)</f>
        <v>0</v>
      </c>
      <c r="AO13" s="105">
        <f>IF($O13="",0,'General Inputs'!X$19)</f>
        <v>0</v>
      </c>
      <c r="AP13" s="105"/>
    </row>
    <row r="14" spans="1:42" x14ac:dyDescent="0.2">
      <c r="A14" s="26"/>
      <c r="B14" s="26"/>
      <c r="C14" s="80"/>
      <c r="D14" s="80"/>
      <c r="E14" s="27"/>
      <c r="F14" s="27"/>
      <c r="G14" s="27"/>
      <c r="H14" s="89"/>
      <c r="I14" s="45"/>
      <c r="J14" s="90"/>
      <c r="K14" s="90"/>
      <c r="L14" s="90"/>
      <c r="M14" s="90"/>
      <c r="N14" s="28"/>
      <c r="O14" s="90"/>
      <c r="P14" s="90"/>
      <c r="Q14" s="90"/>
      <c r="R14" s="90"/>
      <c r="S14" s="90"/>
      <c r="Y14" s="113"/>
      <c r="Z14" s="26"/>
      <c r="AA14" s="26"/>
      <c r="AB14" s="26"/>
      <c r="AC14" s="26"/>
      <c r="AD14" s="26"/>
      <c r="AE14" s="26"/>
      <c r="AJ14" s="113"/>
      <c r="AK14" s="113"/>
      <c r="AL14" s="26"/>
      <c r="AM14" s="26"/>
      <c r="AN14" s="26"/>
      <c r="AO14" s="26"/>
      <c r="AP14" s="26"/>
    </row>
    <row r="15" spans="1:42" x14ac:dyDescent="0.2">
      <c r="A15" s="148"/>
      <c r="B15" s="148" t="s">
        <v>3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</row>
    <row r="16" spans="1:42" hidden="1" x14ac:dyDescent="0.2">
      <c r="H16" s="27"/>
      <c r="I16" s="26"/>
      <c r="J16" s="26"/>
      <c r="K16" s="26"/>
      <c r="L16" s="26"/>
      <c r="M16" s="26"/>
    </row>
    <row r="17" spans="8:13" hidden="1" x14ac:dyDescent="0.2">
      <c r="H17" s="27"/>
      <c r="I17" s="26"/>
      <c r="J17" s="26"/>
      <c r="K17" s="26"/>
      <c r="L17" s="26"/>
      <c r="M17" s="26"/>
    </row>
    <row r="18" spans="8:13" hidden="1" x14ac:dyDescent="0.2">
      <c r="H18" s="86"/>
      <c r="I18" s="91"/>
      <c r="J18" s="91"/>
      <c r="K18" s="91"/>
      <c r="L18" s="91"/>
      <c r="M18" s="91"/>
    </row>
    <row r="19" spans="8:13" hidden="1" x14ac:dyDescent="0.2">
      <c r="H19" s="86"/>
      <c r="I19" s="91"/>
      <c r="J19" s="91"/>
      <c r="K19" s="91"/>
      <c r="L19" s="91"/>
      <c r="M19" s="91"/>
    </row>
    <row r="20" spans="8:13" hidden="1" x14ac:dyDescent="0.2">
      <c r="H20" s="86"/>
      <c r="I20" s="91"/>
      <c r="J20" s="91"/>
      <c r="K20" s="91"/>
      <c r="L20" s="91"/>
      <c r="M20" s="91"/>
    </row>
    <row r="21" spans="8:13" hidden="1" x14ac:dyDescent="0.2">
      <c r="H21" s="86"/>
      <c r="I21" s="91"/>
      <c r="J21" s="91"/>
      <c r="K21" s="91"/>
      <c r="L21" s="91"/>
      <c r="M21" s="91"/>
    </row>
    <row r="22" spans="8:13" hidden="1" x14ac:dyDescent="0.2">
      <c r="H22" s="86"/>
      <c r="I22" s="91"/>
      <c r="J22" s="91"/>
      <c r="K22" s="91"/>
      <c r="L22" s="91"/>
      <c r="M22" s="91"/>
    </row>
    <row r="23" spans="8:13" hidden="1" x14ac:dyDescent="0.2">
      <c r="H23" s="86"/>
      <c r="I23" s="91"/>
      <c r="J23" s="91"/>
      <c r="K23" s="91"/>
      <c r="L23" s="91"/>
      <c r="M23" s="91"/>
    </row>
    <row r="24" spans="8:13" hidden="1" x14ac:dyDescent="0.2">
      <c r="H24" s="86"/>
      <c r="I24" s="91"/>
      <c r="J24" s="91"/>
      <c r="K24" s="91"/>
      <c r="L24" s="91"/>
      <c r="M24" s="91"/>
    </row>
    <row r="25" spans="8:13" hidden="1" x14ac:dyDescent="0.2">
      <c r="H25" s="90"/>
      <c r="I25" s="45"/>
      <c r="J25" s="90"/>
      <c r="K25" s="90"/>
      <c r="L25" s="90"/>
      <c r="M25" s="90"/>
    </row>
    <row r="26" spans="8:13" hidden="1" x14ac:dyDescent="0.2">
      <c r="H26" s="27"/>
      <c r="I26" s="26"/>
      <c r="J26" s="26"/>
      <c r="K26" s="26"/>
      <c r="L26" s="26"/>
      <c r="M26" s="26"/>
    </row>
    <row r="27" spans="8:13" hidden="1" x14ac:dyDescent="0.2">
      <c r="H27" s="92"/>
      <c r="I27" s="92"/>
      <c r="J27" s="92"/>
      <c r="K27" s="92"/>
      <c r="L27" s="92"/>
      <c r="M27" s="92"/>
    </row>
    <row r="28" spans="8:13" hidden="1" x14ac:dyDescent="0.2">
      <c r="H28" s="92"/>
      <c r="I28" s="92"/>
      <c r="J28" s="92"/>
      <c r="K28" s="92"/>
      <c r="L28" s="92"/>
      <c r="M28" s="92"/>
    </row>
    <row r="29" spans="8:13" hidden="1" x14ac:dyDescent="0.2">
      <c r="H29" s="92"/>
      <c r="I29" s="92"/>
      <c r="J29" s="92"/>
      <c r="K29" s="92"/>
      <c r="L29" s="92"/>
      <c r="M29" s="92"/>
    </row>
    <row r="30" spans="8:13" hidden="1" x14ac:dyDescent="0.2">
      <c r="H30" s="92"/>
      <c r="I30" s="92"/>
      <c r="J30" s="92"/>
      <c r="K30" s="92"/>
      <c r="L30" s="92"/>
      <c r="M30" s="92"/>
    </row>
    <row r="31" spans="8:13" hidden="1" x14ac:dyDescent="0.2">
      <c r="H31" s="92"/>
      <c r="I31" s="92"/>
      <c r="J31" s="92"/>
      <c r="K31" s="92"/>
      <c r="L31" s="92"/>
      <c r="M31" s="92"/>
    </row>
    <row r="32" spans="8:13" hidden="1" x14ac:dyDescent="0.2">
      <c r="H32" s="92"/>
      <c r="I32" s="92"/>
      <c r="J32" s="92"/>
      <c r="K32" s="92"/>
      <c r="L32" s="92"/>
      <c r="M32" s="92"/>
    </row>
    <row r="33" spans="8:13" hidden="1" x14ac:dyDescent="0.2">
      <c r="H33" s="92"/>
      <c r="I33" s="92"/>
      <c r="J33" s="92"/>
      <c r="K33" s="92"/>
      <c r="L33" s="92"/>
      <c r="M33" s="92"/>
    </row>
    <row r="34" spans="8:13" hidden="1" x14ac:dyDescent="0.2">
      <c r="H34" s="89"/>
      <c r="I34" s="27"/>
      <c r="J34" s="89"/>
      <c r="K34" s="89"/>
      <c r="L34" s="89"/>
      <c r="M34" s="89"/>
    </row>
    <row r="35" spans="8:13" hidden="1" x14ac:dyDescent="0.2">
      <c r="H35" s="27"/>
      <c r="I35" s="26"/>
      <c r="J35" s="26"/>
      <c r="K35" s="26"/>
      <c r="L35" s="26"/>
      <c r="M35" s="26"/>
    </row>
    <row r="36" spans="8:13" ht="13" hidden="1" x14ac:dyDescent="0.3">
      <c r="H36" s="30"/>
      <c r="I36" s="24"/>
      <c r="J36" s="25"/>
      <c r="K36" s="24"/>
      <c r="L36" s="25"/>
      <c r="M36" s="24"/>
    </row>
    <row r="37" spans="8:13" x14ac:dyDescent="0.2"/>
    <row r="38" spans="8:13" x14ac:dyDescent="0.2"/>
    <row r="39" spans="8:13" x14ac:dyDescent="0.2"/>
    <row r="40" spans="8:13" x14ac:dyDescent="0.2"/>
    <row r="41" spans="8:13" x14ac:dyDescent="0.2"/>
    <row r="42" spans="8:13" x14ac:dyDescent="0.2"/>
    <row r="43" spans="8:13" x14ac:dyDescent="0.2"/>
    <row r="44" spans="8:13" x14ac:dyDescent="0.2"/>
    <row r="45" spans="8:13" x14ac:dyDescent="0.2"/>
    <row r="46" spans="8:13" x14ac:dyDescent="0.2"/>
    <row r="47" spans="8:13" x14ac:dyDescent="0.2"/>
    <row r="48" spans="8:13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</sheetData>
  <mergeCells count="9">
    <mergeCell ref="AL4:AP4"/>
    <mergeCell ref="AF3:AP3"/>
    <mergeCell ref="U4:X4"/>
    <mergeCell ref="O4:S4"/>
    <mergeCell ref="I4:M4"/>
    <mergeCell ref="I3:S3"/>
    <mergeCell ref="U3:AD3"/>
    <mergeCell ref="Z4:AD4"/>
    <mergeCell ref="AF4:AJ4"/>
  </mergeCells>
  <phoneticPr fontId="24" type="noConversion"/>
  <dataValidations count="1">
    <dataValidation type="list" allowBlank="1" showInputMessage="1" showErrorMessage="1" sqref="I14 I25 I34" xr:uid="{00000000-0002-0000-0300-000000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2000000}">
          <x14:formula1>
            <xm:f>'C:\Users\ddale\Work Folders\[Pricing template model 1.xlsx]Lookup|Tables'!#REF!</xm:f>
          </x14:formula1>
          <xm:sqref>G7:G13</xm:sqref>
        </x14:dataValidation>
        <x14:dataValidation type="list" allowBlank="1" showInputMessage="1" showErrorMessage="1" xr:uid="{AEB96854-FA7D-4154-B4F0-C1CDC218E79D}">
          <x14:formula1>
            <xm:f>'Lookup Tables'!#REF!</xm:f>
          </x14:formula1>
          <xm:sqref>F13</xm:sqref>
        </x14:dataValidation>
        <x14:dataValidation type="list" allowBlank="1" showInputMessage="1" showErrorMessage="1" xr:uid="{00000000-0002-0000-0300-000003000000}">
          <x14:formula1>
            <xm:f>'Lookup Tables'!$G$9:$G$15</xm:f>
          </x14:formula1>
          <xm:sqref>E13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1"/>
  </sheetPr>
  <dimension ref="A1:XER117"/>
  <sheetViews>
    <sheetView showGridLines="0" workbookViewId="0">
      <selection activeCell="C6" sqref="C6"/>
    </sheetView>
  </sheetViews>
  <sheetFormatPr defaultColWidth="0" defaultRowHeight="10" zeroHeight="1" x14ac:dyDescent="0.2"/>
  <cols>
    <col min="1" max="2" width="1.36328125" style="26" customWidth="1"/>
    <col min="3" max="3" width="36" style="26" customWidth="1"/>
    <col min="4" max="4" width="14.54296875" style="47" customWidth="1"/>
    <col min="5" max="5" width="13.54296875" style="47" customWidth="1"/>
    <col min="6" max="6" width="9.08984375" style="47" customWidth="1"/>
    <col min="7" max="7" width="12.90625" style="27" customWidth="1"/>
    <col min="8" max="9" width="12.90625" style="26" customWidth="1"/>
    <col min="10" max="14" width="9.36328125" style="26" customWidth="1"/>
    <col min="15" max="302" width="9" style="26" hidden="1" customWidth="1"/>
    <col min="303" max="16362" width="9" style="26" hidden="1"/>
    <col min="16363" max="16363" width="0" style="26" hidden="1"/>
    <col min="16364" max="16368" width="9" style="26" hidden="1"/>
    <col min="16369" max="16369" width="0" style="26" hidden="1"/>
    <col min="16370" max="16371" width="9" style="26" hidden="1"/>
    <col min="16372" max="16372" width="0" style="26" hidden="1"/>
    <col min="16373" max="16384" width="9" style="26" hidden="1"/>
  </cols>
  <sheetData>
    <row r="1" spans="1:21" s="1" customFormat="1" ht="15.5" x14ac:dyDescent="0.35">
      <c r="B1" s="2" t="str">
        <f>'Pricing model - ACS'!G2&amp;" - "&amp;'Pricing model - ACS'!G3</f>
        <v>Ergon Energy Pricing Model - Price Capped Security Lighting Services - 2025-30</v>
      </c>
      <c r="C1" s="2"/>
      <c r="D1" s="2"/>
      <c r="E1" s="2"/>
      <c r="F1" s="3"/>
      <c r="G1" s="31" t="s">
        <v>4</v>
      </c>
      <c r="H1" s="3"/>
      <c r="I1" s="3"/>
      <c r="J1" s="4"/>
      <c r="L1" s="93"/>
      <c r="M1" s="94"/>
    </row>
    <row r="2" spans="1:21" s="1" customFormat="1" ht="13.5" thickBot="1" x14ac:dyDescent="0.35">
      <c r="B2" s="12" t="e">
        <f>'Pricing model - ACS'!#REF!&amp;" - "&amp;'Pricing model - ACS'!#REF!</f>
        <v>#REF!</v>
      </c>
      <c r="C2" s="46"/>
      <c r="D2" s="46"/>
      <c r="E2" s="46"/>
      <c r="F2" s="95"/>
      <c r="G2" s="95"/>
      <c r="H2" s="95"/>
      <c r="I2" s="95"/>
    </row>
    <row r="3" spans="1:21" s="19" customFormat="1" ht="3" customHeight="1" x14ac:dyDescent="0.2">
      <c r="D3" s="96"/>
      <c r="E3" s="96"/>
    </row>
    <row r="4" spans="1:21" s="19" customFormat="1" ht="9" customHeight="1" x14ac:dyDescent="0.2">
      <c r="D4" s="96"/>
      <c r="E4" s="96"/>
    </row>
    <row r="5" spans="1:21" s="19" customFormat="1" ht="3" customHeight="1" x14ac:dyDescent="0.2">
      <c r="D5" s="96"/>
      <c r="E5" s="96"/>
    </row>
    <row r="6" spans="1:21" s="5" customFormat="1" ht="10.5" x14ac:dyDescent="0.25">
      <c r="A6" s="145"/>
      <c r="B6" s="145" t="s">
        <v>38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33"/>
      <c r="P6" s="33"/>
      <c r="Q6" s="33"/>
      <c r="R6" s="33"/>
      <c r="S6" s="33"/>
      <c r="T6" s="34"/>
      <c r="U6" s="34"/>
    </row>
    <row r="7" spans="1:21" x14ac:dyDescent="0.2"/>
    <row r="8" spans="1:21" ht="10.5" x14ac:dyDescent="0.25">
      <c r="C8" s="35" t="str">
        <f>B6</f>
        <v>Unit Denominations</v>
      </c>
      <c r="D8" s="28"/>
      <c r="E8" s="28"/>
      <c r="F8" s="36"/>
      <c r="G8" s="36" t="s">
        <v>39</v>
      </c>
      <c r="H8" s="36"/>
    </row>
    <row r="9" spans="1:21" ht="10.5" x14ac:dyDescent="0.25">
      <c r="C9" s="42" t="s">
        <v>40</v>
      </c>
      <c r="D9" s="27"/>
      <c r="E9" s="27"/>
      <c r="F9" s="27"/>
      <c r="G9" s="97" t="s">
        <v>41</v>
      </c>
      <c r="H9" s="36"/>
    </row>
    <row r="10" spans="1:21" x14ac:dyDescent="0.2">
      <c r="C10" s="42" t="s">
        <v>42</v>
      </c>
      <c r="D10" s="27"/>
      <c r="E10" s="27"/>
      <c r="F10" s="27"/>
      <c r="G10" s="97" t="s">
        <v>23</v>
      </c>
    </row>
    <row r="11" spans="1:21" x14ac:dyDescent="0.2">
      <c r="F11" s="26"/>
      <c r="G11" s="26"/>
    </row>
    <row r="12" spans="1:21" x14ac:dyDescent="0.2">
      <c r="C12" s="42" t="s">
        <v>29</v>
      </c>
      <c r="D12" s="27"/>
      <c r="E12" s="27"/>
      <c r="F12" s="27"/>
      <c r="G12" s="97" t="s">
        <v>22</v>
      </c>
    </row>
    <row r="13" spans="1:21" x14ac:dyDescent="0.2">
      <c r="C13" s="42" t="s">
        <v>18</v>
      </c>
      <c r="D13" s="27"/>
      <c r="E13" s="27"/>
      <c r="F13" s="27"/>
      <c r="G13" s="97" t="s">
        <v>43</v>
      </c>
    </row>
    <row r="14" spans="1:21" x14ac:dyDescent="0.2">
      <c r="C14" s="42" t="s">
        <v>44</v>
      </c>
      <c r="D14" s="27"/>
      <c r="E14" s="27"/>
      <c r="F14" s="27"/>
      <c r="G14" s="97" t="s">
        <v>45</v>
      </c>
    </row>
    <row r="15" spans="1:21" x14ac:dyDescent="0.2">
      <c r="C15" s="42" t="s">
        <v>46</v>
      </c>
      <c r="D15" s="27"/>
      <c r="E15" s="27"/>
      <c r="F15" s="27"/>
      <c r="G15" s="97" t="s">
        <v>47</v>
      </c>
    </row>
    <row r="16" spans="1:21" x14ac:dyDescent="0.2">
      <c r="C16" s="42"/>
      <c r="D16" s="27"/>
      <c r="E16" s="27"/>
      <c r="F16" s="27"/>
      <c r="G16" s="26"/>
    </row>
    <row r="17" spans="1:21" x14ac:dyDescent="0.2">
      <c r="C17" s="42"/>
      <c r="D17" s="27"/>
      <c r="E17" s="27"/>
      <c r="F17" s="27"/>
      <c r="G17" s="26"/>
    </row>
    <row r="18" spans="1:21" x14ac:dyDescent="0.2">
      <c r="C18" s="42" t="s">
        <v>48</v>
      </c>
      <c r="D18" s="27"/>
      <c r="E18" s="27"/>
      <c r="F18" s="27"/>
      <c r="G18" s="97" t="s">
        <v>48</v>
      </c>
    </row>
    <row r="19" spans="1:21" x14ac:dyDescent="0.2">
      <c r="C19" s="42" t="s">
        <v>49</v>
      </c>
      <c r="D19" s="27"/>
      <c r="E19" s="27"/>
      <c r="F19" s="27"/>
      <c r="G19" s="97" t="s">
        <v>49</v>
      </c>
    </row>
    <row r="20" spans="1:21" x14ac:dyDescent="0.2">
      <c r="C20" s="42"/>
      <c r="D20" s="27"/>
      <c r="E20" s="27"/>
      <c r="F20" s="27"/>
      <c r="G20" s="26"/>
    </row>
    <row r="21" spans="1:21" s="5" customFormat="1" ht="10.5" x14ac:dyDescent="0.25">
      <c r="A21" s="145"/>
      <c r="B21" s="145" t="s">
        <v>50</v>
      </c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33"/>
      <c r="P21" s="33"/>
      <c r="Q21" s="33"/>
      <c r="R21" s="33"/>
      <c r="S21" s="33"/>
      <c r="T21" s="34"/>
      <c r="U21" s="34"/>
    </row>
    <row r="22" spans="1:21" x14ac:dyDescent="0.2"/>
    <row r="23" spans="1:21" ht="10.5" x14ac:dyDescent="0.25">
      <c r="C23" s="35" t="str">
        <f>B21</f>
        <v>Years</v>
      </c>
      <c r="D23" s="28"/>
      <c r="E23" s="28"/>
      <c r="F23" s="36"/>
      <c r="G23" s="36" t="s">
        <v>51</v>
      </c>
      <c r="H23" s="36" t="s">
        <v>52</v>
      </c>
      <c r="I23" s="36" t="s">
        <v>53</v>
      </c>
      <c r="K23" s="36" t="s">
        <v>54</v>
      </c>
      <c r="L23" s="36" t="s">
        <v>55</v>
      </c>
    </row>
    <row r="24" spans="1:21" x14ac:dyDescent="0.2">
      <c r="C24" s="98">
        <v>43983</v>
      </c>
      <c r="D24" s="27"/>
      <c r="E24" s="27"/>
      <c r="F24" s="27"/>
      <c r="G24" s="99">
        <v>2020</v>
      </c>
      <c r="H24" s="100">
        <f t="shared" ref="H24:H46" si="0">DATE(G24,MONTH(yearending),1)</f>
        <v>43983</v>
      </c>
      <c r="I24" s="101" t="str">
        <f t="shared" ref="I24:I43" si="1">G24-1&amp;"–"&amp;RIGHT(G24,2)</f>
        <v>2019–20</v>
      </c>
      <c r="K24" s="100" t="e">
        <f>DATE(G24,MONTH(#REF!),1)</f>
        <v>#REF!</v>
      </c>
      <c r="L24" s="72">
        <f>G24</f>
        <v>2020</v>
      </c>
    </row>
    <row r="25" spans="1:21" x14ac:dyDescent="0.2">
      <c r="C25" s="98">
        <v>44348</v>
      </c>
      <c r="D25" s="27"/>
      <c r="E25" s="27"/>
      <c r="F25" s="27"/>
      <c r="G25" s="99">
        <v>2021</v>
      </c>
      <c r="H25" s="100">
        <f t="shared" si="0"/>
        <v>44348</v>
      </c>
      <c r="I25" s="101" t="str">
        <f t="shared" si="1"/>
        <v>2020–21</v>
      </c>
      <c r="K25" s="100">
        <f>H25</f>
        <v>44348</v>
      </c>
      <c r="L25" s="102" t="s">
        <v>56</v>
      </c>
    </row>
    <row r="26" spans="1:21" x14ac:dyDescent="0.2">
      <c r="C26" s="98">
        <v>44713</v>
      </c>
      <c r="D26" s="27"/>
      <c r="E26" s="27"/>
      <c r="F26" s="27"/>
      <c r="G26" s="99">
        <v>2022</v>
      </c>
      <c r="H26" s="100">
        <f t="shared" si="0"/>
        <v>44713</v>
      </c>
      <c r="I26" s="101" t="str">
        <f t="shared" si="1"/>
        <v>2021–22</v>
      </c>
      <c r="K26" s="100">
        <f t="shared" ref="K26:L43" si="2">H26</f>
        <v>44713</v>
      </c>
      <c r="L26" s="101" t="str">
        <f>I26</f>
        <v>2021–22</v>
      </c>
    </row>
    <row r="27" spans="1:21" x14ac:dyDescent="0.2">
      <c r="C27" s="98">
        <v>45078</v>
      </c>
      <c r="D27" s="27"/>
      <c r="E27" s="27"/>
      <c r="F27" s="27"/>
      <c r="G27" s="99">
        <v>2023</v>
      </c>
      <c r="H27" s="100">
        <f t="shared" si="0"/>
        <v>45078</v>
      </c>
      <c r="I27" s="101" t="str">
        <f t="shared" si="1"/>
        <v>2022–23</v>
      </c>
      <c r="K27" s="100">
        <f t="shared" si="2"/>
        <v>45078</v>
      </c>
      <c r="L27" s="101" t="str">
        <f t="shared" si="2"/>
        <v>2022–23</v>
      </c>
    </row>
    <row r="28" spans="1:21" x14ac:dyDescent="0.2">
      <c r="C28" s="98">
        <v>45444</v>
      </c>
      <c r="D28" s="27"/>
      <c r="E28" s="27"/>
      <c r="F28" s="27"/>
      <c r="G28" s="99">
        <v>2024</v>
      </c>
      <c r="H28" s="100">
        <f t="shared" si="0"/>
        <v>45444</v>
      </c>
      <c r="I28" s="101" t="str">
        <f t="shared" si="1"/>
        <v>2023–24</v>
      </c>
      <c r="K28" s="100">
        <f t="shared" si="2"/>
        <v>45444</v>
      </c>
      <c r="L28" s="101" t="str">
        <f t="shared" si="2"/>
        <v>2023–24</v>
      </c>
    </row>
    <row r="29" spans="1:21" x14ac:dyDescent="0.2">
      <c r="C29" s="98">
        <v>45809</v>
      </c>
      <c r="D29" s="27"/>
      <c r="E29" s="27"/>
      <c r="F29" s="27"/>
      <c r="G29" s="99">
        <v>2025</v>
      </c>
      <c r="H29" s="100">
        <f t="shared" si="0"/>
        <v>45809</v>
      </c>
      <c r="I29" s="101" t="str">
        <f t="shared" si="1"/>
        <v>2024–25</v>
      </c>
      <c r="K29" s="100">
        <f t="shared" si="2"/>
        <v>45809</v>
      </c>
      <c r="L29" s="101" t="str">
        <f t="shared" si="2"/>
        <v>2024–25</v>
      </c>
    </row>
    <row r="30" spans="1:21" x14ac:dyDescent="0.2">
      <c r="C30" s="98">
        <v>46174</v>
      </c>
      <c r="D30" s="27"/>
      <c r="E30" s="27"/>
      <c r="F30" s="27"/>
      <c r="G30" s="99">
        <v>2026</v>
      </c>
      <c r="H30" s="100">
        <f t="shared" si="0"/>
        <v>46174</v>
      </c>
      <c r="I30" s="101" t="str">
        <f t="shared" si="1"/>
        <v>2025–26</v>
      </c>
      <c r="K30" s="100">
        <f t="shared" si="2"/>
        <v>46174</v>
      </c>
      <c r="L30" s="101" t="str">
        <f t="shared" si="2"/>
        <v>2025–26</v>
      </c>
    </row>
    <row r="31" spans="1:21" x14ac:dyDescent="0.2">
      <c r="C31" s="98">
        <v>46539</v>
      </c>
      <c r="D31" s="27"/>
      <c r="E31" s="27"/>
      <c r="F31" s="27"/>
      <c r="G31" s="99">
        <v>2027</v>
      </c>
      <c r="H31" s="100">
        <f t="shared" si="0"/>
        <v>46539</v>
      </c>
      <c r="I31" s="101" t="str">
        <f t="shared" si="1"/>
        <v>2026–27</v>
      </c>
      <c r="K31" s="100">
        <f t="shared" si="2"/>
        <v>46539</v>
      </c>
      <c r="L31" s="101" t="str">
        <f t="shared" si="2"/>
        <v>2026–27</v>
      </c>
    </row>
    <row r="32" spans="1:21" x14ac:dyDescent="0.2">
      <c r="C32" s="98">
        <v>46905</v>
      </c>
      <c r="D32" s="27"/>
      <c r="E32" s="27"/>
      <c r="F32" s="27"/>
      <c r="G32" s="99">
        <v>2028</v>
      </c>
      <c r="H32" s="100">
        <f t="shared" si="0"/>
        <v>46905</v>
      </c>
      <c r="I32" s="101" t="str">
        <f t="shared" si="1"/>
        <v>2027–28</v>
      </c>
      <c r="K32" s="100">
        <f t="shared" si="2"/>
        <v>46905</v>
      </c>
      <c r="L32" s="101" t="str">
        <f t="shared" si="2"/>
        <v>2027–28</v>
      </c>
    </row>
    <row r="33" spans="1:21" x14ac:dyDescent="0.2">
      <c r="C33" s="98">
        <v>47270</v>
      </c>
      <c r="D33" s="27"/>
      <c r="E33" s="27"/>
      <c r="F33" s="27"/>
      <c r="G33" s="99">
        <v>2029</v>
      </c>
      <c r="H33" s="100">
        <f t="shared" si="0"/>
        <v>47270</v>
      </c>
      <c r="I33" s="101" t="str">
        <f t="shared" si="1"/>
        <v>2028–29</v>
      </c>
      <c r="K33" s="100">
        <f t="shared" si="2"/>
        <v>47270</v>
      </c>
      <c r="L33" s="101" t="str">
        <f t="shared" si="2"/>
        <v>2028–29</v>
      </c>
    </row>
    <row r="34" spans="1:21" x14ac:dyDescent="0.2">
      <c r="C34" s="98">
        <v>47635</v>
      </c>
      <c r="D34" s="27"/>
      <c r="E34" s="27"/>
      <c r="F34" s="27"/>
      <c r="G34" s="99">
        <v>2030</v>
      </c>
      <c r="H34" s="100">
        <f t="shared" si="0"/>
        <v>47635</v>
      </c>
      <c r="I34" s="101" t="str">
        <f t="shared" si="1"/>
        <v>2029–30</v>
      </c>
      <c r="K34" s="100">
        <f t="shared" si="2"/>
        <v>47635</v>
      </c>
      <c r="L34" s="101" t="str">
        <f t="shared" si="2"/>
        <v>2029–30</v>
      </c>
    </row>
    <row r="35" spans="1:21" x14ac:dyDescent="0.2">
      <c r="C35" s="98">
        <v>48000</v>
      </c>
      <c r="D35" s="27"/>
      <c r="E35" s="27"/>
      <c r="F35" s="27"/>
      <c r="G35" s="99">
        <v>2031</v>
      </c>
      <c r="H35" s="100">
        <f t="shared" si="0"/>
        <v>48000</v>
      </c>
      <c r="I35" s="101" t="str">
        <f t="shared" si="1"/>
        <v>2030–31</v>
      </c>
      <c r="K35" s="100">
        <f t="shared" si="2"/>
        <v>48000</v>
      </c>
      <c r="L35" s="101" t="str">
        <f t="shared" si="2"/>
        <v>2030–31</v>
      </c>
    </row>
    <row r="36" spans="1:21" x14ac:dyDescent="0.2">
      <c r="C36" s="98">
        <v>48366</v>
      </c>
      <c r="D36" s="27"/>
      <c r="E36" s="27"/>
      <c r="F36" s="27"/>
      <c r="G36" s="99">
        <v>2032</v>
      </c>
      <c r="H36" s="100">
        <f t="shared" si="0"/>
        <v>48366</v>
      </c>
      <c r="I36" s="101" t="str">
        <f t="shared" si="1"/>
        <v>2031–32</v>
      </c>
      <c r="K36" s="100">
        <f t="shared" si="2"/>
        <v>48366</v>
      </c>
      <c r="L36" s="101" t="str">
        <f t="shared" si="2"/>
        <v>2031–32</v>
      </c>
    </row>
    <row r="37" spans="1:21" x14ac:dyDescent="0.2">
      <c r="C37" s="98">
        <v>48731</v>
      </c>
      <c r="D37" s="27"/>
      <c r="E37" s="27"/>
      <c r="F37" s="27"/>
      <c r="G37" s="99">
        <v>2033</v>
      </c>
      <c r="H37" s="100">
        <f t="shared" si="0"/>
        <v>48731</v>
      </c>
      <c r="I37" s="101" t="str">
        <f t="shared" si="1"/>
        <v>2032–33</v>
      </c>
      <c r="K37" s="100">
        <f t="shared" si="2"/>
        <v>48731</v>
      </c>
      <c r="L37" s="101" t="str">
        <f t="shared" si="2"/>
        <v>2032–33</v>
      </c>
    </row>
    <row r="38" spans="1:21" x14ac:dyDescent="0.2">
      <c r="C38" s="98">
        <v>49096</v>
      </c>
      <c r="D38" s="27"/>
      <c r="E38" s="27"/>
      <c r="F38" s="27"/>
      <c r="G38" s="99">
        <v>2034</v>
      </c>
      <c r="H38" s="100">
        <f t="shared" si="0"/>
        <v>49096</v>
      </c>
      <c r="I38" s="101" t="str">
        <f t="shared" si="1"/>
        <v>2033–34</v>
      </c>
      <c r="K38" s="100">
        <f t="shared" si="2"/>
        <v>49096</v>
      </c>
      <c r="L38" s="101" t="str">
        <f t="shared" si="2"/>
        <v>2033–34</v>
      </c>
    </row>
    <row r="39" spans="1:21" x14ac:dyDescent="0.2">
      <c r="C39" s="98">
        <v>49461</v>
      </c>
      <c r="D39" s="27"/>
      <c r="E39" s="27"/>
      <c r="F39" s="27"/>
      <c r="G39" s="99">
        <v>2035</v>
      </c>
      <c r="H39" s="100">
        <f t="shared" si="0"/>
        <v>49461</v>
      </c>
      <c r="I39" s="101" t="str">
        <f t="shared" si="1"/>
        <v>2034–35</v>
      </c>
      <c r="K39" s="100">
        <f t="shared" si="2"/>
        <v>49461</v>
      </c>
      <c r="L39" s="101" t="str">
        <f t="shared" si="2"/>
        <v>2034–35</v>
      </c>
    </row>
    <row r="40" spans="1:21" x14ac:dyDescent="0.2">
      <c r="C40" s="98">
        <v>49827</v>
      </c>
      <c r="D40" s="27"/>
      <c r="E40" s="27"/>
      <c r="F40" s="27"/>
      <c r="G40" s="99">
        <v>2036</v>
      </c>
      <c r="H40" s="100">
        <f t="shared" si="0"/>
        <v>49827</v>
      </c>
      <c r="I40" s="101" t="str">
        <f t="shared" si="1"/>
        <v>2035–36</v>
      </c>
      <c r="K40" s="100">
        <f t="shared" si="2"/>
        <v>49827</v>
      </c>
      <c r="L40" s="101" t="str">
        <f t="shared" si="2"/>
        <v>2035–36</v>
      </c>
    </row>
    <row r="41" spans="1:21" x14ac:dyDescent="0.2">
      <c r="C41" s="98">
        <v>50192</v>
      </c>
      <c r="D41" s="27"/>
      <c r="E41" s="27"/>
      <c r="F41" s="27"/>
      <c r="G41" s="99">
        <v>2037</v>
      </c>
      <c r="H41" s="100">
        <f t="shared" si="0"/>
        <v>50192</v>
      </c>
      <c r="I41" s="101" t="str">
        <f t="shared" si="1"/>
        <v>2036–37</v>
      </c>
      <c r="K41" s="100">
        <f t="shared" si="2"/>
        <v>50192</v>
      </c>
      <c r="L41" s="101" t="str">
        <f t="shared" si="2"/>
        <v>2036–37</v>
      </c>
    </row>
    <row r="42" spans="1:21" x14ac:dyDescent="0.2">
      <c r="C42" s="98">
        <v>50557</v>
      </c>
      <c r="D42" s="27"/>
      <c r="E42" s="27"/>
      <c r="F42" s="27"/>
      <c r="G42" s="99">
        <v>2038</v>
      </c>
      <c r="H42" s="100">
        <f t="shared" si="0"/>
        <v>50557</v>
      </c>
      <c r="I42" s="101" t="str">
        <f t="shared" si="1"/>
        <v>2037–38</v>
      </c>
      <c r="K42" s="100">
        <f t="shared" si="2"/>
        <v>50557</v>
      </c>
      <c r="L42" s="101" t="str">
        <f t="shared" si="2"/>
        <v>2037–38</v>
      </c>
    </row>
    <row r="43" spans="1:21" x14ac:dyDescent="0.2">
      <c r="C43" s="98">
        <v>50922</v>
      </c>
      <c r="D43" s="27"/>
      <c r="E43" s="27"/>
      <c r="F43" s="27"/>
      <c r="G43" s="99">
        <v>2039</v>
      </c>
      <c r="H43" s="100">
        <f t="shared" si="0"/>
        <v>50922</v>
      </c>
      <c r="I43" s="101" t="str">
        <f t="shared" si="1"/>
        <v>2038–39</v>
      </c>
      <c r="K43" s="100">
        <f t="shared" si="2"/>
        <v>50922</v>
      </c>
      <c r="L43" s="101" t="str">
        <f t="shared" si="2"/>
        <v>2038–39</v>
      </c>
    </row>
    <row r="44" spans="1:21" x14ac:dyDescent="0.2">
      <c r="C44" s="98">
        <v>51288</v>
      </c>
      <c r="D44" s="27"/>
      <c r="E44" s="27"/>
      <c r="F44" s="27"/>
      <c r="G44" s="99">
        <v>2040</v>
      </c>
      <c r="H44" s="100">
        <f t="shared" si="0"/>
        <v>51288</v>
      </c>
      <c r="I44" s="101" t="str">
        <f>G44-1&amp;"–"&amp;RIGHT(G44,2)</f>
        <v>2039–40</v>
      </c>
      <c r="K44" s="100">
        <f t="shared" ref="K44:L46" si="3">H44</f>
        <v>51288</v>
      </c>
      <c r="L44" s="101" t="str">
        <f t="shared" si="3"/>
        <v>2039–40</v>
      </c>
    </row>
    <row r="45" spans="1:21" x14ac:dyDescent="0.2">
      <c r="C45" s="98">
        <v>51653</v>
      </c>
      <c r="D45" s="27"/>
      <c r="E45" s="27"/>
      <c r="F45" s="27"/>
      <c r="G45" s="99">
        <v>2041</v>
      </c>
      <c r="H45" s="100">
        <f t="shared" si="0"/>
        <v>51653</v>
      </c>
      <c r="I45" s="101" t="str">
        <f>G45-1&amp;"–"&amp;RIGHT(G45,2)</f>
        <v>2040–41</v>
      </c>
      <c r="K45" s="100">
        <f t="shared" si="3"/>
        <v>51653</v>
      </c>
      <c r="L45" s="101" t="str">
        <f t="shared" si="3"/>
        <v>2040–41</v>
      </c>
    </row>
    <row r="46" spans="1:21" x14ac:dyDescent="0.2">
      <c r="C46" s="98">
        <v>52018</v>
      </c>
      <c r="D46" s="27"/>
      <c r="E46" s="27"/>
      <c r="F46" s="27"/>
      <c r="G46" s="99">
        <v>2042</v>
      </c>
      <c r="H46" s="100">
        <f t="shared" si="0"/>
        <v>52018</v>
      </c>
      <c r="I46" s="101" t="str">
        <f>G46-1&amp;"–"&amp;RIGHT(G46,2)</f>
        <v>2041–42</v>
      </c>
      <c r="K46" s="100">
        <f t="shared" si="3"/>
        <v>52018</v>
      </c>
      <c r="L46" s="101" t="str">
        <f t="shared" si="3"/>
        <v>2041–42</v>
      </c>
    </row>
    <row r="47" spans="1:21" x14ac:dyDescent="0.2">
      <c r="H47" s="26" t="s">
        <v>57</v>
      </c>
    </row>
    <row r="48" spans="1:21" s="5" customFormat="1" ht="10.5" x14ac:dyDescent="0.25">
      <c r="A48" s="145"/>
      <c r="B48" s="145" t="s">
        <v>58</v>
      </c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33"/>
      <c r="P48" s="33"/>
      <c r="Q48" s="33"/>
      <c r="R48" s="33"/>
      <c r="S48" s="33"/>
      <c r="T48" s="34"/>
      <c r="U48" s="34"/>
    </row>
    <row r="49" spans="1:21" x14ac:dyDescent="0.2"/>
    <row r="50" spans="1:21" ht="10.5" x14ac:dyDescent="0.25">
      <c r="C50" s="35" t="str">
        <f>B48</f>
        <v>Regulatory years</v>
      </c>
      <c r="D50" s="28"/>
      <c r="E50" s="28"/>
      <c r="F50" s="36"/>
      <c r="G50" s="36" t="s">
        <v>59</v>
      </c>
      <c r="H50" s="36" t="s">
        <v>11</v>
      </c>
    </row>
    <row r="51" spans="1:21" x14ac:dyDescent="0.2">
      <c r="C51" s="42" t="s">
        <v>60</v>
      </c>
      <c r="D51" s="27"/>
      <c r="E51" s="27"/>
      <c r="F51" s="27"/>
      <c r="G51" s="72" t="str">
        <f>RCP_firstyear</f>
        <v>2025–26</v>
      </c>
      <c r="H51" s="100">
        <f>INDEX($H$24:$H$46,MATCH(G51,$I$24:$I$46))</f>
        <v>46174</v>
      </c>
    </row>
    <row r="52" spans="1:21" x14ac:dyDescent="0.2">
      <c r="C52" s="42" t="s">
        <v>61</v>
      </c>
      <c r="D52" s="27"/>
      <c r="E52" s="27"/>
      <c r="F52" s="27"/>
      <c r="G52" s="72" t="str">
        <f>INDEX('Lookup Tables'!I24:I34,MATCH(RCP_firstyear,'Lookup Tables'!I24:I34)+1)</f>
        <v>2026–27</v>
      </c>
      <c r="H52" s="100">
        <f>INDEX($H$24:$H$46,MATCH(G52,$I$24:$I$46))</f>
        <v>46539</v>
      </c>
    </row>
    <row r="53" spans="1:21" x14ac:dyDescent="0.2">
      <c r="C53" s="42" t="s">
        <v>62</v>
      </c>
      <c r="D53" s="27"/>
      <c r="E53" s="27"/>
      <c r="F53" s="27"/>
      <c r="G53" s="72" t="str">
        <f>INDEX('Lookup Tables'!I24:I34,MATCH(RCP_firstyear,'Lookup Tables'!I24:I34)+2)</f>
        <v>2027–28</v>
      </c>
      <c r="H53" s="100">
        <f>INDEX($H$24:$H$46,MATCH(G53,$I$24:$I$46))</f>
        <v>46905</v>
      </c>
    </row>
    <row r="54" spans="1:21" x14ac:dyDescent="0.2">
      <c r="C54" s="42" t="s">
        <v>63</v>
      </c>
      <c r="D54" s="27"/>
      <c r="E54" s="27"/>
      <c r="F54" s="27"/>
      <c r="G54" s="72" t="str">
        <f>INDEX('Lookup Tables'!I24:I34,MATCH(RCP_firstyear,'Lookup Tables'!I24:I34)+3)</f>
        <v>2028–29</v>
      </c>
      <c r="H54" s="100">
        <f>INDEX($H$24:$H$46,MATCH(G54,$I$24:$I$46))</f>
        <v>47270</v>
      </c>
    </row>
    <row r="55" spans="1:21" x14ac:dyDescent="0.2">
      <c r="C55" s="42" t="s">
        <v>64</v>
      </c>
      <c r="D55" s="27"/>
      <c r="E55" s="27"/>
      <c r="F55" s="27"/>
      <c r="G55" s="72" t="str">
        <f>INDEX('Lookup Tables'!I24:I34,MATCH(RCP_firstyear,'Lookup Tables'!I24:I34)+4)</f>
        <v>2029–30</v>
      </c>
      <c r="H55" s="100">
        <f>INDEX($H$24:$H$46,MATCH(G55,$I$24:$I$46))</f>
        <v>47635</v>
      </c>
    </row>
    <row r="56" spans="1:21" x14ac:dyDescent="0.2">
      <c r="C56" s="42"/>
      <c r="D56" s="27"/>
      <c r="E56" s="27"/>
      <c r="F56" s="27"/>
      <c r="G56" s="74"/>
      <c r="H56" s="103"/>
    </row>
    <row r="57" spans="1:21" s="5" customFormat="1" ht="10.5" x14ac:dyDescent="0.25">
      <c r="A57" s="145"/>
      <c r="B57" s="145" t="s">
        <v>1</v>
      </c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33"/>
      <c r="P57" s="33"/>
      <c r="Q57" s="33"/>
      <c r="R57" s="33"/>
      <c r="S57" s="33"/>
      <c r="T57" s="34"/>
      <c r="U57" s="34"/>
    </row>
    <row r="58" spans="1:21" x14ac:dyDescent="0.2"/>
    <row r="59" spans="1:21" ht="10.5" x14ac:dyDescent="0.25">
      <c r="C59" s="35" t="str">
        <f>B57</f>
        <v>DNSP name</v>
      </c>
      <c r="D59" s="28" t="s">
        <v>7</v>
      </c>
      <c r="E59" s="28"/>
      <c r="F59" s="36"/>
      <c r="G59" s="36"/>
      <c r="H59" s="36"/>
    </row>
    <row r="60" spans="1:21" x14ac:dyDescent="0.2">
      <c r="C60" s="42"/>
      <c r="D60" s="27" t="s">
        <v>9</v>
      </c>
      <c r="E60" s="27"/>
      <c r="F60" s="27"/>
      <c r="G60" s="160" t="s">
        <v>10</v>
      </c>
      <c r="H60" s="161"/>
      <c r="I60" s="104" t="s">
        <v>65</v>
      </c>
    </row>
    <row r="61" spans="1:21" x14ac:dyDescent="0.2">
      <c r="C61" s="42"/>
      <c r="D61" s="27" t="s">
        <v>9</v>
      </c>
      <c r="E61" s="27"/>
      <c r="F61" s="27"/>
      <c r="G61" s="160" t="s">
        <v>66</v>
      </c>
      <c r="H61" s="161"/>
      <c r="I61" s="104" t="s">
        <v>65</v>
      </c>
    </row>
    <row r="62" spans="1:21" x14ac:dyDescent="0.2"/>
    <row r="63" spans="1:21" s="5" customFormat="1" ht="10.5" x14ac:dyDescent="0.25">
      <c r="A63" s="145"/>
      <c r="B63" s="145" t="s">
        <v>3</v>
      </c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33"/>
      <c r="P63" s="33"/>
      <c r="Q63" s="33"/>
      <c r="R63" s="33"/>
      <c r="S63" s="33"/>
      <c r="T63" s="34"/>
      <c r="U63" s="34"/>
    </row>
    <row r="64" spans="1:21" x14ac:dyDescent="0.2"/>
    <row r="65" x14ac:dyDescent="0.2"/>
    <row r="66" x14ac:dyDescent="0.2"/>
    <row r="67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</sheetData>
  <mergeCells count="2">
    <mergeCell ref="G61:H61"/>
    <mergeCell ref="G60:H60"/>
  </mergeCells>
  <hyperlinks>
    <hyperlink ref="G1" location="'Pricing model - ACS'!A1" display="Back to Index" xr:uid="{00000000-0004-0000-0700-000000000000}"/>
  </hyperlinks>
  <pageMargins left="0.7" right="0.7" top="0.75" bottom="0.75" header="0.3" footer="0.3"/>
  <pageSetup paperSize="9" orientation="portrait" verticalDpi="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9F7B-2447-4CD5-856E-5DAB59C28879}">
  <sheetPr codeName="Sheet26">
    <tabColor theme="1"/>
  </sheetPr>
  <dimension ref="A1:AI69"/>
  <sheetViews>
    <sheetView showGridLines="0" zoomScaleNormal="100" workbookViewId="0">
      <selection activeCell="D20" sqref="D20"/>
    </sheetView>
  </sheetViews>
  <sheetFormatPr defaultColWidth="0" defaultRowHeight="0" customHeight="1" zeroHeight="1" x14ac:dyDescent="0.2"/>
  <cols>
    <col min="1" max="2" width="1.36328125" style="26" customWidth="1"/>
    <col min="3" max="3" width="16.36328125" style="26" customWidth="1"/>
    <col min="4" max="4" width="15.453125" style="26" customWidth="1"/>
    <col min="5" max="5" width="33.08984375" style="26" customWidth="1"/>
    <col min="6" max="6" width="12.90625" style="26" customWidth="1"/>
    <col min="7" max="7" width="17" style="26" customWidth="1"/>
    <col min="8" max="8" width="102" style="26" customWidth="1"/>
    <col min="9" max="9" width="4.08984375" style="26" customWidth="1"/>
    <col min="10" max="10" width="5.54296875" style="26" customWidth="1"/>
    <col min="11" max="11" width="8" style="26" hidden="1" customWidth="1"/>
    <col min="12" max="19" width="8.453125" style="26" hidden="1" customWidth="1"/>
    <col min="20" max="20" width="1.36328125" style="26" hidden="1" customWidth="1"/>
    <col min="21" max="21" width="9" style="26" hidden="1" customWidth="1"/>
    <col min="22" max="22" width="1.36328125" style="26" hidden="1" customWidth="1"/>
    <col min="23" max="16384" width="9" style="26" hidden="1"/>
  </cols>
  <sheetData>
    <row r="1" spans="1:35" s="1" customFormat="1" ht="15.5" x14ac:dyDescent="0.35">
      <c r="B1" s="2"/>
      <c r="C1" s="2"/>
      <c r="D1" s="2"/>
      <c r="E1" s="2"/>
      <c r="F1" s="3"/>
      <c r="G1" s="31"/>
      <c r="H1" s="3"/>
      <c r="I1" s="106"/>
      <c r="J1" s="5"/>
      <c r="K1" s="6"/>
      <c r="L1" s="6"/>
      <c r="M1" s="7"/>
      <c r="N1" s="8"/>
      <c r="O1" s="8"/>
      <c r="P1" s="5"/>
      <c r="Q1" s="5"/>
      <c r="R1" s="6"/>
      <c r="S1" s="9"/>
      <c r="T1" s="5"/>
      <c r="U1" s="10"/>
      <c r="V1" s="9"/>
      <c r="W1" s="5"/>
    </row>
    <row r="2" spans="1:35" s="1" customFormat="1" ht="13" x14ac:dyDescent="0.3">
      <c r="B2" s="46" t="e">
        <f>'Pricing model - ACS'!#REF!</f>
        <v>#REF!</v>
      </c>
      <c r="C2" s="46"/>
      <c r="D2" s="46"/>
      <c r="E2" s="46"/>
      <c r="F2" s="95"/>
      <c r="G2" s="95"/>
      <c r="H2" s="95"/>
    </row>
    <row r="3" spans="1:35" s="19" customFormat="1" ht="13" x14ac:dyDescent="0.3">
      <c r="B3" s="46">
        <v>0</v>
      </c>
      <c r="D3" s="96"/>
      <c r="E3" s="96"/>
    </row>
    <row r="4" spans="1:35" s="19" customFormat="1" ht="10" x14ac:dyDescent="0.2">
      <c r="D4" s="96"/>
      <c r="E4" s="96"/>
    </row>
    <row r="5" spans="1:35" s="5" customFormat="1" ht="13" x14ac:dyDescent="0.3">
      <c r="A5" s="145"/>
      <c r="B5" s="145"/>
      <c r="C5" s="145" t="s">
        <v>2</v>
      </c>
      <c r="D5" s="145"/>
      <c r="E5" s="145"/>
      <c r="F5" s="145"/>
      <c r="G5" s="145"/>
      <c r="H5" s="145"/>
      <c r="I5" s="145"/>
      <c r="J5" s="145"/>
      <c r="K5" s="30"/>
      <c r="L5" s="30"/>
      <c r="M5" s="30"/>
      <c r="N5" s="30"/>
      <c r="O5" s="24"/>
      <c r="P5" s="25"/>
      <c r="Q5" s="24"/>
      <c r="R5" s="25"/>
      <c r="S5" s="24"/>
      <c r="T5" s="24"/>
      <c r="U5" s="24"/>
      <c r="V5" s="24"/>
      <c r="W5" s="24"/>
      <c r="X5" s="24"/>
      <c r="Y5" s="24"/>
      <c r="Z5" s="24"/>
      <c r="AA5" s="25"/>
      <c r="AB5" s="25"/>
      <c r="AC5" s="33"/>
      <c r="AD5" s="33"/>
      <c r="AE5" s="33"/>
      <c r="AF5" s="33"/>
      <c r="AG5" s="33"/>
      <c r="AH5" s="34"/>
      <c r="AI5" s="34"/>
    </row>
    <row r="6" spans="1:35" ht="10" x14ac:dyDescent="0.2">
      <c r="C6" s="59"/>
      <c r="D6" s="47"/>
      <c r="E6" s="47"/>
      <c r="F6" s="47"/>
      <c r="G6" s="57"/>
      <c r="H6" s="60"/>
      <c r="I6" s="58"/>
    </row>
    <row r="7" spans="1:35" ht="10.5" x14ac:dyDescent="0.25">
      <c r="C7" s="65" t="s">
        <v>67</v>
      </c>
      <c r="D7" s="55" t="s">
        <v>68</v>
      </c>
      <c r="E7" s="55" t="s">
        <v>0</v>
      </c>
      <c r="F7" s="66"/>
      <c r="G7" s="107"/>
      <c r="H7" s="67"/>
      <c r="I7" s="58"/>
    </row>
    <row r="8" spans="1:35" ht="10" x14ac:dyDescent="0.2">
      <c r="C8" s="59" t="s">
        <v>75</v>
      </c>
      <c r="E8" s="26" t="s">
        <v>92</v>
      </c>
      <c r="F8" s="47"/>
      <c r="G8" s="57"/>
      <c r="H8" s="60"/>
      <c r="I8" s="58"/>
    </row>
    <row r="9" spans="1:35" ht="10" x14ac:dyDescent="0.2">
      <c r="C9" s="59" t="s">
        <v>69</v>
      </c>
      <c r="D9" s="108"/>
      <c r="F9" s="47"/>
      <c r="G9" s="57"/>
      <c r="H9" s="60"/>
      <c r="I9" s="58"/>
    </row>
    <row r="10" spans="1:35" ht="10" x14ac:dyDescent="0.2">
      <c r="C10" s="59"/>
      <c r="D10" s="108"/>
      <c r="F10" s="47"/>
      <c r="G10" s="57"/>
      <c r="H10" s="60"/>
      <c r="I10" s="58"/>
    </row>
    <row r="11" spans="1:35" ht="10" x14ac:dyDescent="0.2">
      <c r="C11" s="59"/>
      <c r="D11" s="108"/>
      <c r="F11" s="47"/>
      <c r="G11" s="57"/>
      <c r="H11" s="60"/>
      <c r="I11" s="58"/>
    </row>
    <row r="12" spans="1:35" ht="10" x14ac:dyDescent="0.2">
      <c r="C12" s="59"/>
      <c r="D12" s="108"/>
      <c r="F12" s="47"/>
      <c r="G12" s="57"/>
      <c r="H12" s="60"/>
      <c r="I12" s="58"/>
    </row>
    <row r="13" spans="1:35" ht="10" x14ac:dyDescent="0.2">
      <c r="C13" s="59"/>
      <c r="D13" s="108"/>
      <c r="F13" s="47"/>
      <c r="G13" s="57"/>
      <c r="H13" s="60"/>
      <c r="I13" s="58"/>
    </row>
    <row r="14" spans="1:35" ht="10" x14ac:dyDescent="0.2">
      <c r="C14" s="59"/>
      <c r="D14" s="108"/>
      <c r="F14" s="47"/>
      <c r="G14" s="57"/>
      <c r="H14" s="60"/>
      <c r="I14" s="58"/>
    </row>
    <row r="15" spans="1:35" ht="10" x14ac:dyDescent="0.2">
      <c r="C15" s="59"/>
      <c r="D15" s="108"/>
      <c r="F15" s="47"/>
      <c r="G15" s="57"/>
      <c r="H15" s="60"/>
      <c r="I15" s="58"/>
    </row>
    <row r="16" spans="1:35" ht="10" x14ac:dyDescent="0.2">
      <c r="C16" s="59"/>
      <c r="D16" s="108"/>
      <c r="F16" s="47"/>
      <c r="G16" s="57"/>
      <c r="H16" s="60"/>
      <c r="I16" s="58"/>
    </row>
    <row r="17" spans="3:9" ht="10" x14ac:dyDescent="0.2">
      <c r="C17" s="59"/>
      <c r="D17" s="108"/>
      <c r="F17" s="47"/>
      <c r="G17" s="57"/>
      <c r="H17" s="60"/>
      <c r="I17" s="58"/>
    </row>
    <row r="18" spans="3:9" ht="10" x14ac:dyDescent="0.2">
      <c r="C18" s="59"/>
      <c r="D18" s="108"/>
      <c r="F18" s="47"/>
      <c r="G18" s="57"/>
      <c r="H18" s="60"/>
      <c r="I18" s="58"/>
    </row>
    <row r="19" spans="3:9" ht="10" x14ac:dyDescent="0.2">
      <c r="C19" s="59"/>
      <c r="D19" s="108"/>
      <c r="F19" s="47"/>
      <c r="G19" s="57"/>
      <c r="H19" s="60"/>
      <c r="I19" s="58"/>
    </row>
    <row r="20" spans="3:9" ht="10" x14ac:dyDescent="0.2">
      <c r="C20" s="59"/>
      <c r="D20" s="108"/>
      <c r="F20" s="47"/>
      <c r="G20" s="57"/>
      <c r="H20" s="60"/>
      <c r="I20" s="58"/>
    </row>
    <row r="21" spans="3:9" ht="10" x14ac:dyDescent="0.2">
      <c r="C21" s="59"/>
      <c r="D21" s="108"/>
      <c r="F21" s="47"/>
      <c r="G21" s="57"/>
      <c r="H21" s="60"/>
      <c r="I21" s="58"/>
    </row>
    <row r="22" spans="3:9" ht="10" x14ac:dyDescent="0.2">
      <c r="C22" s="59"/>
      <c r="D22" s="108"/>
      <c r="F22" s="47"/>
      <c r="G22" s="57"/>
      <c r="H22" s="60"/>
      <c r="I22" s="58"/>
    </row>
    <row r="23" spans="3:9" ht="10" x14ac:dyDescent="0.2">
      <c r="C23" s="59"/>
      <c r="D23" s="108"/>
      <c r="F23" s="47"/>
      <c r="G23" s="57"/>
      <c r="H23" s="60"/>
      <c r="I23" s="58"/>
    </row>
    <row r="24" spans="3:9" ht="10" x14ac:dyDescent="0.2">
      <c r="C24" s="59"/>
      <c r="F24" s="47"/>
      <c r="G24" s="57"/>
      <c r="H24" s="60"/>
      <c r="I24" s="58"/>
    </row>
    <row r="25" spans="3:9" ht="10" x14ac:dyDescent="0.2">
      <c r="C25" s="59"/>
      <c r="F25" s="47"/>
      <c r="G25" s="57"/>
      <c r="H25" s="60"/>
      <c r="I25" s="58"/>
    </row>
    <row r="26" spans="3:9" ht="10" x14ac:dyDescent="0.2">
      <c r="C26" s="59"/>
      <c r="F26" s="47"/>
      <c r="G26" s="57"/>
      <c r="H26" s="60"/>
      <c r="I26" s="58"/>
    </row>
    <row r="27" spans="3:9" ht="10" x14ac:dyDescent="0.2">
      <c r="C27" s="59"/>
      <c r="F27" s="47"/>
      <c r="G27" s="57"/>
      <c r="H27" s="60"/>
      <c r="I27" s="58"/>
    </row>
    <row r="28" spans="3:9" ht="10" x14ac:dyDescent="0.2">
      <c r="C28" s="59"/>
      <c r="F28" s="47"/>
      <c r="G28" s="57"/>
      <c r="H28" s="60"/>
      <c r="I28" s="58"/>
    </row>
    <row r="29" spans="3:9" ht="10" x14ac:dyDescent="0.2">
      <c r="C29" s="59"/>
      <c r="F29" s="47"/>
      <c r="G29" s="57"/>
      <c r="H29" s="60"/>
      <c r="I29" s="58"/>
    </row>
    <row r="30" spans="3:9" ht="10" x14ac:dyDescent="0.2">
      <c r="C30" s="59"/>
      <c r="F30" s="47"/>
      <c r="G30" s="57"/>
      <c r="H30" s="60"/>
      <c r="I30" s="58"/>
    </row>
    <row r="31" spans="3:9" ht="10" x14ac:dyDescent="0.2">
      <c r="C31" s="59"/>
      <c r="F31" s="47"/>
      <c r="G31" s="57"/>
      <c r="H31" s="60"/>
      <c r="I31" s="58"/>
    </row>
    <row r="32" spans="3:9" ht="10" x14ac:dyDescent="0.2">
      <c r="C32" s="59"/>
      <c r="F32" s="47"/>
      <c r="G32" s="57"/>
      <c r="H32" s="60"/>
      <c r="I32" s="58"/>
    </row>
    <row r="33" spans="3:9" ht="10" x14ac:dyDescent="0.2">
      <c r="C33" s="59"/>
      <c r="F33" s="47"/>
      <c r="G33" s="57"/>
      <c r="H33" s="60"/>
      <c r="I33" s="58"/>
    </row>
    <row r="34" spans="3:9" ht="10" x14ac:dyDescent="0.2">
      <c r="C34" s="59"/>
      <c r="F34" s="47"/>
      <c r="G34" s="57"/>
      <c r="H34" s="60"/>
      <c r="I34" s="58"/>
    </row>
    <row r="35" spans="3:9" ht="10" x14ac:dyDescent="0.2">
      <c r="C35" s="59"/>
      <c r="F35" s="47"/>
      <c r="G35" s="57"/>
      <c r="H35" s="60"/>
      <c r="I35" s="58"/>
    </row>
    <row r="36" spans="3:9" ht="10" x14ac:dyDescent="0.2">
      <c r="C36" s="59"/>
      <c r="F36" s="47"/>
      <c r="G36" s="57"/>
      <c r="H36" s="60"/>
      <c r="I36" s="58"/>
    </row>
    <row r="37" spans="3:9" ht="10" x14ac:dyDescent="0.2">
      <c r="C37" s="59"/>
      <c r="F37" s="47"/>
      <c r="G37" s="57"/>
      <c r="H37" s="60"/>
      <c r="I37" s="58"/>
    </row>
    <row r="38" spans="3:9" ht="10" x14ac:dyDescent="0.2">
      <c r="C38" s="59"/>
      <c r="F38" s="47"/>
      <c r="G38" s="57"/>
      <c r="H38" s="60"/>
      <c r="I38" s="58"/>
    </row>
    <row r="39" spans="3:9" ht="10" x14ac:dyDescent="0.2">
      <c r="C39" s="59"/>
      <c r="F39" s="47"/>
      <c r="G39" s="57"/>
      <c r="H39" s="60"/>
      <c r="I39" s="58"/>
    </row>
    <row r="40" spans="3:9" ht="10" x14ac:dyDescent="0.2">
      <c r="C40" s="59"/>
      <c r="F40" s="47"/>
      <c r="G40" s="57"/>
      <c r="H40" s="60"/>
      <c r="I40" s="58"/>
    </row>
    <row r="41" spans="3:9" ht="10" x14ac:dyDescent="0.2">
      <c r="C41" s="59"/>
      <c r="F41" s="47"/>
      <c r="G41" s="57"/>
      <c r="H41" s="60"/>
      <c r="I41" s="58"/>
    </row>
    <row r="42" spans="3:9" ht="10" x14ac:dyDescent="0.2">
      <c r="C42" s="59"/>
      <c r="F42" s="47"/>
      <c r="G42" s="57"/>
      <c r="H42" s="60"/>
      <c r="I42" s="58"/>
    </row>
    <row r="43" spans="3:9" ht="10" x14ac:dyDescent="0.2">
      <c r="C43" s="59"/>
      <c r="F43" s="47"/>
      <c r="G43" s="57"/>
      <c r="H43" s="60"/>
      <c r="I43" s="58"/>
    </row>
    <row r="44" spans="3:9" ht="10" x14ac:dyDescent="0.2">
      <c r="C44" s="59"/>
      <c r="F44" s="47"/>
      <c r="G44" s="57"/>
      <c r="H44" s="60"/>
      <c r="I44" s="58"/>
    </row>
    <row r="45" spans="3:9" ht="10" x14ac:dyDescent="0.2">
      <c r="C45" s="59"/>
      <c r="F45" s="47"/>
      <c r="G45" s="57"/>
      <c r="H45" s="60"/>
      <c r="I45" s="58"/>
    </row>
    <row r="46" spans="3:9" ht="10" x14ac:dyDescent="0.2">
      <c r="C46" s="59"/>
      <c r="F46" s="47"/>
      <c r="G46" s="57"/>
      <c r="H46" s="60"/>
      <c r="I46" s="58"/>
    </row>
    <row r="47" spans="3:9" ht="10" x14ac:dyDescent="0.2">
      <c r="C47" s="59"/>
      <c r="F47" s="47"/>
      <c r="G47" s="57"/>
      <c r="H47" s="60"/>
      <c r="I47" s="58"/>
    </row>
    <row r="48" spans="3:9" ht="10" x14ac:dyDescent="0.2">
      <c r="C48" s="59"/>
      <c r="F48" s="47"/>
      <c r="G48" s="57"/>
      <c r="H48" s="60"/>
      <c r="I48" s="58"/>
    </row>
    <row r="49" spans="1:35" ht="10" x14ac:dyDescent="0.2">
      <c r="C49" s="59"/>
      <c r="F49" s="47"/>
      <c r="G49" s="57"/>
      <c r="H49" s="60"/>
      <c r="I49" s="58"/>
    </row>
    <row r="50" spans="1:35" ht="10" x14ac:dyDescent="0.2">
      <c r="C50" s="59"/>
      <c r="F50" s="47"/>
      <c r="G50" s="57"/>
      <c r="H50" s="60"/>
      <c r="I50" s="58"/>
    </row>
    <row r="51" spans="1:35" ht="10" x14ac:dyDescent="0.2">
      <c r="C51" s="59"/>
      <c r="F51" s="47"/>
      <c r="G51" s="57"/>
      <c r="H51" s="60"/>
      <c r="I51" s="58"/>
    </row>
    <row r="52" spans="1:35" ht="10" x14ac:dyDescent="0.2">
      <c r="C52" s="59"/>
      <c r="F52" s="47"/>
      <c r="G52" s="57"/>
      <c r="H52" s="60"/>
      <c r="I52" s="58"/>
    </row>
    <row r="53" spans="1:35" ht="10" x14ac:dyDescent="0.2">
      <c r="C53" s="59"/>
      <c r="F53" s="47"/>
      <c r="G53" s="57"/>
      <c r="H53" s="60"/>
      <c r="I53" s="58"/>
    </row>
    <row r="54" spans="1:35" ht="13" x14ac:dyDescent="0.3">
      <c r="C54" s="109"/>
      <c r="F54" s="47"/>
      <c r="G54" s="47"/>
      <c r="H54" s="47"/>
      <c r="I54" s="62"/>
    </row>
    <row r="55" spans="1:35" s="5" customFormat="1" ht="13" x14ac:dyDescent="0.3">
      <c r="A55" s="22"/>
      <c r="B55" s="23" t="s">
        <v>3</v>
      </c>
      <c r="C55" s="22"/>
      <c r="D55" s="22"/>
      <c r="E55" s="22"/>
      <c r="F55" s="22"/>
      <c r="G55" s="22"/>
      <c r="H55" s="22"/>
      <c r="I55" s="22"/>
      <c r="J55" s="22"/>
      <c r="K55" s="30"/>
      <c r="L55" s="30"/>
      <c r="M55" s="30"/>
      <c r="N55" s="30"/>
      <c r="O55" s="24"/>
      <c r="P55" s="25"/>
      <c r="Q55" s="24"/>
      <c r="R55" s="25"/>
      <c r="S55" s="24"/>
      <c r="T55" s="24"/>
      <c r="U55" s="24"/>
      <c r="V55" s="24"/>
      <c r="W55" s="24"/>
      <c r="X55" s="24"/>
      <c r="Y55" s="24"/>
      <c r="Z55" s="24"/>
      <c r="AA55" s="25"/>
      <c r="AB55" s="25"/>
      <c r="AC55" s="33"/>
      <c r="AD55" s="33"/>
      <c r="AE55" s="33"/>
      <c r="AF55" s="33"/>
      <c r="AG55" s="33"/>
      <c r="AH55" s="34"/>
      <c r="AI55" s="34"/>
    </row>
    <row r="56" spans="1:35" ht="10" hidden="1" x14ac:dyDescent="0.2">
      <c r="D56" s="47"/>
      <c r="E56" s="47"/>
      <c r="F56" s="47"/>
      <c r="G56" s="47"/>
      <c r="H56" s="47"/>
      <c r="I56" s="47"/>
      <c r="K56" s="63"/>
    </row>
    <row r="57" spans="1:35" ht="10" hidden="1" x14ac:dyDescent="0.2">
      <c r="D57" s="47"/>
      <c r="E57" s="47"/>
      <c r="F57" s="47"/>
      <c r="G57" s="47"/>
      <c r="H57" s="47"/>
      <c r="I57" s="47"/>
      <c r="K57" s="63"/>
    </row>
    <row r="58" spans="1:35" ht="10" hidden="1" x14ac:dyDescent="0.2">
      <c r="D58" s="47"/>
      <c r="E58" s="47"/>
      <c r="F58" s="47"/>
      <c r="G58" s="47"/>
      <c r="H58" s="47"/>
      <c r="I58" s="47"/>
      <c r="K58" s="63"/>
    </row>
    <row r="59" spans="1:35" ht="10" hidden="1" x14ac:dyDescent="0.2">
      <c r="D59" s="47"/>
      <c r="E59" s="47"/>
      <c r="F59" s="47"/>
      <c r="G59" s="47"/>
      <c r="H59" s="47"/>
      <c r="I59" s="47"/>
      <c r="K59" s="63"/>
    </row>
    <row r="60" spans="1:35" ht="10" hidden="1" x14ac:dyDescent="0.2">
      <c r="D60" s="47"/>
      <c r="E60" s="47"/>
      <c r="F60" s="47"/>
      <c r="G60" s="47"/>
      <c r="H60" s="47"/>
      <c r="I60" s="47"/>
      <c r="K60" s="63"/>
    </row>
    <row r="61" spans="1:35" ht="10" hidden="1" x14ac:dyDescent="0.2">
      <c r="C61" s="47"/>
      <c r="D61" s="47"/>
      <c r="E61" s="47"/>
      <c r="F61" s="47"/>
      <c r="G61" s="47"/>
      <c r="H61" s="47"/>
      <c r="I61" s="47"/>
      <c r="K61" s="63"/>
    </row>
    <row r="62" spans="1:35" ht="10" hidden="1" x14ac:dyDescent="0.2">
      <c r="C62" s="47"/>
      <c r="D62" s="47"/>
      <c r="E62" s="47"/>
      <c r="F62" s="47"/>
      <c r="G62" s="47"/>
      <c r="H62" s="47"/>
      <c r="I62" s="47"/>
      <c r="K62" s="63"/>
    </row>
    <row r="63" spans="1:35" ht="10" hidden="1" x14ac:dyDescent="0.2">
      <c r="C63" s="47"/>
      <c r="D63" s="47"/>
      <c r="E63" s="47"/>
      <c r="F63" s="47"/>
      <c r="G63" s="47"/>
      <c r="H63" s="47"/>
      <c r="I63" s="47"/>
    </row>
    <row r="64" spans="1:35" ht="10" hidden="1" x14ac:dyDescent="0.2">
      <c r="D64" s="47"/>
      <c r="E64" s="47"/>
      <c r="F64" s="47"/>
      <c r="G64" s="47"/>
      <c r="H64" s="47"/>
      <c r="I64" s="47"/>
    </row>
    <row r="65" spans="3:9" ht="10" hidden="1" x14ac:dyDescent="0.2">
      <c r="D65" s="47"/>
      <c r="E65" s="47"/>
      <c r="F65" s="47"/>
      <c r="G65" s="47"/>
      <c r="H65" s="47"/>
      <c r="I65" s="47"/>
    </row>
    <row r="66" spans="3:9" ht="10" hidden="1" x14ac:dyDescent="0.2">
      <c r="D66" s="47"/>
      <c r="E66" s="47"/>
      <c r="F66" s="47"/>
      <c r="G66" s="47"/>
      <c r="H66" s="47"/>
      <c r="I66" s="47"/>
    </row>
    <row r="67" spans="3:9" ht="10" hidden="1" x14ac:dyDescent="0.2">
      <c r="D67" s="47"/>
      <c r="E67" s="47"/>
      <c r="F67" s="47"/>
      <c r="G67" s="47"/>
      <c r="H67" s="47"/>
      <c r="I67" s="47"/>
    </row>
    <row r="68" spans="3:9" ht="10" hidden="1" x14ac:dyDescent="0.2">
      <c r="D68" s="47"/>
      <c r="E68" s="47"/>
      <c r="F68" s="47"/>
      <c r="G68" s="47"/>
      <c r="H68" s="47"/>
      <c r="I68" s="47"/>
    </row>
    <row r="69" spans="3:9" ht="13" hidden="1" x14ac:dyDescent="0.3">
      <c r="C69" s="61"/>
      <c r="D69" s="47"/>
      <c r="E69" s="47"/>
      <c r="F69" s="47"/>
      <c r="G69" s="47"/>
      <c r="H69" s="47"/>
      <c r="I69" s="47"/>
    </row>
  </sheetData>
  <pageMargins left="0.7" right="0.7" top="0.75" bottom="0.75" header="0.3" footer="0.3"/>
  <pageSetup paperSize="9" orientation="portrait" verticalDpi="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8" ma:contentTypeDescription="Create a new document." ma:contentTypeScope="" ma:versionID="fe022befd84da52ba15364465a8790c2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b7f0fafd62cf9a741538c9a92a27f551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TaxCatchAll xmlns="2b6314a3-02c5-49ae-9e9b-4170ca21d125" xsi:nil="true"/>
    <SharedWithUsers xmlns="2b6314a3-02c5-49ae-9e9b-4170ca21d125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F1B923-A2EC-4632-9D33-10790D8D5AE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304e25-41f7-439f-a0b4-57d6fe7814bb"/>
    <ds:schemaRef ds:uri="2b6314a3-02c5-49ae-9e9b-4170ca21d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5F1078-D813-469D-8938-C471F71FBB07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2b6314a3-02c5-49ae-9e9b-4170ca21d125"/>
    <ds:schemaRef ds:uri="db304e25-41f7-439f-a0b4-57d6fe7814bb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7F7EEF8-DF75-4507-B127-92DEB227254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11</vt:i4>
      </vt:variant>
    </vt:vector>
  </HeadingPairs>
  <TitlesOfParts>
    <vt:vector size="16" baseType="lpstr">
      <vt:lpstr>Pricing model - ACS</vt:lpstr>
      <vt:lpstr>General Inputs</vt:lpstr>
      <vt:lpstr>ERG -Security Lighting Services</vt:lpstr>
      <vt:lpstr>Lookup Tables</vt:lpstr>
      <vt:lpstr>Model update log</vt:lpstr>
      <vt:lpstr>cents</vt:lpstr>
      <vt:lpstr>currentyear</vt:lpstr>
      <vt:lpstr>DNSP</vt:lpstr>
      <vt:lpstr>dollars</vt:lpstr>
      <vt:lpstr>forecastyear</vt:lpstr>
      <vt:lpstr>RCP_firstyear</vt:lpstr>
      <vt:lpstr>RCP_fourthyear</vt:lpstr>
      <vt:lpstr>RCP_lastyear</vt:lpstr>
      <vt:lpstr>RCP_secondyear</vt:lpstr>
      <vt:lpstr>RCP_thirdyear</vt:lpstr>
      <vt:lpstr>yearending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2022-07-28T22:35:07Z</dcterms:created>
  <dcterms:modified xsi:type="dcterms:W3CDTF">2023-12-08T03:34:30Z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  <property fmtid="{D5CDD505-2E9C-101B-9397-08002B2CF9AE}" pid="3" name="Order">
    <vt:r8>41300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