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4" documentId="13_ncr:1_{920A4986-AAAF-4C41-8D85-6327FBB9F8C4}" xr6:coauthVersionLast="47" xr6:coauthVersionMax="47" xr10:uidLastSave="{28C5D9F7-B85F-45DD-AA64-7AA3BD5F7CA6}"/>
  <bookViews>
    <workbookView xWindow="-120" yWindow="-120" windowWidth="25440" windowHeight="15390" tabRatio="691" firstSheet="6" activeTab="7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FY20 Capex" sheetId="14" r:id="rId4"/>
    <sheet name="Input | Reported Capex" sheetId="3" r:id="rId5"/>
    <sheet name="Calc | CESS Revenue Increments" sheetId="4" r:id="rId6"/>
    <sheet name="Output | Models" sheetId="10" r:id="rId7"/>
    <sheet name="Output|FY20 CESS adjustment" sheetId="15" r:id="rId8"/>
  </sheets>
  <externalReferences>
    <externalReference r:id="rId9"/>
    <externalReference r:id="rId10"/>
  </externalReferences>
  <definedNames>
    <definedName name="dollars" localSheetId="3">#REF!</definedName>
    <definedName name="dollars" localSheetId="7">#REF!</definedName>
    <definedName name="dollars">#REF!</definedName>
    <definedName name="factor" localSheetId="3">#REF!</definedName>
    <definedName name="factor" localSheetId="7">#REF!</definedName>
    <definedName name="factor">#REF!</definedName>
    <definedName name="millions" localSheetId="3">#REF!</definedName>
    <definedName name="millions" localSheetId="7">#REF!</definedName>
    <definedName name="millions">#REF!</definedName>
    <definedName name="Nominal_to_Real">'[1]Input|Rate of change'!$C$23:$C$26</definedName>
    <definedName name="number">#REF!</definedName>
    <definedName name="percent" localSheetId="6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F19" i="15"/>
  <c r="J7" i="15"/>
  <c r="I21" i="15" s="1"/>
  <c r="I7" i="15"/>
  <c r="H7" i="15"/>
  <c r="G7" i="15"/>
  <c r="F6" i="15"/>
  <c r="L19" i="3"/>
  <c r="L20" i="3"/>
  <c r="L18" i="3"/>
  <c r="H21" i="15" l="1"/>
  <c r="G21" i="15" s="1"/>
  <c r="F21" i="15" s="1"/>
  <c r="F23" i="15" s="1"/>
  <c r="G6" i="15"/>
  <c r="H6" i="15" s="1"/>
  <c r="I6" i="15" s="1"/>
  <c r="J6" i="15" s="1"/>
  <c r="F7" i="15"/>
  <c r="K11" i="14"/>
  <c r="K10" i="14"/>
  <c r="K9" i="14"/>
  <c r="K12" i="14"/>
  <c r="I14" i="14"/>
  <c r="H13" i="2"/>
  <c r="G13" i="2" s="1"/>
  <c r="F13" i="2" s="1"/>
  <c r="E13" i="2" s="1"/>
  <c r="D13" i="2" s="1"/>
  <c r="D18" i="2"/>
  <c r="E18" i="2" s="1"/>
  <c r="F18" i="2" s="1"/>
  <c r="G18" i="2" s="1"/>
  <c r="H18" i="2" s="1"/>
  <c r="H14" i="14" l="1"/>
  <c r="K14" i="14"/>
  <c r="G7" i="13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L22" i="1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L15" i="13"/>
  <c r="M15" i="13" s="1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N22" i="13"/>
  <c r="F25" i="4" s="1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H18" i="4" l="1"/>
  <c r="H21" i="4" s="1"/>
  <c r="D35" i="4" s="1"/>
  <c r="P22" i="13"/>
  <c r="H25" i="4" s="1"/>
  <c r="H27" i="4" s="1"/>
  <c r="P15" i="13"/>
  <c r="L30" i="3"/>
  <c r="L31" i="3" s="1"/>
  <c r="H26" i="4" s="1"/>
  <c r="G28" i="4"/>
  <c r="H28" i="4" l="1"/>
  <c r="D31" i="4" s="1"/>
  <c r="D34" i="4" s="1"/>
  <c r="D36" i="4" s="1"/>
  <c r="D42" i="4" s="1"/>
  <c r="E42" i="4" l="1"/>
  <c r="F10" i="15"/>
  <c r="F12" i="15" s="1"/>
  <c r="F13" i="15" s="1"/>
  <c r="D33" i="4"/>
  <c r="J8" i="10"/>
  <c r="J14" i="15" l="1"/>
  <c r="I14" i="15"/>
  <c r="H14" i="15"/>
  <c r="G14" i="15"/>
  <c r="G19" i="15" s="1"/>
  <c r="G23" i="15" s="1"/>
  <c r="F22" i="15"/>
  <c r="F42" i="4"/>
  <c r="G10" i="15"/>
  <c r="G12" i="15" s="1"/>
  <c r="G13" i="15" s="1"/>
  <c r="K8" i="10"/>
  <c r="I15" i="15" l="1"/>
  <c r="H15" i="15"/>
  <c r="G22" i="15"/>
  <c r="J15" i="15"/>
  <c r="G42" i="4"/>
  <c r="H10" i="15"/>
  <c r="H12" i="15" s="1"/>
  <c r="H13" i="15" s="1"/>
  <c r="H19" i="15"/>
  <c r="H23" i="15" s="1"/>
  <c r="L8" i="10"/>
  <c r="H42" i="4" l="1"/>
  <c r="J10" i="15" s="1"/>
  <c r="J12" i="15" s="1"/>
  <c r="J13" i="15" s="1"/>
  <c r="J22" i="15" s="1"/>
  <c r="I10" i="15"/>
  <c r="I12" i="15" s="1"/>
  <c r="I13" i="15" s="1"/>
  <c r="H22" i="15"/>
  <c r="J16" i="15"/>
  <c r="I16" i="15"/>
  <c r="I19" i="15" s="1"/>
  <c r="I23" i="15" s="1"/>
  <c r="M8" i="10"/>
  <c r="I22" i="15" l="1"/>
  <c r="J17" i="15"/>
  <c r="J19" i="15" s="1"/>
  <c r="J23" i="15" s="1"/>
  <c r="N8" i="10"/>
  <c r="O8" i="10" s="1"/>
  <c r="D44" i="4"/>
  <c r="J24" i="15" l="1"/>
  <c r="N4" i="15" l="1"/>
  <c r="K4" i="15"/>
  <c r="F28" i="15" s="1"/>
  <c r="M4" i="15"/>
  <c r="L4" i="15"/>
  <c r="O4" i="15"/>
  <c r="G28" i="15" l="1"/>
  <c r="H28" i="15" s="1"/>
  <c r="I28" i="15" s="1"/>
  <c r="J28" i="15" s="1"/>
  <c r="H29" i="15" s="1"/>
  <c r="F29" i="15" l="1"/>
  <c r="G29" i="15"/>
  <c r="I29" i="15"/>
  <c r="J29" i="15"/>
  <c r="F3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5" authorId="0" shapeId="0" xr:uid="{FBDFBB9A-A118-4FA0-AF68-DB423027DB4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9" authorId="0" shapeId="0" xr:uid="{0A80C68E-8A5C-44DF-867D-CD2B52EA963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sharedStrings.xml><?xml version="1.0" encoding="utf-8"?>
<sst xmlns="http://schemas.openxmlformats.org/spreadsheetml/2006/main" count="291" uniqueCount="142">
  <si>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</si>
  <si>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</si>
  <si>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</si>
  <si>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</si>
  <si>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</si>
  <si>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</si>
  <si>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</si>
  <si>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</si>
  <si>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</si>
  <si>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</si>
  <si>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</si>
  <si>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</si>
  <si>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</si>
  <si>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</si>
  <si>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</si>
  <si>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</si>
  <si>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</si>
  <si>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</si>
  <si>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</si>
  <si>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</si>
  <si>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</si>
  <si>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</si>
  <si>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</si>
  <si>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</si>
  <si>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</si>
  <si>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</si>
  <si>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</si>
  <si>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</si>
  <si>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</si>
  <si>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</si>
  <si>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</si>
  <si>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</si>
  <si>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</si>
  <si>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</si>
  <si>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</si>
  <si>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</si>
  <si>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</si>
  <si>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</si>
  <si>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</si>
  <si>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</si>
  <si>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</si>
  <si>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</si>
  <si>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</si>
  <si>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</si>
  <si>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</si>
  <si>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</si>
  <si>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</si>
  <si>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</si>
  <si>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</si>
  <si>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</si>
  <si>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</si>
  <si>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</si>
  <si>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</si>
  <si>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</si>
  <si>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</si>
  <si>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</si>
  <si>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</si>
  <si>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</si>
  <si>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</si>
  <si>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</si>
  <si>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</si>
  <si>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</si>
  <si>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</si>
  <si>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</si>
  <si>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</si>
  <si>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</si>
  <si>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</si>
  <si>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</si>
  <si>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</si>
  <si>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</si>
  <si>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</si>
  <si>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</si>
  <si>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</si>
  <si>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</si>
  <si>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</si>
  <si>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</si>
  <si>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</si>
  <si>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</si>
  <si>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</si>
  <si>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</si>
  <si>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</si>
  <si>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</si>
  <si>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</si>
  <si>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</si>
  <si>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</si>
  <si>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</si>
  <si>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</si>
  <si>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</si>
  <si>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</si>
  <si>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</si>
  <si>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</si>
  <si>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</si>
  <si>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</si>
  <si>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</si>
  <si>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</si>
  <si>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</si>
  <si>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</si>
  <si>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</si>
  <si>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</si>
  <si>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2021-25</t>
  </si>
  <si>
    <t>Base regulatory year</t>
  </si>
  <si>
    <t>Energex</t>
  </si>
  <si>
    <t>DNSP</t>
  </si>
  <si>
    <t>2020-21</t>
  </si>
  <si>
    <t>Final Decision</t>
  </si>
  <si>
    <t>Movements in provisions 
allocated to 
as-incurred capex</t>
  </si>
  <si>
    <t>2019-20</t>
  </si>
  <si>
    <t>Final Year Difference</t>
  </si>
  <si>
    <t>AER FD</t>
  </si>
  <si>
    <t>Column I is Actual FY20 capex</t>
  </si>
  <si>
    <t>Column H is from the AER Final Determination, which was based on forecast FY20 Capex</t>
  </si>
  <si>
    <t>Data sources:</t>
  </si>
  <si>
    <t xml:space="preserve">Distribution </t>
  </si>
  <si>
    <t>2020–21</t>
  </si>
  <si>
    <t>2021–22</t>
  </si>
  <si>
    <t>2022–23</t>
  </si>
  <si>
    <t>2023–24</t>
  </si>
  <si>
    <t>2024-25</t>
  </si>
  <si>
    <t>2025–26</t>
  </si>
  <si>
    <t>2026–27</t>
  </si>
  <si>
    <t>2027–28</t>
  </si>
  <si>
    <t>2028–29</t>
  </si>
  <si>
    <t>2029-30</t>
  </si>
  <si>
    <t>Real vanilla WACC</t>
  </si>
  <si>
    <t>AER FD PTRM 2020-25, 2023 RoD Update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</si>
  <si>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</si>
  <si>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</si>
  <si>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</si>
  <si>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</si>
  <si>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AER Final Decision (FY20 Forecast Capex)</t>
  </si>
  <si>
    <t>2018–19</t>
  </si>
  <si>
    <t>Adjusted for FY20 Actual Capex</t>
  </si>
  <si>
    <t>Difference in CESS increment amounts</t>
  </si>
  <si>
    <t>Benefit A</t>
  </si>
  <si>
    <t>Benefit B</t>
  </si>
  <si>
    <t>NPV Difference in CESS increment amounts</t>
  </si>
  <si>
    <t>NPV of CESS payment adjustments</t>
  </si>
  <si>
    <t>Calc | Total FY19 CESS Payment Adjustments</t>
  </si>
  <si>
    <t>CESS Payment Per Year ($2023–24 million)</t>
  </si>
  <si>
    <t>Total CESS Payment ($2023–24 million)</t>
  </si>
  <si>
    <t>2024–25</t>
  </si>
  <si>
    <t>PER ORIGINAL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</si>
</sst>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8" formatCode="&quot;$&quot;#,##0.00;[Red]\-&quot;$&quot;#,##0.00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0.000"/>
    <numFmt numFmtId="191" formatCode="_(* #,##0.0_);_(* \(#,##0.0\);_(* &quot;-&quot;?_);_(@_)"/>
    <numFmt numFmtId="192" formatCode="_-* #,##0.00000_-;\-* #,##0.00000_-;_-* &quot;-&quot;??_-;_-@_-"/>
    <numFmt numFmtId="193" formatCode="_-* #,##0.000_-;\-* #,##0.000_-;_-* &quot;-&quot;??_-;_-@_-"/>
  </numFmts>
  <fonts count="11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5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7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4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6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6" fontId="23" fillId="39" borderId="0" applyFont="0" applyBorder="0" applyAlignment="0"/>
    <xf numFmtId="191" fontId="23" fillId="39" borderId="0" applyFont="0" applyBorder="0">
      <alignment horizontal="right"/>
    </xf>
    <xf numFmtId="164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4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1" fontId="96" fillId="28" borderId="35" applyFont="0" applyBorder="0" applyAlignment="0"/>
    <xf numFmtId="176" fontId="51" fillId="28" borderId="0" applyFont="0" applyBorder="0" applyAlignment="0"/>
    <xf numFmtId="166" fontId="11" fillId="0" borderId="0" applyFont="0" applyFill="0" applyBorder="0" applyAlignment="0" applyProtection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166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6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3" fillId="48" borderId="0" applyFont="0" applyBorder="0" applyAlignment="0">
      <alignment horizontal="right"/>
      <protection locked="0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48" borderId="0" applyFont="0" applyBorder="0" applyAlignment="0">
      <alignment horizontal="right"/>
      <protection locked="0"/>
    </xf>
    <xf numFmtId="164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71" fillId="57" borderId="0">
      <alignment horizontal="left" vertical="center"/>
      <protection locked="0"/>
    </xf>
    <xf numFmtId="0" fontId="105" fillId="56" borderId="0">
      <alignment vertical="center"/>
      <protection locked="0"/>
    </xf>
    <xf numFmtId="0" fontId="23" fillId="0" borderId="0" applyFill="0"/>
    <xf numFmtId="0" fontId="23" fillId="0" borderId="0"/>
    <xf numFmtId="0" fontId="11" fillId="0" borderId="0"/>
    <xf numFmtId="0" fontId="106" fillId="56" borderId="44">
      <alignment vertical="center"/>
    </xf>
    <xf numFmtId="166" fontId="107" fillId="0" borderId="0" applyFont="0" applyFill="0" applyBorder="0" applyAlignment="0" applyProtection="0"/>
    <xf numFmtId="0" fontId="107" fillId="0" borderId="0"/>
    <xf numFmtId="43" fontId="11" fillId="0" borderId="0" applyFont="0" applyFill="0" applyBorder="0" applyAlignment="0" applyProtection="0"/>
  </cellStyleXfs>
  <cellXfs count="244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5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190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0" fontId="24" fillId="3" borderId="26" xfId="0" applyNumberFormat="1" applyFont="1" applyFill="1" applyBorder="1" applyAlignment="1">
      <alignment horizontal="center" vertical="center"/>
    </xf>
    <xf numFmtId="166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0" fillId="0" borderId="0" xfId="265" applyFont="1" applyFill="1" applyBorder="1" applyAlignment="1" applyProtection="1">
      <alignment horizontal="center" vertical="center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6" fontId="24" fillId="0" borderId="2" xfId="304" applyFont="1" applyFill="1" applyBorder="1" applyAlignment="1">
      <alignment horizontal="right" vertical="center"/>
    </xf>
    <xf numFmtId="166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0" fontId="8" fillId="3" borderId="0" xfId="0" applyFont="1" applyFill="1"/>
    <xf numFmtId="190" fontId="24" fillId="3" borderId="26" xfId="268" applyNumberFormat="1" applyFont="1" applyFill="1" applyBorder="1" applyAlignment="1">
      <alignment horizontal="center" vertical="center"/>
    </xf>
    <xf numFmtId="190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8" fillId="3" borderId="0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22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0" fontId="89" fillId="3" borderId="0" xfId="0" applyFont="1" applyFill="1" applyAlignment="1">
      <alignment horizontal="center" vertical="center"/>
    </xf>
    <xf numFmtId="0" fontId="108" fillId="0" borderId="0" xfId="0" applyFont="1"/>
    <xf numFmtId="0" fontId="0" fillId="0" borderId="0" xfId="0" applyAlignment="1">
      <alignment horizontal="right"/>
    </xf>
    <xf numFmtId="10" fontId="0" fillId="0" borderId="0" xfId="268" applyNumberFormat="1" applyFont="1"/>
    <xf numFmtId="10" fontId="0" fillId="0" borderId="0" xfId="0" applyNumberFormat="1"/>
    <xf numFmtId="10" fontId="0" fillId="0" borderId="0" xfId="268" applyNumberFormat="1" applyFont="1" applyFill="1"/>
    <xf numFmtId="190" fontId="0" fillId="0" borderId="0" xfId="0" applyNumberFormat="1"/>
    <xf numFmtId="193" fontId="0" fillId="0" borderId="0" xfId="358" applyNumberFormat="1" applyFont="1"/>
    <xf numFmtId="43" fontId="0" fillId="0" borderId="0" xfId="358" applyFont="1"/>
    <xf numFmtId="189" fontId="0" fillId="0" borderId="0" xfId="358" applyNumberFormat="1" applyFont="1"/>
    <xf numFmtId="43" fontId="0" fillId="0" borderId="0" xfId="0" applyNumberFormat="1"/>
    <xf numFmtId="8" fontId="0" fillId="0" borderId="0" xfId="0" applyNumberFormat="1"/>
    <xf numFmtId="0" fontId="108" fillId="0" borderId="0" xfId="0" applyFont="1" applyAlignment="1">
      <alignment horizontal="right"/>
    </xf>
    <xf numFmtId="43" fontId="108" fillId="0" borderId="0" xfId="358" applyFont="1"/>
    <xf numFmtId="0" fontId="79" fillId="58" borderId="0" xfId="0" applyFont="1" applyFill="1" applyBorder="1" applyAlignment="1"/>
    <xf numFmtId="0" fontId="10" fillId="58" borderId="0" xfId="0" applyFont="1" applyFill="1" applyAlignment="1">
      <alignment horizontal="center" vertical="center"/>
    </xf>
    <xf numFmtId="2" fontId="10" fillId="58" borderId="0" xfId="0" applyNumberFormat="1" applyFont="1" applyFill="1" applyAlignment="1">
      <alignment horizontal="center" vertical="center"/>
    </xf>
    <xf numFmtId="0" fontId="10" fillId="58" borderId="0" xfId="0" applyFont="1" applyFill="1" applyBorder="1" applyAlignment="1">
      <alignment horizontal="center" vertical="center"/>
    </xf>
    <xf numFmtId="0" fontId="22" fillId="58" borderId="0" xfId="0" applyNumberFormat="1" applyFont="1" applyFill="1" applyBorder="1" applyAlignment="1" applyProtection="1">
      <alignment horizontal="right" vertical="center"/>
    </xf>
    <xf numFmtId="0" fontId="15" fillId="58" borderId="0" xfId="0" applyFont="1" applyFill="1" applyAlignment="1">
      <alignment horizontal="center" vertical="center"/>
    </xf>
    <xf numFmtId="0" fontId="15" fillId="58" borderId="0" xfId="0" applyFont="1" applyFill="1" applyBorder="1" applyAlignment="1">
      <alignment horizontal="center" vertical="center"/>
    </xf>
    <xf numFmtId="166" fontId="24" fillId="58" borderId="2" xfId="304" applyFont="1" applyFill="1" applyBorder="1" applyAlignment="1">
      <alignment horizontal="right" vertical="center"/>
    </xf>
    <xf numFmtId="166" fontId="24" fillId="58" borderId="37" xfId="304" applyFont="1" applyFill="1" applyBorder="1" applyAlignment="1">
      <alignment horizontal="right" vertical="center"/>
    </xf>
    <xf numFmtId="168" fontId="24" fillId="58" borderId="2" xfId="0" applyNumberFormat="1" applyFont="1" applyFill="1" applyBorder="1" applyAlignment="1">
      <alignment horizontal="right" vertical="center"/>
    </xf>
    <xf numFmtId="168" fontId="24" fillId="58" borderId="37" xfId="0" applyNumberFormat="1" applyFont="1" applyFill="1" applyBorder="1" applyAlignment="1">
      <alignment horizontal="right" vertical="center"/>
    </xf>
    <xf numFmtId="0" fontId="0" fillId="58" borderId="0" xfId="0" applyFill="1"/>
    <xf numFmtId="168" fontId="24" fillId="58" borderId="6" xfId="0" applyNumberFormat="1" applyFont="1" applyFill="1" applyBorder="1" applyAlignment="1">
      <alignment horizontal="right" vertical="center"/>
    </xf>
    <xf numFmtId="0" fontId="24" fillId="58" borderId="0" xfId="0" applyFont="1" applyFill="1" applyAlignment="1">
      <alignment horizontal="center" vertical="center"/>
    </xf>
    <xf numFmtId="168" fontId="24" fillId="58" borderId="0" xfId="0" applyNumberFormat="1" applyFont="1" applyFill="1" applyBorder="1" applyAlignment="1">
      <alignment horizontal="center" vertical="center"/>
    </xf>
    <xf numFmtId="0" fontId="15" fillId="58" borderId="0" xfId="0" applyFont="1" applyFill="1" applyBorder="1" applyAlignment="1">
      <alignment horizontal="left" vertical="center" wrapText="1"/>
    </xf>
    <xf numFmtId="0" fontId="88" fillId="3" borderId="23" xfId="3" applyNumberFormat="1" applyFont="1" applyFill="1" applyBorder="1" applyAlignment="1" applyProtection="1">
      <alignment horizontal="center"/>
    </xf>
  </cellXfs>
  <cellStyles count="35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40" xr:uid="{00000000-0005-0000-0000-000050000000}"/>
    <cellStyle name="Comma 14 2" xfId="358" xr:uid="{9DD62C63-552A-4D82-A4F5-1C3983E1BE9A}"/>
    <cellStyle name="Comma 15" xfId="345" xr:uid="{00000000-0005-0000-0000-000051000000}"/>
    <cellStyle name="Comma 2" xfId="71" xr:uid="{00000000-0005-0000-0000-000052000000}"/>
    <cellStyle name="Comma 2 2" xfId="72" xr:uid="{00000000-0005-0000-0000-000053000000}"/>
    <cellStyle name="Comma 2 2 2" xfId="308" xr:uid="{00000000-0005-0000-0000-000054000000}"/>
    <cellStyle name="Comma 2 3" xfId="73" xr:uid="{00000000-0005-0000-0000-000055000000}"/>
    <cellStyle name="Comma 2 3 2" xfId="74" xr:uid="{00000000-0005-0000-0000-000056000000}"/>
    <cellStyle name="Comma 2 3 2 2" xfId="310" xr:uid="{00000000-0005-0000-0000-000057000000}"/>
    <cellStyle name="Comma 2 3 3" xfId="309" xr:uid="{00000000-0005-0000-0000-000058000000}"/>
    <cellStyle name="Comma 2 4" xfId="75" xr:uid="{00000000-0005-0000-0000-000059000000}"/>
    <cellStyle name="Comma 2 4 2" xfId="311" xr:uid="{00000000-0005-0000-0000-00005A000000}"/>
    <cellStyle name="Comma 2 5" xfId="76" xr:uid="{00000000-0005-0000-0000-00005B000000}"/>
    <cellStyle name="Comma 2 5 2" xfId="312" xr:uid="{00000000-0005-0000-0000-00005C000000}"/>
    <cellStyle name="Comma 2 6" xfId="307" xr:uid="{00000000-0005-0000-0000-00005D000000}"/>
    <cellStyle name="Comma 3" xfId="77" xr:uid="{00000000-0005-0000-0000-00005E000000}"/>
    <cellStyle name="Comma 3 2" xfId="78" xr:uid="{00000000-0005-0000-0000-00005F000000}"/>
    <cellStyle name="Comma 3 3" xfId="79" xr:uid="{00000000-0005-0000-0000-000060000000}"/>
    <cellStyle name="Comma 3 3 2" xfId="313" xr:uid="{00000000-0005-0000-0000-000061000000}"/>
    <cellStyle name="Comma 4" xfId="80" xr:uid="{00000000-0005-0000-0000-000062000000}"/>
    <cellStyle name="Comma 4 2" xfId="314" xr:uid="{00000000-0005-0000-0000-000063000000}"/>
    <cellStyle name="Comma 5" xfId="81" xr:uid="{00000000-0005-0000-0000-000064000000}"/>
    <cellStyle name="Comma 5 2" xfId="315" xr:uid="{00000000-0005-0000-0000-000065000000}"/>
    <cellStyle name="Comma 6" xfId="82" xr:uid="{00000000-0005-0000-0000-000066000000}"/>
    <cellStyle name="Comma 6 2" xfId="316" xr:uid="{00000000-0005-0000-0000-000067000000}"/>
    <cellStyle name="Comma 7" xfId="83" xr:uid="{00000000-0005-0000-0000-000068000000}"/>
    <cellStyle name="Comma 7 2" xfId="317" xr:uid="{00000000-0005-0000-0000-000069000000}"/>
    <cellStyle name="Comma 8" xfId="84" xr:uid="{00000000-0005-0000-0000-00006A000000}"/>
    <cellStyle name="Comma 8 2" xfId="318" xr:uid="{00000000-0005-0000-0000-00006B000000}"/>
    <cellStyle name="Comma 9" xfId="267" xr:uid="{00000000-0005-0000-0000-00006C000000}"/>
    <cellStyle name="Comma 9 2" xfId="332" xr:uid="{00000000-0005-0000-0000-00006D000000}"/>
    <cellStyle name="Comma 9 4" xfId="356" xr:uid="{00000000-0005-0000-0000-00006E000000}"/>
    <cellStyle name="Comma0" xfId="85" xr:uid="{00000000-0005-0000-0000-00006F000000}"/>
    <cellStyle name="Currency 11" xfId="86" xr:uid="{00000000-0005-0000-0000-000070000000}"/>
    <cellStyle name="Currency 11 2" xfId="87" xr:uid="{00000000-0005-0000-0000-000071000000}"/>
    <cellStyle name="Currency 11 2 2" xfId="320" xr:uid="{00000000-0005-0000-0000-000072000000}"/>
    <cellStyle name="Currency 11 3" xfId="319" xr:uid="{00000000-0005-0000-0000-000073000000}"/>
    <cellStyle name="Currency 2" xfId="88" xr:uid="{00000000-0005-0000-0000-000074000000}"/>
    <cellStyle name="Currency 2 2" xfId="89" xr:uid="{00000000-0005-0000-0000-000075000000}"/>
    <cellStyle name="Currency 2 2 2" xfId="322" xr:uid="{00000000-0005-0000-0000-000076000000}"/>
    <cellStyle name="Currency 2 2 3" xfId="346" xr:uid="{00000000-0005-0000-0000-000077000000}"/>
    <cellStyle name="Currency 2 3" xfId="321" xr:uid="{00000000-0005-0000-0000-000078000000}"/>
    <cellStyle name="Currency 2 3 2" xfId="347" xr:uid="{00000000-0005-0000-0000-000079000000}"/>
    <cellStyle name="Currency 3" xfId="90" xr:uid="{00000000-0005-0000-0000-00007A000000}"/>
    <cellStyle name="Currency 3 2" xfId="91" xr:uid="{00000000-0005-0000-0000-00007B000000}"/>
    <cellStyle name="Currency 3 2 2" xfId="324" xr:uid="{00000000-0005-0000-0000-00007C000000}"/>
    <cellStyle name="Currency 3 3" xfId="323" xr:uid="{00000000-0005-0000-0000-00007D000000}"/>
    <cellStyle name="Currency 4" xfId="92" xr:uid="{00000000-0005-0000-0000-00007E000000}"/>
    <cellStyle name="Currency 4 2" xfId="93" xr:uid="{00000000-0005-0000-0000-00007F000000}"/>
    <cellStyle name="Currency 4 2 2" xfId="326" xr:uid="{00000000-0005-0000-0000-000080000000}"/>
    <cellStyle name="Currency 4 3" xfId="325" xr:uid="{00000000-0005-0000-0000-000081000000}"/>
    <cellStyle name="Currency 5" xfId="94" xr:uid="{00000000-0005-0000-0000-000082000000}"/>
    <cellStyle name="Currency 5 2" xfId="284" xr:uid="{00000000-0005-0000-0000-000083000000}"/>
    <cellStyle name="Currency 5 2 2" xfId="335" xr:uid="{00000000-0005-0000-0000-000084000000}"/>
    <cellStyle name="Currency 5 3" xfId="327" xr:uid="{00000000-0005-0000-0000-000085000000}"/>
    <cellStyle name="Currency 6" xfId="341" xr:uid="{00000000-0005-0000-0000-000086000000}"/>
    <cellStyle name="D4_B8B1_005004B79812_.wvu.PrintTitlest" xfId="95" xr:uid="{00000000-0005-0000-0000-000087000000}"/>
    <cellStyle name="Date" xfId="96" xr:uid="{00000000-0005-0000-0000-000088000000}"/>
    <cellStyle name="Date 2" xfId="97" xr:uid="{00000000-0005-0000-0000-000089000000}"/>
    <cellStyle name="dms_1" xfId="355" xr:uid="{00000000-0005-0000-0000-00008A000000}"/>
    <cellStyle name="Emphasis 1" xfId="98" xr:uid="{00000000-0005-0000-0000-00008B000000}"/>
    <cellStyle name="Emphasis 2" xfId="99" xr:uid="{00000000-0005-0000-0000-00008C000000}"/>
    <cellStyle name="Emphasis 3" xfId="100" xr:uid="{00000000-0005-0000-0000-00008D000000}"/>
    <cellStyle name="Empty_Cell" xfId="101" xr:uid="{00000000-0005-0000-0000-00008E000000}"/>
    <cellStyle name="Euro" xfId="102" xr:uid="{00000000-0005-0000-0000-00008F000000}"/>
    <cellStyle name="Explanatory Text 2" xfId="103" xr:uid="{00000000-0005-0000-0000-000090000000}"/>
    <cellStyle name="Fixed" xfId="104" xr:uid="{00000000-0005-0000-0000-000091000000}"/>
    <cellStyle name="Fixed 2" xfId="105" xr:uid="{00000000-0005-0000-0000-000092000000}"/>
    <cellStyle name="Gilsans" xfId="106" xr:uid="{00000000-0005-0000-0000-000093000000}"/>
    <cellStyle name="Gilsansl" xfId="107" xr:uid="{00000000-0005-0000-0000-000094000000}"/>
    <cellStyle name="Good 2" xfId="108" xr:uid="{00000000-0005-0000-0000-000095000000}"/>
    <cellStyle name="Header1" xfId="109" xr:uid="{00000000-0005-0000-0000-000096000000}"/>
    <cellStyle name="Header2" xfId="110" xr:uid="{00000000-0005-0000-0000-000097000000}"/>
    <cellStyle name="Header3" xfId="111" xr:uid="{00000000-0005-0000-0000-000098000000}"/>
    <cellStyle name="Header4" xfId="112" xr:uid="{00000000-0005-0000-0000-000099000000}"/>
    <cellStyle name="Header5" xfId="113" xr:uid="{00000000-0005-0000-0000-00009A000000}"/>
    <cellStyle name="Heading 1 2" xfId="114" xr:uid="{00000000-0005-0000-0000-00009B000000}"/>
    <cellStyle name="Heading 1 2 2" xfId="115" xr:uid="{00000000-0005-0000-0000-00009C000000}"/>
    <cellStyle name="Heading 1 3" xfId="116" xr:uid="{00000000-0005-0000-0000-00009D000000}"/>
    <cellStyle name="Heading 2 2" xfId="117" xr:uid="{00000000-0005-0000-0000-00009E000000}"/>
    <cellStyle name="Heading 2 2 2" xfId="118" xr:uid="{00000000-0005-0000-0000-00009F000000}"/>
    <cellStyle name="Heading 2 3" xfId="119" xr:uid="{00000000-0005-0000-0000-0000A0000000}"/>
    <cellStyle name="Heading 3 2" xfId="120" xr:uid="{00000000-0005-0000-0000-0000A1000000}"/>
    <cellStyle name="Heading 3 2 2" xfId="121" xr:uid="{00000000-0005-0000-0000-0000A2000000}"/>
    <cellStyle name="Heading 3 3" xfId="122" xr:uid="{00000000-0005-0000-0000-0000A3000000}"/>
    <cellStyle name="Heading 4 2" xfId="123" xr:uid="{00000000-0005-0000-0000-0000A4000000}"/>
    <cellStyle name="Heading 4 2 2" xfId="124" xr:uid="{00000000-0005-0000-0000-0000A5000000}"/>
    <cellStyle name="Heading 4 3" xfId="125" xr:uid="{00000000-0005-0000-0000-0000A6000000}"/>
    <cellStyle name="Heading(4)" xfId="126" xr:uid="{00000000-0005-0000-0000-0000A7000000}"/>
    <cellStyle name="Hyperlink" xfId="2" builtinId="8"/>
    <cellStyle name="Hyperlink 2" xfId="127" xr:uid="{00000000-0005-0000-0000-0000A9000000}"/>
    <cellStyle name="Hyperlink 3" xfId="263" xr:uid="{00000000-0005-0000-0000-0000AA000000}"/>
    <cellStyle name="Hyperlink 4" xfId="282" xr:uid="{00000000-0005-0000-0000-0000AB000000}"/>
    <cellStyle name="Hyperlink Arrow" xfId="128" xr:uid="{00000000-0005-0000-0000-0000AC000000}"/>
    <cellStyle name="Hyperlink Text" xfId="129" xr:uid="{00000000-0005-0000-0000-0000AD000000}"/>
    <cellStyle name="import" xfId="293" xr:uid="{00000000-0005-0000-0000-0000AE000000}"/>
    <cellStyle name="import%" xfId="294" xr:uid="{00000000-0005-0000-0000-0000AF000000}"/>
    <cellStyle name="import_ICRC Electricity model 1-1  (1 Feb 2003) " xfId="295" xr:uid="{00000000-0005-0000-0000-0000B0000000}"/>
    <cellStyle name="Input" xfId="1" builtinId="20"/>
    <cellStyle name="Input 2" xfId="130" xr:uid="{00000000-0005-0000-0000-0000B2000000}"/>
    <cellStyle name="Input 2 2" xfId="276" xr:uid="{00000000-0005-0000-0000-0000B3000000}"/>
    <cellStyle name="Input|Date" xfId="131" xr:uid="{00000000-0005-0000-0000-0000B4000000}"/>
    <cellStyle name="Input1" xfId="132" xr:uid="{00000000-0005-0000-0000-0000B5000000}"/>
    <cellStyle name="Input1 2" xfId="133" xr:uid="{00000000-0005-0000-0000-0000B6000000}"/>
    <cellStyle name="Input1 2 2" xfId="329" xr:uid="{00000000-0005-0000-0000-0000B7000000}"/>
    <cellStyle name="Input1 3" xfId="296" xr:uid="{00000000-0005-0000-0000-0000B8000000}"/>
    <cellStyle name="Input1 3 2" xfId="336" xr:uid="{00000000-0005-0000-0000-0000B9000000}"/>
    <cellStyle name="Input1 4" xfId="328" xr:uid="{00000000-0005-0000-0000-0000BA000000}"/>
    <cellStyle name="Input1 5" xfId="342" xr:uid="{00000000-0005-0000-0000-0000BB000000}"/>
    <cellStyle name="Input1%" xfId="297" xr:uid="{00000000-0005-0000-0000-0000BC000000}"/>
    <cellStyle name="Input1_ICRC Electricity model 1-1  (1 Feb 2003) " xfId="298" xr:uid="{00000000-0005-0000-0000-0000BD000000}"/>
    <cellStyle name="Input1default" xfId="299" xr:uid="{00000000-0005-0000-0000-0000BE000000}"/>
    <cellStyle name="Input1default%" xfId="300" xr:uid="{00000000-0005-0000-0000-0000BF000000}"/>
    <cellStyle name="Input2" xfId="134" xr:uid="{00000000-0005-0000-0000-0000C0000000}"/>
    <cellStyle name="Input2 2" xfId="135" xr:uid="{00000000-0005-0000-0000-0000C1000000}"/>
    <cellStyle name="Input3" xfId="136" xr:uid="{00000000-0005-0000-0000-0000C2000000}"/>
    <cellStyle name="Input3 2" xfId="137" xr:uid="{00000000-0005-0000-0000-0000C3000000}"/>
    <cellStyle name="Input3 2 2" xfId="331" xr:uid="{00000000-0005-0000-0000-0000C4000000}"/>
    <cellStyle name="Input3 3" xfId="330" xr:uid="{00000000-0005-0000-0000-0000C5000000}"/>
    <cellStyle name="Input3 4" xfId="343" xr:uid="{00000000-0005-0000-0000-0000C6000000}"/>
    <cellStyle name="Inputs_Divider" xfId="138" xr:uid="{00000000-0005-0000-0000-0000C7000000}"/>
    <cellStyle name="InSheet" xfId="139" xr:uid="{00000000-0005-0000-0000-0000C8000000}"/>
    <cellStyle name="key result" xfId="301" xr:uid="{00000000-0005-0000-0000-0000C9000000}"/>
    <cellStyle name="Lines" xfId="140" xr:uid="{00000000-0005-0000-0000-0000CA000000}"/>
    <cellStyle name="Linked Cell 2" xfId="141" xr:uid="{00000000-0005-0000-0000-0000CB000000}"/>
    <cellStyle name="Local import" xfId="302" xr:uid="{00000000-0005-0000-0000-0000CC000000}"/>
    <cellStyle name="Local import %" xfId="303" xr:uid="{00000000-0005-0000-0000-0000CD000000}"/>
    <cellStyle name="Mine" xfId="142" xr:uid="{00000000-0005-0000-0000-0000CE000000}"/>
    <cellStyle name="Model Name" xfId="143" xr:uid="{00000000-0005-0000-0000-0000CF000000}"/>
    <cellStyle name="Neutral 2" xfId="144" xr:uid="{00000000-0005-0000-0000-0000D0000000}"/>
    <cellStyle name="Normal" xfId="0" builtinId="0"/>
    <cellStyle name="Normal - Style1" xfId="145" xr:uid="{00000000-0005-0000-0000-0000D2000000}"/>
    <cellStyle name="Normal 10" xfId="146" xr:uid="{00000000-0005-0000-0000-0000D3000000}"/>
    <cellStyle name="Normal 10 2" xfId="285" xr:uid="{00000000-0005-0000-0000-0000D4000000}"/>
    <cellStyle name="Normal 10 2 2" xfId="353" xr:uid="{00000000-0005-0000-0000-0000D5000000}"/>
    <cellStyle name="Normal 10 3" xfId="357" xr:uid="{00000000-0005-0000-0000-0000D6000000}"/>
    <cellStyle name="Normal 11" xfId="265" xr:uid="{00000000-0005-0000-0000-0000D7000000}"/>
    <cellStyle name="Normal 114" xfId="352" xr:uid="{00000000-0005-0000-0000-0000D8000000}"/>
    <cellStyle name="Normal 12" xfId="281" xr:uid="{00000000-0005-0000-0000-0000D9000000}"/>
    <cellStyle name="Normal 13" xfId="147" xr:uid="{00000000-0005-0000-0000-0000DA000000}"/>
    <cellStyle name="Normal 13 2" xfId="148" xr:uid="{00000000-0005-0000-0000-0000DB000000}"/>
    <cellStyle name="Normal 13_29(d) - Gas extensions -tariffs" xfId="149" xr:uid="{00000000-0005-0000-0000-0000DC000000}"/>
    <cellStyle name="Normal 14" xfId="271" xr:uid="{00000000-0005-0000-0000-0000DD000000}"/>
    <cellStyle name="Normal 15" xfId="150" xr:uid="{00000000-0005-0000-0000-0000DE000000}"/>
    <cellStyle name="Normal 16" xfId="151" xr:uid="{00000000-0005-0000-0000-0000DF000000}"/>
    <cellStyle name="Normal 17" xfId="339" xr:uid="{00000000-0005-0000-0000-0000E0000000}"/>
    <cellStyle name="Normal 18" xfId="348" xr:uid="{00000000-0005-0000-0000-0000E1000000}"/>
    <cellStyle name="Normal 2" xfId="3" xr:uid="{00000000-0005-0000-0000-0000E2000000}"/>
    <cellStyle name="Normal 2 2" xfId="152" xr:uid="{00000000-0005-0000-0000-0000E3000000}"/>
    <cellStyle name="Normal 2 2 2" xfId="153" xr:uid="{00000000-0005-0000-0000-0000E4000000}"/>
    <cellStyle name="Normal 2 3" xfId="154" xr:uid="{00000000-0005-0000-0000-0000E5000000}"/>
    <cellStyle name="Normal 2 3 2" xfId="155" xr:uid="{00000000-0005-0000-0000-0000E6000000}"/>
    <cellStyle name="Normal 2 3_29(d) - Gas extensions -tariffs" xfId="156" xr:uid="{00000000-0005-0000-0000-0000E7000000}"/>
    <cellStyle name="Normal 2 4" xfId="157" xr:uid="{00000000-0005-0000-0000-0000E8000000}"/>
    <cellStyle name="Normal 2 5" xfId="158" xr:uid="{00000000-0005-0000-0000-0000E9000000}"/>
    <cellStyle name="Normal 2 6" xfId="283" xr:uid="{00000000-0005-0000-0000-0000EA000000}"/>
    <cellStyle name="Normal 2_29(d) - Gas extensions -tariffs" xfId="159" xr:uid="{00000000-0005-0000-0000-0000EB000000}"/>
    <cellStyle name="Normal 3" xfId="160" xr:uid="{00000000-0005-0000-0000-0000EC000000}"/>
    <cellStyle name="Normal 3 2" xfId="161" xr:uid="{00000000-0005-0000-0000-0000ED000000}"/>
    <cellStyle name="Normal 3 3" xfId="290" xr:uid="{00000000-0005-0000-0000-0000EE000000}"/>
    <cellStyle name="Normal 3_29(d) - Gas extensions -tariffs" xfId="162" xr:uid="{00000000-0005-0000-0000-0000EF000000}"/>
    <cellStyle name="Normal 34" xfId="270" xr:uid="{00000000-0005-0000-0000-0000F0000000}"/>
    <cellStyle name="Normal 38" xfId="163" xr:uid="{00000000-0005-0000-0000-0000F1000000}"/>
    <cellStyle name="Normal 38 2" xfId="164" xr:uid="{00000000-0005-0000-0000-0000F2000000}"/>
    <cellStyle name="Normal 38_29(d) - Gas extensions -tariffs" xfId="165" xr:uid="{00000000-0005-0000-0000-0000F3000000}"/>
    <cellStyle name="Normal 4" xfId="166" xr:uid="{00000000-0005-0000-0000-0000F4000000}"/>
    <cellStyle name="Normal 4 2" xfId="167" xr:uid="{00000000-0005-0000-0000-0000F5000000}"/>
    <cellStyle name="Normal 4 3" xfId="168" xr:uid="{00000000-0005-0000-0000-0000F6000000}"/>
    <cellStyle name="Normal 4 3 2" xfId="286" xr:uid="{00000000-0005-0000-0000-0000F7000000}"/>
    <cellStyle name="Normal 4_29(d) - Gas extensions -tariffs" xfId="169" xr:uid="{00000000-0005-0000-0000-0000F8000000}"/>
    <cellStyle name="Normal 40" xfId="170" xr:uid="{00000000-0005-0000-0000-0000F9000000}"/>
    <cellStyle name="Normal 40 2" xfId="171" xr:uid="{00000000-0005-0000-0000-0000FA000000}"/>
    <cellStyle name="Normal 40_29(d) - Gas extensions -tariffs" xfId="172" xr:uid="{00000000-0005-0000-0000-0000FB000000}"/>
    <cellStyle name="Normal 5" xfId="173" xr:uid="{00000000-0005-0000-0000-0000FC000000}"/>
    <cellStyle name="Normal 5 2" xfId="174" xr:uid="{00000000-0005-0000-0000-0000FD000000}"/>
    <cellStyle name="Normal 5 3" xfId="354" xr:uid="{00000000-0005-0000-0000-0000FE000000}"/>
    <cellStyle name="Normal 6" xfId="175" xr:uid="{00000000-0005-0000-0000-0000FF000000}"/>
    <cellStyle name="Normal 6 2" xfId="176" xr:uid="{00000000-0005-0000-0000-000000010000}"/>
    <cellStyle name="Normal 7" xfId="177" xr:uid="{00000000-0005-0000-0000-000001010000}"/>
    <cellStyle name="Normal 7 2" xfId="178" xr:uid="{00000000-0005-0000-0000-000002010000}"/>
    <cellStyle name="Normal 7 2 2" xfId="287" xr:uid="{00000000-0005-0000-0000-000003010000}"/>
    <cellStyle name="Normal 8" xfId="179" xr:uid="{00000000-0005-0000-0000-000004010000}"/>
    <cellStyle name="Normal 9" xfId="180" xr:uid="{00000000-0005-0000-0000-000005010000}"/>
    <cellStyle name="Note 2" xfId="181" xr:uid="{00000000-0005-0000-0000-000006010000}"/>
    <cellStyle name="Note 2 2" xfId="277" xr:uid="{00000000-0005-0000-0000-000007010000}"/>
    <cellStyle name="OffSheet" xfId="182" xr:uid="{00000000-0005-0000-0000-000008010000}"/>
    <cellStyle name="Output 2" xfId="183" xr:uid="{00000000-0005-0000-0000-000009010000}"/>
    <cellStyle name="Output 2 2" xfId="278" xr:uid="{00000000-0005-0000-0000-00000A010000}"/>
    <cellStyle name="Percent" xfId="268" builtinId="5"/>
    <cellStyle name="Percent [2]" xfId="184" xr:uid="{00000000-0005-0000-0000-00000C010000}"/>
    <cellStyle name="Percent [2] 2" xfId="185" xr:uid="{00000000-0005-0000-0000-00000D010000}"/>
    <cellStyle name="Percent [2]_29(d) - Gas extensions -tariffs" xfId="186" xr:uid="{00000000-0005-0000-0000-00000E010000}"/>
    <cellStyle name="Percent 10" xfId="272" xr:uid="{00000000-0005-0000-0000-00000F010000}"/>
    <cellStyle name="Percent 11" xfId="344" xr:uid="{00000000-0005-0000-0000-000010010000}"/>
    <cellStyle name="Percent 12" xfId="349" xr:uid="{00000000-0005-0000-0000-000011010000}"/>
    <cellStyle name="Percent 2" xfId="187" xr:uid="{00000000-0005-0000-0000-000012010000}"/>
    <cellStyle name="Percent 2 2" xfId="188" xr:uid="{00000000-0005-0000-0000-000013010000}"/>
    <cellStyle name="Percent 2 3" xfId="291" xr:uid="{00000000-0005-0000-0000-000014010000}"/>
    <cellStyle name="Percent 3" xfId="189" xr:uid="{00000000-0005-0000-0000-000015010000}"/>
    <cellStyle name="Percent 3 2" xfId="190" xr:uid="{00000000-0005-0000-0000-000016010000}"/>
    <cellStyle name="Percent 4" xfId="191" xr:uid="{00000000-0005-0000-0000-000017010000}"/>
    <cellStyle name="Percent 5" xfId="192" xr:uid="{00000000-0005-0000-0000-000018010000}"/>
    <cellStyle name="Percent 5 2" xfId="288" xr:uid="{00000000-0005-0000-0000-000019010000}"/>
    <cellStyle name="Percent 6" xfId="264" xr:uid="{00000000-0005-0000-0000-00001A010000}"/>
    <cellStyle name="Percent 7" xfId="193" xr:uid="{00000000-0005-0000-0000-00001B010000}"/>
    <cellStyle name="Percent 8" xfId="266" xr:uid="{00000000-0005-0000-0000-00001C010000}"/>
    <cellStyle name="Percent 9" xfId="289" xr:uid="{00000000-0005-0000-0000-00001D010000}"/>
    <cellStyle name="Percentage" xfId="194" xr:uid="{00000000-0005-0000-0000-00001E010000}"/>
    <cellStyle name="Period Title" xfId="195" xr:uid="{00000000-0005-0000-0000-00001F010000}"/>
    <cellStyle name="PSChar" xfId="196" xr:uid="{00000000-0005-0000-0000-000020010000}"/>
    <cellStyle name="PSDate" xfId="197" xr:uid="{00000000-0005-0000-0000-000021010000}"/>
    <cellStyle name="PSDec" xfId="198" xr:uid="{00000000-0005-0000-0000-000022010000}"/>
    <cellStyle name="PSDetail" xfId="199" xr:uid="{00000000-0005-0000-0000-000023010000}"/>
    <cellStyle name="PSHeading" xfId="200" xr:uid="{00000000-0005-0000-0000-000024010000}"/>
    <cellStyle name="PSInt" xfId="201" xr:uid="{00000000-0005-0000-0000-000025010000}"/>
    <cellStyle name="PSSpacer" xfId="202" xr:uid="{00000000-0005-0000-0000-000026010000}"/>
    <cellStyle name="Ratio" xfId="203" xr:uid="{00000000-0005-0000-0000-000027010000}"/>
    <cellStyle name="Ratio 2" xfId="204" xr:uid="{00000000-0005-0000-0000-000028010000}"/>
    <cellStyle name="Ratio_29(d) - Gas extensions -tariffs" xfId="205" xr:uid="{00000000-0005-0000-0000-000029010000}"/>
    <cellStyle name="Right Date" xfId="206" xr:uid="{00000000-0005-0000-0000-00002A010000}"/>
    <cellStyle name="Right Number" xfId="207" xr:uid="{00000000-0005-0000-0000-00002B010000}"/>
    <cellStyle name="Right Year" xfId="208" xr:uid="{00000000-0005-0000-0000-00002C010000}"/>
    <cellStyle name="SAPError" xfId="209" xr:uid="{00000000-0005-0000-0000-00002D010000}"/>
    <cellStyle name="SAPError 2" xfId="210" xr:uid="{00000000-0005-0000-0000-00002E010000}"/>
    <cellStyle name="SAPKey" xfId="211" xr:uid="{00000000-0005-0000-0000-00002F010000}"/>
    <cellStyle name="SAPKey 2" xfId="212" xr:uid="{00000000-0005-0000-0000-000030010000}"/>
    <cellStyle name="SAPLocked" xfId="213" xr:uid="{00000000-0005-0000-0000-000031010000}"/>
    <cellStyle name="SAPLocked 2" xfId="214" xr:uid="{00000000-0005-0000-0000-000032010000}"/>
    <cellStyle name="SAPOutput" xfId="215" xr:uid="{00000000-0005-0000-0000-000033010000}"/>
    <cellStyle name="SAPOutput 2" xfId="216" xr:uid="{00000000-0005-0000-0000-000034010000}"/>
    <cellStyle name="SAPSpace" xfId="217" xr:uid="{00000000-0005-0000-0000-000035010000}"/>
    <cellStyle name="SAPSpace 2" xfId="218" xr:uid="{00000000-0005-0000-0000-000036010000}"/>
    <cellStyle name="SAPText" xfId="219" xr:uid="{00000000-0005-0000-0000-000037010000}"/>
    <cellStyle name="SAPText 2" xfId="220" xr:uid="{00000000-0005-0000-0000-000038010000}"/>
    <cellStyle name="SAPUnLocked" xfId="221" xr:uid="{00000000-0005-0000-0000-000039010000}"/>
    <cellStyle name="SAPUnLocked 2" xfId="222" xr:uid="{00000000-0005-0000-0000-00003A010000}"/>
    <cellStyle name="Sheet Title" xfId="223" xr:uid="{00000000-0005-0000-0000-00003B010000}"/>
    <cellStyle name="SheetHeader1" xfId="224" xr:uid="{00000000-0005-0000-0000-00003C010000}"/>
    <cellStyle name="SheetHeader2" xfId="225" xr:uid="{00000000-0005-0000-0000-00003D010000}"/>
    <cellStyle name="SheetHeader3" xfId="226" xr:uid="{00000000-0005-0000-0000-00003E010000}"/>
    <cellStyle name="Style 1" xfId="227" xr:uid="{00000000-0005-0000-0000-00003F010000}"/>
    <cellStyle name="Style 1 2" xfId="228" xr:uid="{00000000-0005-0000-0000-000040010000}"/>
    <cellStyle name="Style 1_29(d) - Gas extensions -tariffs" xfId="229" xr:uid="{00000000-0005-0000-0000-000041010000}"/>
    <cellStyle name="Style2" xfId="230" xr:uid="{00000000-0005-0000-0000-000042010000}"/>
    <cellStyle name="Style3" xfId="231" xr:uid="{00000000-0005-0000-0000-000043010000}"/>
    <cellStyle name="Style4" xfId="232" xr:uid="{00000000-0005-0000-0000-000044010000}"/>
    <cellStyle name="Style4 2" xfId="233" xr:uid="{00000000-0005-0000-0000-000045010000}"/>
    <cellStyle name="Style4_29(d) - Gas extensions -tariffs" xfId="234" xr:uid="{00000000-0005-0000-0000-000046010000}"/>
    <cellStyle name="Style5" xfId="235" xr:uid="{00000000-0005-0000-0000-000047010000}"/>
    <cellStyle name="Style5 2" xfId="236" xr:uid="{00000000-0005-0000-0000-000048010000}"/>
    <cellStyle name="Style5_29(d) - Gas extensions -tariffs" xfId="237" xr:uid="{00000000-0005-0000-0000-000049010000}"/>
    <cellStyle name="Table Head Green" xfId="238" xr:uid="{00000000-0005-0000-0000-00004A010000}"/>
    <cellStyle name="Table Head_pldt" xfId="239" xr:uid="{00000000-0005-0000-0000-00004B010000}"/>
    <cellStyle name="Table Source" xfId="240" xr:uid="{00000000-0005-0000-0000-00004C010000}"/>
    <cellStyle name="Table Units" xfId="241" xr:uid="{00000000-0005-0000-0000-00004D010000}"/>
    <cellStyle name="Table_Heading" xfId="242" xr:uid="{00000000-0005-0000-0000-00004E010000}"/>
    <cellStyle name="TableLvl2" xfId="350" xr:uid="{00000000-0005-0000-0000-00004F010000}"/>
    <cellStyle name="TableLvl3" xfId="351" xr:uid="{00000000-0005-0000-0000-000050010000}"/>
    <cellStyle name="Technical_Input" xfId="243" xr:uid="{00000000-0005-0000-0000-000051010000}"/>
    <cellStyle name="Text" xfId="244" xr:uid="{00000000-0005-0000-0000-000052010000}"/>
    <cellStyle name="Text 2" xfId="245" xr:uid="{00000000-0005-0000-0000-000053010000}"/>
    <cellStyle name="Text 3" xfId="246" xr:uid="{00000000-0005-0000-0000-000054010000}"/>
    <cellStyle name="Text Head 1" xfId="247" xr:uid="{00000000-0005-0000-0000-000055010000}"/>
    <cellStyle name="Text Head 2" xfId="248" xr:uid="{00000000-0005-0000-0000-000056010000}"/>
    <cellStyle name="Text Indent 2" xfId="249" xr:uid="{00000000-0005-0000-0000-000057010000}"/>
    <cellStyle name="Theirs" xfId="250" xr:uid="{00000000-0005-0000-0000-000058010000}"/>
    <cellStyle name="Title 2" xfId="251" xr:uid="{00000000-0005-0000-0000-000059010000}"/>
    <cellStyle name="TOC 1" xfId="252" xr:uid="{00000000-0005-0000-0000-00005A010000}"/>
    <cellStyle name="TOC 2" xfId="253" xr:uid="{00000000-0005-0000-0000-00005B010000}"/>
    <cellStyle name="TOC 3" xfId="254" xr:uid="{00000000-0005-0000-0000-00005C010000}"/>
    <cellStyle name="Total 2" xfId="255" xr:uid="{00000000-0005-0000-0000-00005D010000}"/>
    <cellStyle name="Total 2 2" xfId="279" xr:uid="{00000000-0005-0000-0000-00005E010000}"/>
    <cellStyle name="Totals" xfId="256" xr:uid="{00000000-0005-0000-0000-00005F010000}"/>
    <cellStyle name="unit" xfId="257" xr:uid="{00000000-0005-0000-0000-000060010000}"/>
    <cellStyle name="User_Input" xfId="258" xr:uid="{00000000-0005-0000-0000-000061010000}"/>
    <cellStyle name="Warning Text 2" xfId="259" xr:uid="{00000000-0005-0000-0000-000062010000}"/>
    <cellStyle name="year" xfId="260" xr:uid="{00000000-0005-0000-0000-000063010000}"/>
    <cellStyle name="year 2" xfId="261" xr:uid="{00000000-0005-0000-0000-000064010000}"/>
    <cellStyle name="year_29(d) - Gas extensions -tariffs" xfId="262" xr:uid="{00000000-0005-0000-0000-000065010000}"/>
  </cellStyles>
  <dxfs count="1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GX%20PTRM%20Final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DMIAM"/>
      <sheetName val="Debt Raising Costs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G19">
            <v>3.1539166955611632E-2</v>
          </cell>
          <cell r="H19">
            <v>3.2003502749014291E-2</v>
          </cell>
          <cell r="I19">
            <v>3.2711797595705597E-2</v>
          </cell>
          <cell r="J19">
            <v>3.3769275901938747E-2</v>
          </cell>
          <cell r="K19">
            <v>3.4849420276806688E-2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>
      <selection activeCell="C7" sqref="C7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customWidth="1"/>
    <col min="29" max="16384" width="9.140625" style="2" hidden="1"/>
  </cols>
  <sheetData>
    <row r="1" spans="2:6" s="5" customFormat="1" ht="18" customHeight="1">
      <c r="B1" s="3" t="str">
        <f>'Input | General'!$B$1</f>
        <v>Energex 2021-25 Final Decision - Capital expenditure sharing scheme model</v>
      </c>
      <c r="D1" s="4"/>
      <c r="E1" s="4"/>
    </row>
    <row r="2" spans="2:6" ht="18" customHeight="1">
      <c r="B2" s="33" t="s">
        <v>30</v>
      </c>
    </row>
    <row r="3" spans="2:6" ht="3" customHeight="1">
      <c r="C3" s="2"/>
    </row>
    <row r="4" spans="2:6" s="8" customFormat="1" ht="12.75" customHeight="1">
      <c r="C4" s="29" t="s">
        <v>31</v>
      </c>
      <c r="D4" s="7"/>
      <c r="E4" s="7"/>
    </row>
    <row r="5" spans="2:6" ht="11.25" customHeight="1"/>
    <row r="6" spans="2:6" ht="11.25" customHeight="1">
      <c r="C6" s="31" t="s">
        <v>32</v>
      </c>
      <c r="D6" s="31" t="s">
        <v>33</v>
      </c>
      <c r="E6" s="31"/>
    </row>
    <row r="7" spans="2:6" ht="11.25" customHeight="1">
      <c r="C7" s="108" t="s">
        <v>35</v>
      </c>
      <c r="D7" s="32" t="s">
        <v>46</v>
      </c>
      <c r="E7" s="32"/>
      <c r="F7" s="30"/>
    </row>
    <row r="8" spans="2:6" ht="11.25" customHeight="1">
      <c r="C8" s="108" t="s">
        <v>79</v>
      </c>
      <c r="D8" s="32" t="s">
        <v>78</v>
      </c>
      <c r="E8" s="32"/>
      <c r="F8" s="30"/>
    </row>
    <row r="9" spans="2:6" ht="11.25" customHeight="1">
      <c r="C9" s="108" t="s">
        <v>55</v>
      </c>
      <c r="D9" s="32" t="s">
        <v>38</v>
      </c>
      <c r="E9" s="32"/>
      <c r="F9" s="30"/>
    </row>
    <row r="10" spans="2:6" ht="11.25" customHeight="1">
      <c r="C10" s="108" t="s">
        <v>58</v>
      </c>
      <c r="D10" s="32" t="s">
        <v>39</v>
      </c>
      <c r="E10" s="32"/>
      <c r="F10" s="30"/>
    </row>
    <row r="11" spans="2:6" ht="11.25" customHeight="1">
      <c r="C11" s="108" t="s">
        <v>80</v>
      </c>
      <c r="D11" s="32" t="s">
        <v>54</v>
      </c>
      <c r="E11" s="32"/>
      <c r="F11" s="30"/>
    </row>
    <row r="12" spans="2:6" ht="12.75" customHeight="1"/>
    <row r="13" spans="2:6" s="8" customFormat="1" ht="12.75" customHeight="1">
      <c r="C13" s="29" t="s">
        <v>34</v>
      </c>
      <c r="D13" s="7"/>
      <c r="E13" s="7"/>
    </row>
    <row r="14" spans="2:6" ht="18" customHeight="1">
      <c r="C14" s="2"/>
      <c r="D14" s="2"/>
      <c r="E14" s="2"/>
    </row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G15" sqref="G15"/>
    </sheetView>
  </sheetViews>
  <sheetFormatPr defaultColWidth="0" defaultRowHeight="0" customHeight="1" zeroHeight="1"/>
  <cols>
    <col min="1" max="2" width="1.28515625" style="14" customWidth="1"/>
    <col min="3" max="3" width="55.7109375" style="15" customWidth="1"/>
    <col min="4" max="4" width="12.57031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customWidth="1"/>
    <col min="23" max="16384" width="12.7109375" style="14" hidden="1"/>
  </cols>
  <sheetData>
    <row r="1" spans="1:12" s="11" customFormat="1" ht="18" customHeight="1">
      <c r="B1" s="12" t="str">
        <f>$D$6&amp;" "&amp;$D$8&amp;" "&amp;D7&amp;" - "&amp;"Capital expenditure sharing scheme model"</f>
        <v>Energex 2021-25 Final Decision - Capital expenditure sharing scheme model</v>
      </c>
      <c r="F1" s="104"/>
      <c r="G1" s="105" t="s">
        <v>47</v>
      </c>
      <c r="H1" s="158" t="s">
        <v>48</v>
      </c>
      <c r="I1" s="162" t="s">
        <v>36</v>
      </c>
    </row>
    <row r="2" spans="1:12" s="11" customFormat="1" ht="18" customHeight="1">
      <c r="B2" s="13" t="s">
        <v>35</v>
      </c>
    </row>
    <row r="3" spans="1:12" s="11" customFormat="1" ht="3" customHeight="1">
      <c r="B3" s="10"/>
    </row>
    <row r="4" spans="1:12" s="62" customFormat="1" ht="12.75" customHeight="1">
      <c r="A4" s="8"/>
      <c r="B4" s="29" t="s">
        <v>35</v>
      </c>
    </row>
    <row r="5" spans="1:12" s="30" customFormat="1" ht="11.25" customHeight="1">
      <c r="C5" s="31"/>
    </row>
    <row r="6" spans="1:12" s="70" customFormat="1" ht="11.25" customHeight="1">
      <c r="C6" s="69" t="s">
        <v>0</v>
      </c>
      <c r="D6" s="159" t="s">
        <v>101</v>
      </c>
      <c r="J6" s="79"/>
      <c r="K6" s="79"/>
      <c r="L6" s="79"/>
    </row>
    <row r="7" spans="1:12" s="70" customFormat="1" ht="11.25" customHeight="1">
      <c r="C7" s="69" t="s">
        <v>88</v>
      </c>
      <c r="D7" s="159" t="s">
        <v>104</v>
      </c>
      <c r="I7" s="79"/>
      <c r="J7" s="79"/>
      <c r="K7" s="79"/>
      <c r="L7" s="79"/>
    </row>
    <row r="8" spans="1:12" s="70" customFormat="1" ht="11.25" customHeight="1">
      <c r="C8" s="69" t="s">
        <v>89</v>
      </c>
      <c r="D8" s="159" t="s">
        <v>99</v>
      </c>
      <c r="J8" s="79"/>
      <c r="K8" s="79"/>
      <c r="L8" s="79"/>
    </row>
    <row r="9" spans="1:12" s="70" customFormat="1" ht="11.25" customHeight="1">
      <c r="C9" s="189" t="s">
        <v>100</v>
      </c>
      <c r="D9" s="159" t="s">
        <v>103</v>
      </c>
      <c r="J9" s="79"/>
      <c r="K9" s="79"/>
      <c r="L9" s="79"/>
    </row>
    <row r="10" spans="1:12" s="70" customFormat="1" ht="11.25" customHeight="1">
      <c r="C10" s="69"/>
      <c r="J10" s="79"/>
      <c r="K10" s="79"/>
      <c r="L10" s="79"/>
    </row>
    <row r="11" spans="1:12" s="70" customFormat="1" ht="11.25" customHeight="1">
      <c r="C11" s="133" t="s">
        <v>87</v>
      </c>
      <c r="J11" s="79"/>
      <c r="K11" s="79"/>
      <c r="L11" s="79"/>
    </row>
    <row r="12" spans="1:12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</row>
    <row r="13" spans="1:12" s="70" customFormat="1" ht="11.25" customHeight="1">
      <c r="C13" s="69" t="s">
        <v>61</v>
      </c>
      <c r="D13" s="188" t="str">
        <f t="shared" ref="D13:F13" si="0">IF(LEN(E13)&gt;4,CONCATENATE(LEFT(E13,4)-1&amp;"–"&amp;IF(RIGHT(E13,2)="00","99",IF(RIGHT(E13,2)-1&lt;10,"0","")&amp;RIGHT(E13,2)-1)),E13-1)</f>
        <v>2015–16</v>
      </c>
      <c r="E13" s="188" t="str">
        <f t="shared" si="0"/>
        <v>2016–17</v>
      </c>
      <c r="F13" s="188" t="str">
        <f t="shared" si="0"/>
        <v>2017–18</v>
      </c>
      <c r="G13" s="188" t="str">
        <f>IF(LEN(H13)&gt;4,CONCATENATE(LEFT(H13,4)-1&amp;"–"&amp;IF(RIGHT(H13,2)="00","99",IF(RIGHT(H13,2)-1&lt;10,"0","")&amp;RIGHT(H13,2)-1)),H13-1)</f>
        <v>2018–19</v>
      </c>
      <c r="H13" s="188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</row>
    <row r="14" spans="1:12" s="70" customFormat="1" ht="11.25" customHeight="1">
      <c r="C14" s="69" t="s">
        <v>1</v>
      </c>
      <c r="D14" s="159" t="s">
        <v>8</v>
      </c>
      <c r="E14" s="159" t="s">
        <v>8</v>
      </c>
      <c r="F14" s="159" t="s">
        <v>8</v>
      </c>
      <c r="G14" s="159" t="s">
        <v>8</v>
      </c>
      <c r="H14" s="159" t="s">
        <v>8</v>
      </c>
      <c r="J14" s="79"/>
      <c r="K14" s="79"/>
      <c r="L14" s="79"/>
    </row>
    <row r="15" spans="1:12" s="70" customFormat="1" ht="11.25" customHeight="1">
      <c r="C15" s="69" t="s">
        <v>2</v>
      </c>
      <c r="D15" s="159" t="s">
        <v>7</v>
      </c>
      <c r="E15" s="159" t="s">
        <v>7</v>
      </c>
      <c r="F15" s="159" t="s">
        <v>7</v>
      </c>
      <c r="G15" s="159" t="s">
        <v>7</v>
      </c>
      <c r="H15" s="159" t="s">
        <v>29</v>
      </c>
      <c r="J15" s="79"/>
      <c r="K15" s="79"/>
      <c r="L15" s="79"/>
    </row>
    <row r="16" spans="1:12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</row>
    <row r="17" spans="1:12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</row>
    <row r="18" spans="1:12" s="70" customFormat="1" ht="11.25" customHeight="1">
      <c r="C18" s="69" t="s">
        <v>62</v>
      </c>
      <c r="D18" s="188" t="str">
        <f>D9</f>
        <v>2020-21</v>
      </c>
      <c r="E18" s="188" t="str">
        <f>IF(LEN(D18)&gt;4,CONCATENATE(LEFT(D18,4)+1&amp;"–"&amp;IF(RIGHT(D18,2)+1&gt;9,"","0")&amp;RIGHT(D18,2)+1),D18+1)</f>
        <v>2021–22</v>
      </c>
      <c r="F18" s="188" t="str">
        <f t="shared" ref="F18:H18" si="1">IF(LEN(E18)&gt;4,CONCATENATE(LEFT(E18,4)+1&amp;"–"&amp;IF(RIGHT(E18,2)+1&gt;9,"","0")&amp;RIGHT(E18,2)+1),E18+1)</f>
        <v>2022–23</v>
      </c>
      <c r="G18" s="188" t="str">
        <f t="shared" si="1"/>
        <v>2023–24</v>
      </c>
      <c r="H18" s="188" t="str">
        <f t="shared" si="1"/>
        <v>2024–25</v>
      </c>
      <c r="J18" s="79"/>
      <c r="K18" s="79"/>
      <c r="L18" s="79"/>
    </row>
    <row r="19" spans="1:12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</row>
    <row r="20" spans="1:12" s="70" customFormat="1" ht="11.25" customHeight="1">
      <c r="J20" s="79"/>
      <c r="K20" s="79"/>
      <c r="L20" s="79"/>
    </row>
    <row r="21" spans="1:12" s="62" customFormat="1" ht="12.75" customHeight="1">
      <c r="A21" s="8"/>
      <c r="B21" s="29" t="s">
        <v>34</v>
      </c>
    </row>
    <row r="22" spans="1:12" ht="18" customHeight="1">
      <c r="C22" s="14"/>
    </row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topLeftCell="G5" zoomScaleNormal="100" workbookViewId="0">
      <selection activeCell="H17" sqref="H17:I17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customWidth="1"/>
    <col min="33" max="16384" width="9.140625" style="24" hidden="1"/>
  </cols>
  <sheetData>
    <row r="1" spans="1:18" s="11" customFormat="1" ht="18" customHeight="1">
      <c r="B1" s="3" t="str">
        <f>'Input | General'!$B$1</f>
        <v>Energex 2021-25 Final Decision - Capital expenditure sharing scheme model</v>
      </c>
      <c r="D1" s="12"/>
      <c r="E1" s="12"/>
      <c r="F1" s="12"/>
      <c r="G1" s="104"/>
      <c r="H1" s="105" t="s">
        <v>47</v>
      </c>
      <c r="I1" s="158" t="s">
        <v>48</v>
      </c>
      <c r="J1" s="162" t="s">
        <v>36</v>
      </c>
      <c r="K1" s="154"/>
      <c r="N1" s="106"/>
      <c r="O1" s="79"/>
      <c r="P1" s="79"/>
      <c r="Q1" s="79"/>
      <c r="R1" s="79"/>
    </row>
    <row r="2" spans="1:18" s="11" customFormat="1" ht="18" customHeight="1">
      <c r="C2" s="13" t="s">
        <v>90</v>
      </c>
      <c r="D2" s="13"/>
      <c r="E2" s="13"/>
      <c r="F2" s="13"/>
    </row>
    <row r="3" spans="1:18" s="11" customFormat="1" ht="3" customHeight="1">
      <c r="C3" s="10"/>
      <c r="D3" s="10"/>
      <c r="E3" s="10"/>
      <c r="F3" s="10"/>
      <c r="M3" s="22"/>
    </row>
    <row r="4" spans="1:18" s="81" customFormat="1" ht="12.75" customHeight="1">
      <c r="C4" s="29" t="s">
        <v>43</v>
      </c>
      <c r="D4" s="82"/>
      <c r="E4" s="82"/>
      <c r="F4" s="82"/>
      <c r="M4" s="83"/>
    </row>
    <row r="5" spans="1:18" ht="11.25" customHeight="1">
      <c r="A5" s="11"/>
      <c r="B5" s="11"/>
      <c r="C5" s="16"/>
      <c r="D5" s="79"/>
      <c r="E5" s="79"/>
      <c r="F5" s="79"/>
      <c r="N5" s="11"/>
    </row>
    <row r="6" spans="1:18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18" ht="11.25" customHeight="1">
      <c r="A7" s="11"/>
      <c r="B7" s="11"/>
      <c r="C7" s="16"/>
      <c r="D7" s="79"/>
      <c r="E7" s="79"/>
      <c r="F7" s="175" t="str">
        <f>IF(LEN(G7)&gt;4,CONCATENATE(LEFT(G7,4)-1&amp;"–"&amp;IF(RIGHT(G7,2)="00","99",IF(RIGHT(G7,2)-1&lt;10,"0","")&amp;RIGHT(G7,2)-1)),G7-1)</f>
        <v>2014–15</v>
      </c>
      <c r="G7" s="174" t="str">
        <f>'Input | General'!D13</f>
        <v>2015–16</v>
      </c>
      <c r="H7" s="174" t="str">
        <f>'Input | General'!E13</f>
        <v>2016–17</v>
      </c>
      <c r="I7" s="174" t="str">
        <f>'Input | General'!F13</f>
        <v>2017–18</v>
      </c>
      <c r="J7" s="174" t="str">
        <f>'Input | General'!G13</f>
        <v>2018–19</v>
      </c>
      <c r="K7" s="174" t="str">
        <f>'Input | General'!H13</f>
        <v>2019–20</v>
      </c>
      <c r="L7" s="174" t="str">
        <f>'Input | General'!D18</f>
        <v>2020-21</v>
      </c>
      <c r="M7" s="174" t="str">
        <f>'Input | General'!E18</f>
        <v>2021–22</v>
      </c>
      <c r="N7" s="174" t="str">
        <f>'Input | General'!F18</f>
        <v>2022–23</v>
      </c>
      <c r="O7" s="174" t="str">
        <f>'Input | General'!G18</f>
        <v>2023–24</v>
      </c>
      <c r="P7" s="174" t="str">
        <f>'Input | General'!H18</f>
        <v>2024–25</v>
      </c>
    </row>
    <row r="8" spans="1:18" ht="11.25" customHeight="1">
      <c r="A8" s="11"/>
      <c r="B8" s="11"/>
      <c r="C8" s="80" t="s">
        <v>81</v>
      </c>
      <c r="D8" s="78" t="s">
        <v>102</v>
      </c>
      <c r="E8" s="78" t="s">
        <v>51</v>
      </c>
      <c r="F8" s="78"/>
      <c r="G8" s="202">
        <v>1.6885553470919357E-2</v>
      </c>
      <c r="H8" s="202">
        <v>1.4760147601476037E-2</v>
      </c>
      <c r="I8" s="202">
        <v>1.9090909090909047E-2</v>
      </c>
      <c r="J8" s="202">
        <v>1.7841213202497899E-2</v>
      </c>
      <c r="K8" s="202">
        <v>1.7000000000000001E-2</v>
      </c>
      <c r="L8" s="85"/>
      <c r="M8" s="85"/>
      <c r="N8" s="85"/>
      <c r="O8" s="85"/>
      <c r="P8" s="85"/>
    </row>
    <row r="9" spans="1:18" ht="11.25" customHeight="1">
      <c r="A9" s="11"/>
      <c r="B9" s="11"/>
      <c r="C9" s="80" t="s">
        <v>82</v>
      </c>
      <c r="D9" s="78" t="s">
        <v>102</v>
      </c>
      <c r="E9" s="78" t="s">
        <v>51</v>
      </c>
      <c r="F9" s="78"/>
      <c r="G9" s="129"/>
      <c r="H9" s="129"/>
      <c r="I9" s="129"/>
      <c r="J9" s="129"/>
      <c r="K9" s="129"/>
      <c r="L9" s="202">
        <v>2.3699999999999999E-2</v>
      </c>
      <c r="M9" s="141">
        <f t="shared" ref="M9:P9" si="0">L9</f>
        <v>2.3699999999999999E-2</v>
      </c>
      <c r="N9" s="141">
        <f t="shared" si="0"/>
        <v>2.3699999999999999E-2</v>
      </c>
      <c r="O9" s="141">
        <f t="shared" si="0"/>
        <v>2.3699999999999999E-2</v>
      </c>
      <c r="P9" s="141">
        <f t="shared" si="0"/>
        <v>2.3699999999999999E-2</v>
      </c>
    </row>
    <row r="10" spans="1:18" ht="11.25" customHeight="1">
      <c r="A10" s="11"/>
      <c r="B10" s="11"/>
      <c r="C10" s="138" t="str">
        <f>"CPI Index (base year "&amp;F7&amp;")"</f>
        <v>CPI Index (base year 2014–15)</v>
      </c>
      <c r="D10" s="78" t="s">
        <v>102</v>
      </c>
      <c r="E10" s="78" t="s">
        <v>30</v>
      </c>
      <c r="F10" s="136">
        <v>1</v>
      </c>
      <c r="G10" s="122">
        <f>IF(G7&lt;&gt;"",(F10*(1+G8)),"")</f>
        <v>1.0168855534709194</v>
      </c>
      <c r="H10" s="122">
        <f>IF(H7&lt;&gt;"",(G10*(1+H8)),"")</f>
        <v>1.0318949343339587</v>
      </c>
      <c r="I10" s="122">
        <f>IF(I7&lt;&gt;"",(H10*(1+I8)),"")</f>
        <v>1.0515947467166979</v>
      </c>
      <c r="J10" s="122">
        <f>IF(J7&lt;&gt;"",(I10*(1+J8)),"")</f>
        <v>1.0703564727954973</v>
      </c>
      <c r="K10" s="122">
        <f>IF(K7&lt;&gt;"",(J10*(1+K8)),"")</f>
        <v>1.0885525328330206</v>
      </c>
      <c r="L10" s="86">
        <f t="shared" ref="L10:P10" si="1">IF(L7&lt;&gt;"",(K10*(1+L9)),"")</f>
        <v>1.1143512278611631</v>
      </c>
      <c r="M10" s="86">
        <f t="shared" si="1"/>
        <v>1.1407613519614728</v>
      </c>
      <c r="N10" s="86">
        <f t="shared" si="1"/>
        <v>1.1677973960029597</v>
      </c>
      <c r="O10" s="86">
        <f t="shared" si="1"/>
        <v>1.1954741942882299</v>
      </c>
      <c r="P10" s="86">
        <f t="shared" si="1"/>
        <v>1.2238069326928609</v>
      </c>
    </row>
    <row r="11" spans="1:18" ht="11.25" customHeight="1">
      <c r="A11" s="11"/>
      <c r="B11" s="11"/>
      <c r="C11" s="80"/>
      <c r="D11" s="78"/>
      <c r="E11" s="78"/>
      <c r="F11" s="78"/>
      <c r="G11" s="85"/>
      <c r="H11" s="85"/>
      <c r="I11" s="85"/>
      <c r="J11" s="85"/>
      <c r="K11" s="130"/>
      <c r="L11" s="130"/>
      <c r="M11" s="130"/>
      <c r="N11" s="130"/>
      <c r="O11" s="130"/>
      <c r="P11" s="130"/>
    </row>
    <row r="12" spans="1:18" ht="11.25" customHeight="1">
      <c r="A12" s="11"/>
      <c r="B12" s="11"/>
      <c r="C12" s="80"/>
      <c r="D12" s="78"/>
      <c r="E12" s="78"/>
      <c r="F12" s="78"/>
      <c r="G12" s="126"/>
      <c r="H12" s="126"/>
      <c r="I12" s="191"/>
      <c r="J12" s="191"/>
      <c r="K12" s="192"/>
      <c r="L12" s="192"/>
      <c r="M12" s="192"/>
      <c r="N12" s="192"/>
      <c r="O12" s="192"/>
      <c r="P12" s="192"/>
    </row>
    <row r="13" spans="1:18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202">
        <v>1.6885553470919357E-2</v>
      </c>
      <c r="H13" s="202">
        <v>1.4760147601476037E-2</v>
      </c>
      <c r="I13" s="202">
        <v>1.9090909090909047E-2</v>
      </c>
      <c r="J13" s="202">
        <v>1.7841213202497899E-2</v>
      </c>
      <c r="K13" s="202">
        <v>1.84049079754602E-2</v>
      </c>
      <c r="L13" s="191"/>
      <c r="M13" s="191"/>
      <c r="N13" s="191"/>
      <c r="O13" s="191"/>
      <c r="P13" s="191"/>
    </row>
    <row r="14" spans="1:18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5"/>
      <c r="H14" s="85"/>
      <c r="I14" s="130"/>
      <c r="J14" s="130"/>
      <c r="K14" s="130"/>
      <c r="L14" s="202">
        <v>2.2739900899011012E-2</v>
      </c>
      <c r="M14" s="141">
        <f t="shared" ref="M14:P14" si="2">L14</f>
        <v>2.2739900899011012E-2</v>
      </c>
      <c r="N14" s="141">
        <f t="shared" si="2"/>
        <v>2.2739900899011012E-2</v>
      </c>
      <c r="O14" s="141">
        <f t="shared" si="2"/>
        <v>2.2739900899011012E-2</v>
      </c>
      <c r="P14" s="141">
        <f t="shared" si="2"/>
        <v>2.2739900899011012E-2</v>
      </c>
    </row>
    <row r="15" spans="1:18" ht="11.25" customHeight="1">
      <c r="A15" s="11"/>
      <c r="B15" s="11"/>
      <c r="C15" s="138" t="str">
        <f>"CPI Index (base year "&amp;F7&amp;")"</f>
        <v>CPI Index (base year 2014–15)</v>
      </c>
      <c r="D15" s="78" t="s">
        <v>49</v>
      </c>
      <c r="E15" s="78" t="s">
        <v>30</v>
      </c>
      <c r="F15" s="136">
        <v>1</v>
      </c>
      <c r="G15" s="122">
        <f>IF(G7&lt;&gt;"",(F15*(1+G13)),"")</f>
        <v>1.0168855534709194</v>
      </c>
      <c r="H15" s="122">
        <f>IF(H7&lt;&gt;"",(G15*(1+H13)),"")</f>
        <v>1.0318949343339587</v>
      </c>
      <c r="I15" s="193">
        <f>IF(I7&lt;&gt;"",(H15*(1+I13)),"")</f>
        <v>1.0515947467166979</v>
      </c>
      <c r="J15" s="193">
        <f>IF(J7&lt;&gt;"",(I15*(1+J13)),"")</f>
        <v>1.0703564727954973</v>
      </c>
      <c r="K15" s="194">
        <f>IF(K7&lt;&gt;"",(J15*(1+K13)),"")</f>
        <v>1.0900562851782367</v>
      </c>
      <c r="L15" s="194">
        <f t="shared" ref="L15:P15" si="3">IF(L7&lt;&gt;"",(K15*(1+L14)),"")</f>
        <v>1.114844057077534</v>
      </c>
      <c r="M15" s="194">
        <f t="shared" si="3"/>
        <v>1.1401955004533284</v>
      </c>
      <c r="N15" s="194">
        <f t="shared" si="3"/>
        <v>1.1661234331391352</v>
      </c>
      <c r="O15" s="194">
        <f t="shared" si="3"/>
        <v>1.1926409644447338</v>
      </c>
      <c r="P15" s="194">
        <f t="shared" si="3"/>
        <v>1.219761501784308</v>
      </c>
    </row>
    <row r="16" spans="1:18" s="128" customFormat="1" ht="11.25" customHeight="1">
      <c r="A16" s="2"/>
      <c r="B16" s="2"/>
      <c r="C16" s="80"/>
      <c r="D16" s="127"/>
      <c r="E16" s="127"/>
      <c r="F16" s="127"/>
      <c r="G16" s="85"/>
      <c r="H16" s="85"/>
      <c r="I16" s="130"/>
      <c r="J16" s="130"/>
      <c r="K16" s="195"/>
      <c r="L16" s="195"/>
      <c r="M16" s="195"/>
      <c r="N16" s="195"/>
      <c r="O16" s="195"/>
      <c r="P16" s="195"/>
    </row>
    <row r="17" spans="1:16" s="81" customFormat="1" ht="12.75" customHeight="1">
      <c r="C17" s="29" t="s">
        <v>68</v>
      </c>
      <c r="D17" s="82"/>
      <c r="E17" s="82"/>
      <c r="F17" s="82"/>
      <c r="I17" s="196"/>
      <c r="J17" s="196"/>
      <c r="K17" s="196"/>
      <c r="L17" s="196"/>
      <c r="M17" s="197"/>
      <c r="N17" s="196"/>
      <c r="O17" s="196"/>
      <c r="P17" s="196"/>
    </row>
    <row r="18" spans="1:16" ht="11.25" customHeight="1">
      <c r="A18" s="16"/>
      <c r="B18" s="79"/>
      <c r="C18" s="79"/>
      <c r="D18" s="79"/>
      <c r="E18" s="79"/>
      <c r="F18" s="75"/>
      <c r="I18" s="14"/>
      <c r="J18" s="14"/>
      <c r="K18" s="14"/>
      <c r="L18" s="14"/>
      <c r="M18" s="198"/>
      <c r="N18" s="14"/>
      <c r="O18" s="192"/>
      <c r="P18" s="192"/>
    </row>
    <row r="19" spans="1:16" ht="11.25" customHeight="1">
      <c r="C19" s="16"/>
      <c r="D19" s="75" t="s">
        <v>6</v>
      </c>
      <c r="E19" s="75" t="s">
        <v>52</v>
      </c>
      <c r="F19" s="79"/>
      <c r="G19" s="174" t="str">
        <f>G7</f>
        <v>2015–16</v>
      </c>
      <c r="H19" s="174" t="str">
        <f t="shared" ref="H19:P19" si="4">H7</f>
        <v>2016–17</v>
      </c>
      <c r="I19" s="199" t="str">
        <f t="shared" si="4"/>
        <v>2017–18</v>
      </c>
      <c r="J19" s="199" t="str">
        <f t="shared" si="4"/>
        <v>2018–19</v>
      </c>
      <c r="K19" s="199" t="str">
        <f t="shared" si="4"/>
        <v>2019–20</v>
      </c>
      <c r="L19" s="199" t="str">
        <f t="shared" si="4"/>
        <v>2020-21</v>
      </c>
      <c r="M19" s="199" t="str">
        <f t="shared" si="4"/>
        <v>2021–22</v>
      </c>
      <c r="N19" s="199" t="str">
        <f t="shared" si="4"/>
        <v>2022–23</v>
      </c>
      <c r="O19" s="199" t="str">
        <f t="shared" si="4"/>
        <v>2023–24</v>
      </c>
      <c r="P19" s="199" t="str">
        <f t="shared" si="4"/>
        <v>2024–25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202">
        <v>3.4223677885352854E-2</v>
      </c>
      <c r="H20" s="202">
        <v>3.4525892490292698E-2</v>
      </c>
      <c r="I20" s="202">
        <v>3.4583434536381352E-2</v>
      </c>
      <c r="J20" s="202">
        <v>3.4290771868183745E-2</v>
      </c>
      <c r="K20" s="202">
        <v>3.3975376840037708E-2</v>
      </c>
      <c r="L20" s="130"/>
      <c r="M20" s="130"/>
      <c r="N20" s="130"/>
      <c r="O20" s="130"/>
      <c r="P20" s="130"/>
    </row>
    <row r="21" spans="1:16" ht="11.25" customHeight="1">
      <c r="C21" s="153" t="s">
        <v>95</v>
      </c>
      <c r="D21" s="78" t="s">
        <v>49</v>
      </c>
      <c r="E21" s="78" t="s">
        <v>51</v>
      </c>
      <c r="F21" s="79"/>
      <c r="G21" s="79"/>
      <c r="H21" s="79"/>
      <c r="I21" s="200"/>
      <c r="J21" s="200"/>
      <c r="K21" s="200"/>
      <c r="L21" s="202">
        <v>2.3998445239976629E-2</v>
      </c>
      <c r="M21" s="202">
        <v>2.2745496891311889E-2</v>
      </c>
      <c r="N21" s="202">
        <v>2.149254854264715E-2</v>
      </c>
      <c r="O21" s="202">
        <v>2.023960019398241E-2</v>
      </c>
      <c r="P21" s="202">
        <v>1.8986651845317538E-2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2">
        <f>IF(AND(G13&lt;&gt;"",G20&lt;&gt;""),((1+G20)*(1+G13)-1),"")</f>
        <v>5.1687117099176838E-2</v>
      </c>
      <c r="H22" s="142">
        <f>IF(AND(H13&lt;&gt;"",H20&lt;&gt;""),((1+H20)*(1+H13)-1),"")</f>
        <v>4.9795647360998174E-2</v>
      </c>
      <c r="I22" s="141">
        <f>IF(AND(I13&lt;&gt;"",I20&lt;&gt;""),((1+I20)*(1+I13)-1),"")</f>
        <v>5.4334572832075878E-2</v>
      </c>
      <c r="J22" s="141">
        <f>IF(AND(J13&lt;&gt;"",J20&lt;&gt;""),((1+J20)*(1+J13)-1),"")</f>
        <v>5.2743774042460112E-2</v>
      </c>
      <c r="K22" s="141">
        <f>IF(AND(K13&lt;&gt;"",K20&lt;&gt;""),((1+K20)*(1+K13)-1),"")</f>
        <v>5.3005598499670459E-2</v>
      </c>
      <c r="L22" s="141">
        <f>IF(AND(L14&lt;&gt;"",L21&lt;&gt;""),((1+L21)*(1+L14)-1),"")</f>
        <v>4.7284068405474944E-2</v>
      </c>
      <c r="M22" s="141">
        <f t="shared" ref="M22:P22" si="5">IF(AND(M14&lt;&gt;"",M21&lt;&gt;""),((1+M21)*(1+M14)-1),"")</f>
        <v>4.6002628135530133E-2</v>
      </c>
      <c r="N22" s="141">
        <f t="shared" si="5"/>
        <v>4.4721187865585099E-2</v>
      </c>
      <c r="O22" s="141">
        <f t="shared" si="5"/>
        <v>4.3439747595640288E-2</v>
      </c>
      <c r="P22" s="141">
        <f t="shared" si="5"/>
        <v>4.2158307325695032E-2</v>
      </c>
    </row>
    <row r="23" spans="1:16" ht="11.25" customHeight="1">
      <c r="A23" s="11"/>
      <c r="B23" s="11"/>
      <c r="C23" s="80"/>
      <c r="D23" s="78"/>
      <c r="E23" s="78"/>
      <c r="F23" s="79"/>
      <c r="G23" s="85"/>
      <c r="H23" s="20"/>
      <c r="I23" s="201"/>
      <c r="J23" s="201"/>
      <c r="K23" s="201"/>
      <c r="L23" s="14"/>
      <c r="M23" s="198"/>
      <c r="N23" s="14"/>
      <c r="O23" s="192"/>
      <c r="P23" s="192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customHeight="1">
      <c r="G25" s="24"/>
      <c r="H25" s="24"/>
      <c r="I25" s="24"/>
      <c r="J25" s="24"/>
      <c r="K25" s="24"/>
      <c r="L25" s="24"/>
      <c r="M25" s="24"/>
    </row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7432-DCD2-418B-97C9-AE6E7D6BDD83}">
  <dimension ref="A1:K16"/>
  <sheetViews>
    <sheetView zoomScale="115" zoomScaleNormal="115" workbookViewId="0">
      <selection activeCell="I9" sqref="I9"/>
    </sheetView>
  </sheetViews>
  <sheetFormatPr defaultRowHeight="15"/>
  <cols>
    <col min="9" max="9" width="10" bestFit="1" customWidth="1"/>
  </cols>
  <sheetData>
    <row r="1" spans="1:11">
      <c r="A1" t="s">
        <v>111</v>
      </c>
      <c r="C1" t="s">
        <v>110</v>
      </c>
    </row>
    <row r="2" spans="1:11">
      <c r="C2" t="s">
        <v>109</v>
      </c>
    </row>
    <row r="5" spans="1:11">
      <c r="A5" s="8"/>
      <c r="B5" s="74" t="s">
        <v>41</v>
      </c>
      <c r="C5" s="8"/>
      <c r="D5" s="18"/>
      <c r="E5" s="18"/>
      <c r="F5" s="18"/>
      <c r="G5" s="18"/>
      <c r="H5" s="8"/>
      <c r="I5" s="8"/>
    </row>
    <row r="6" spans="1:11">
      <c r="A6" s="11"/>
      <c r="B6" s="206"/>
      <c r="C6" s="11"/>
      <c r="D6" s="16"/>
      <c r="E6" s="16"/>
      <c r="F6" s="16"/>
      <c r="G6" s="78"/>
      <c r="H6" s="78" t="s">
        <v>108</v>
      </c>
      <c r="I6" s="78" t="s">
        <v>7</v>
      </c>
      <c r="K6" s="78" t="s">
        <v>107</v>
      </c>
    </row>
    <row r="7" spans="1:11">
      <c r="A7" s="11"/>
      <c r="B7" s="206"/>
      <c r="C7" s="68"/>
      <c r="D7" s="213" t="s">
        <v>6</v>
      </c>
      <c r="E7" s="213" t="s">
        <v>52</v>
      </c>
      <c r="F7" s="213" t="s">
        <v>4</v>
      </c>
      <c r="G7" s="212"/>
      <c r="H7" s="211" t="s">
        <v>106</v>
      </c>
      <c r="I7" s="211" t="s">
        <v>106</v>
      </c>
      <c r="K7" s="211" t="s">
        <v>106</v>
      </c>
    </row>
    <row r="8" spans="1:11">
      <c r="A8" s="11"/>
      <c r="B8" s="206"/>
      <c r="C8" s="68"/>
      <c r="D8" s="68"/>
      <c r="E8" s="68"/>
      <c r="F8" s="68"/>
      <c r="G8" s="68"/>
      <c r="H8" s="68"/>
      <c r="I8" s="68"/>
    </row>
    <row r="9" spans="1:11">
      <c r="A9" s="11"/>
      <c r="B9" s="206"/>
      <c r="C9" s="210" t="s">
        <v>77</v>
      </c>
      <c r="D9" s="78"/>
      <c r="E9" s="78" t="s">
        <v>50</v>
      </c>
      <c r="F9" s="78" t="s">
        <v>53</v>
      </c>
      <c r="G9" s="68"/>
      <c r="H9" s="160">
        <v>522.46415910814039</v>
      </c>
      <c r="I9" s="160">
        <v>476.317273</v>
      </c>
      <c r="K9" s="160">
        <f>I9-H9</f>
        <v>-46.146886108140393</v>
      </c>
    </row>
    <row r="10" spans="1:11">
      <c r="A10" s="11"/>
      <c r="B10" s="206"/>
      <c r="C10" s="210" t="s">
        <v>97</v>
      </c>
      <c r="D10" s="78"/>
      <c r="E10" s="78" t="s">
        <v>50</v>
      </c>
      <c r="F10" s="78" t="s">
        <v>53</v>
      </c>
      <c r="G10" s="208"/>
      <c r="H10" s="160">
        <v>53.68752940384271</v>
      </c>
      <c r="I10" s="160">
        <v>41.841028999999999</v>
      </c>
      <c r="K10" s="160">
        <f>I10-H10</f>
        <v>-11.846500403842711</v>
      </c>
    </row>
    <row r="11" spans="1:11">
      <c r="A11" s="11"/>
      <c r="B11" s="206"/>
      <c r="C11" s="209" t="s">
        <v>91</v>
      </c>
      <c r="D11" s="78"/>
      <c r="E11" s="78" t="s">
        <v>50</v>
      </c>
      <c r="F11" s="78" t="s">
        <v>53</v>
      </c>
      <c r="G11" s="208"/>
      <c r="H11" s="160">
        <v>11.644561059048584</v>
      </c>
      <c r="I11" s="160">
        <v>11.098549999999999</v>
      </c>
      <c r="K11" s="160">
        <f>I11-H11</f>
        <v>-0.54601105904858471</v>
      </c>
    </row>
    <row r="12" spans="1:11">
      <c r="A12" s="11"/>
      <c r="B12" s="206"/>
      <c r="C12" s="207" t="s">
        <v>96</v>
      </c>
      <c r="D12" s="78"/>
      <c r="E12" s="78" t="s">
        <v>50</v>
      </c>
      <c r="F12" s="78" t="s">
        <v>53</v>
      </c>
      <c r="G12" s="68"/>
      <c r="H12" s="160"/>
      <c r="I12" s="160"/>
      <c r="K12" s="160">
        <f>I12-H12</f>
        <v>0</v>
      </c>
    </row>
    <row r="13" spans="1:11">
      <c r="A13" s="11"/>
      <c r="B13" s="206"/>
      <c r="C13" s="68"/>
      <c r="D13" s="68"/>
      <c r="E13" s="68"/>
      <c r="F13" s="68"/>
      <c r="G13" s="68"/>
      <c r="H13" s="67"/>
      <c r="I13" s="67"/>
      <c r="K13" s="67"/>
    </row>
    <row r="14" spans="1:11">
      <c r="A14" s="11"/>
      <c r="B14" s="206"/>
      <c r="C14" s="205" t="s">
        <v>76</v>
      </c>
      <c r="D14" s="204" t="s">
        <v>60</v>
      </c>
      <c r="E14" s="203" t="s">
        <v>50</v>
      </c>
      <c r="F14" s="203" t="s">
        <v>53</v>
      </c>
      <c r="G14" s="68"/>
      <c r="H14" s="66">
        <f>IF(H7="", "", H9-H10-H11-H12)</f>
        <v>457.13206864524909</v>
      </c>
      <c r="I14" s="66">
        <f>IF(I7="", "", I9-I10-I11-I12)</f>
        <v>423.37769400000002</v>
      </c>
      <c r="K14" s="66">
        <f>IF(K7="", "", K9-K10-K11-K12)</f>
        <v>-33.754374645249101</v>
      </c>
    </row>
    <row r="16" spans="1:11">
      <c r="C16" t="s">
        <v>105</v>
      </c>
    </row>
  </sheetData>
  <conditionalFormatting sqref="I9:I11">
    <cfRule type="expression" dxfId="14" priority="7">
      <formula>IF($H$6&lt;&gt;"","FALSE","TRUE")</formula>
    </cfRule>
  </conditionalFormatting>
  <conditionalFormatting sqref="I12">
    <cfRule type="expression" dxfId="13" priority="6">
      <formula>IF($H$6&lt;&gt;"","FALSE","TRUE")</formula>
    </cfRule>
  </conditionalFormatting>
  <conditionalFormatting sqref="H9:H11">
    <cfRule type="expression" dxfId="12" priority="5">
      <formula>IF($H$6&lt;&gt;"","FALSE","TRUE")</formula>
    </cfRule>
  </conditionalFormatting>
  <conditionalFormatting sqref="H12">
    <cfRule type="expression" dxfId="11" priority="4">
      <formula>IF($H$6&lt;&gt;"","FALSE","TRUE")</formula>
    </cfRule>
  </conditionalFormatting>
  <conditionalFormatting sqref="K9">
    <cfRule type="expression" dxfId="10" priority="3">
      <formula>IF($H$6&lt;&gt;"","FALSE","TRUE")</formula>
    </cfRule>
  </conditionalFormatting>
  <conditionalFormatting sqref="K10:K11">
    <cfRule type="expression" dxfId="9" priority="2">
      <formula>IF($H$6&lt;&gt;"","FALSE","TRUE")</formula>
    </cfRule>
  </conditionalFormatting>
  <conditionalFormatting sqref="K12">
    <cfRule type="expression" dxfId="8" priority="1">
      <formula>IF($H$6&lt;&gt;"","FALSE","TRUE")</formula>
    </cfRule>
  </conditionalFormatting>
  <pageMargins left="0.7" right="0.7" top="0.75" bottom="0.75" header="0.3" footer="0.3"/>
  <customProperties>
    <customPr name="_pios_id" r:id="rId1"/>
  </customProperti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09"/>
  <sheetViews>
    <sheetView topLeftCell="A5" workbookViewId="0">
      <selection activeCell="L18" sqref="L18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9.140625" style="11" customWidth="1"/>
    <col min="24" max="16384" width="12.7109375" style="11" hidden="1"/>
  </cols>
  <sheetData>
    <row r="1" spans="2:14" ht="18" customHeight="1">
      <c r="B1" s="3" t="str">
        <f>'Input | General'!$B$1</f>
        <v>Energex 2021-25 Final Decision - Capital expenditure sharing scheme model</v>
      </c>
      <c r="D1" s="12"/>
      <c r="E1" s="12"/>
      <c r="F1" s="12"/>
      <c r="G1" s="12"/>
      <c r="H1" s="104"/>
      <c r="I1" s="105" t="s">
        <v>47</v>
      </c>
      <c r="J1" s="158" t="s">
        <v>48</v>
      </c>
      <c r="K1" s="162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6" t="str">
        <f>IF('Input | General'!D14="Yes",'Input | General'!D13,"n/a")</f>
        <v>2015–16</v>
      </c>
      <c r="I6" s="176" t="str">
        <f>IF('Input | General'!E14="Yes",'Input | General'!E13,"n/a")</f>
        <v>2016–17</v>
      </c>
      <c r="J6" s="176" t="str">
        <f>IF('Input | General'!F14="Yes",'Input | General'!F13,"n/a")</f>
        <v>2017–18</v>
      </c>
      <c r="K6" s="176" t="str">
        <f>IF('Input | General'!G14="Yes",'Input | General'!G13,"n/a")</f>
        <v>2018–19</v>
      </c>
      <c r="L6" s="176" t="str">
        <f>IF('Input | General'!H14="Yes",'Input | General'!H13,"n/a")</f>
        <v>2019–20</v>
      </c>
      <c r="M6" s="107"/>
      <c r="N6" s="107"/>
    </row>
    <row r="7" spans="2:14" s="68" customFormat="1" ht="10.5" customHeight="1">
      <c r="M7" s="107"/>
      <c r="N7" s="107"/>
    </row>
    <row r="8" spans="2:14" ht="10.5" customHeight="1">
      <c r="C8" s="80" t="s">
        <v>3</v>
      </c>
      <c r="D8" s="78" t="s">
        <v>49</v>
      </c>
      <c r="E8" s="78" t="s">
        <v>50</v>
      </c>
      <c r="F8" s="179" t="str">
        <f>'Input | Inflation and Disc Rate'!$F$7</f>
        <v>2014–15</v>
      </c>
      <c r="G8" s="68"/>
      <c r="H8" s="160">
        <v>603.66527968520211</v>
      </c>
      <c r="I8" s="160">
        <v>624.35046985538247</v>
      </c>
      <c r="J8" s="160">
        <v>575.41350508295272</v>
      </c>
      <c r="K8" s="160">
        <v>570.96178661501654</v>
      </c>
      <c r="L8" s="160">
        <v>564.2138070340003</v>
      </c>
      <c r="M8" s="2"/>
      <c r="N8" s="2"/>
    </row>
    <row r="9" spans="2:14" ht="10.5" customHeight="1">
      <c r="C9" s="80" t="s">
        <v>97</v>
      </c>
      <c r="D9" s="78" t="s">
        <v>49</v>
      </c>
      <c r="E9" s="78" t="s">
        <v>50</v>
      </c>
      <c r="F9" s="179" t="str">
        <f>'Input | Inflation and Disc Rate'!$F$7</f>
        <v>2014–15</v>
      </c>
      <c r="G9" s="68"/>
      <c r="H9" s="160">
        <v>29.954850285730501</v>
      </c>
      <c r="I9" s="160">
        <v>33.21124783941616</v>
      </c>
      <c r="J9" s="160">
        <v>34.721721737438486</v>
      </c>
      <c r="K9" s="160">
        <v>36.846233383920094</v>
      </c>
      <c r="L9" s="160">
        <v>37.553938428442628</v>
      </c>
      <c r="M9" s="2"/>
      <c r="N9" s="2"/>
    </row>
    <row r="10" spans="2:14" ht="10.5" customHeight="1">
      <c r="C10" s="80" t="s">
        <v>91</v>
      </c>
      <c r="D10" s="78" t="s">
        <v>49</v>
      </c>
      <c r="E10" s="78" t="s">
        <v>50</v>
      </c>
      <c r="F10" s="179" t="str">
        <f>'Input | Inflation and Disc Rate'!$F$7</f>
        <v>2014–15</v>
      </c>
      <c r="G10" s="68"/>
      <c r="H10" s="160">
        <v>19.13871687112918</v>
      </c>
      <c r="I10" s="160">
        <v>33.941838835915206</v>
      </c>
      <c r="J10" s="160">
        <v>30.670191719479213</v>
      </c>
      <c r="K10" s="160">
        <v>24.129510568666667</v>
      </c>
      <c r="L10" s="160">
        <v>13.272645523000001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7"/>
      <c r="N11" s="107"/>
    </row>
    <row r="12" spans="2:14" ht="10.5" customHeight="1">
      <c r="C12" s="77" t="s">
        <v>5</v>
      </c>
      <c r="D12" s="76" t="s">
        <v>60</v>
      </c>
      <c r="E12" s="177" t="s">
        <v>50</v>
      </c>
      <c r="F12" s="178" t="str">
        <f>'Input | Inflation and Disc Rate'!$F$7</f>
        <v>2014–15</v>
      </c>
      <c r="G12" s="68"/>
      <c r="H12" s="66">
        <f>IF(H6="", "", H8-H9-H10)</f>
        <v>554.57171252834246</v>
      </c>
      <c r="I12" s="66">
        <f t="shared" ref="I12:L12" si="0">IF(I6="", "", I8-I9-I10)</f>
        <v>557.19738318005113</v>
      </c>
      <c r="J12" s="66">
        <f t="shared" si="0"/>
        <v>510.0215916260351</v>
      </c>
      <c r="K12" s="66">
        <f t="shared" si="0"/>
        <v>509.98604266242978</v>
      </c>
      <c r="L12" s="66">
        <f t="shared" si="0"/>
        <v>513.38722308255763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6" t="str">
        <f>H6</f>
        <v>2015–16</v>
      </c>
      <c r="I16" s="176" t="str">
        <f t="shared" ref="I16:L16" si="1">I6</f>
        <v>2016–17</v>
      </c>
      <c r="J16" s="176" t="str">
        <f t="shared" si="1"/>
        <v>2017–18</v>
      </c>
      <c r="K16" s="176" t="str">
        <f t="shared" si="1"/>
        <v>2018–19</v>
      </c>
      <c r="L16" s="176" t="str">
        <f t="shared" si="1"/>
        <v>2019–20</v>
      </c>
      <c r="M16" s="107"/>
      <c r="N16" s="107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7"/>
      <c r="N17" s="107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0">
        <v>609.48212318545302</v>
      </c>
      <c r="I18" s="160">
        <v>575.41235199999994</v>
      </c>
      <c r="J18" s="160">
        <v>544.69619450067512</v>
      </c>
      <c r="K18" s="160">
        <v>517.25179200000002</v>
      </c>
      <c r="L18" s="160">
        <f>'FY20 Capex'!I9</f>
        <v>476.317273</v>
      </c>
    </row>
    <row r="19" spans="2:14" s="2" customFormat="1" ht="10.5" customHeight="1">
      <c r="B19" s="73"/>
      <c r="C19" s="80" t="s">
        <v>97</v>
      </c>
      <c r="D19" s="78" t="s">
        <v>49</v>
      </c>
      <c r="E19" s="78" t="s">
        <v>50</v>
      </c>
      <c r="F19" s="78" t="s">
        <v>53</v>
      </c>
      <c r="G19" s="140"/>
      <c r="H19" s="161">
        <v>79.659051981209004</v>
      </c>
      <c r="I19" s="160">
        <v>62.504508999999999</v>
      </c>
      <c r="J19" s="160">
        <v>56.411411176241835</v>
      </c>
      <c r="K19" s="160">
        <v>48.825648999999991</v>
      </c>
      <c r="L19" s="160">
        <f>'FY20 Capex'!I10</f>
        <v>41.841028999999999</v>
      </c>
    </row>
    <row r="20" spans="2:14" s="2" customFormat="1" ht="10.5" customHeight="1">
      <c r="B20" s="73"/>
      <c r="C20" s="139" t="s">
        <v>91</v>
      </c>
      <c r="D20" s="78" t="s">
        <v>49</v>
      </c>
      <c r="E20" s="78" t="s">
        <v>50</v>
      </c>
      <c r="F20" s="78" t="s">
        <v>53</v>
      </c>
      <c r="G20" s="140"/>
      <c r="H20" s="161">
        <v>12.465389499999969</v>
      </c>
      <c r="I20" s="160">
        <v>5.6274879999999996</v>
      </c>
      <c r="J20" s="160">
        <v>7.7294441500000008</v>
      </c>
      <c r="K20" s="160">
        <v>4.7279080000000002</v>
      </c>
      <c r="L20" s="160">
        <f>'FY20 Capex'!I11</f>
        <v>11.098549999999999</v>
      </c>
    </row>
    <row r="21" spans="2:14" s="2" customFormat="1" ht="10.5" customHeight="1">
      <c r="B21" s="73"/>
      <c r="C21" s="155" t="s">
        <v>96</v>
      </c>
      <c r="D21" s="78" t="s">
        <v>49</v>
      </c>
      <c r="E21" s="78" t="s">
        <v>50</v>
      </c>
      <c r="F21" s="78" t="s">
        <v>53</v>
      </c>
      <c r="G21" s="68"/>
      <c r="H21" s="161"/>
      <c r="I21" s="160"/>
      <c r="J21" s="160"/>
      <c r="K21" s="160"/>
      <c r="L21" s="160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7"/>
      <c r="N22" s="107"/>
    </row>
    <row r="23" spans="2:14" s="2" customFormat="1" ht="10.5" customHeight="1">
      <c r="B23" s="73"/>
      <c r="C23" s="77" t="s">
        <v>76</v>
      </c>
      <c r="D23" s="76" t="s">
        <v>60</v>
      </c>
      <c r="E23" s="180" t="s">
        <v>50</v>
      </c>
      <c r="F23" s="180" t="s">
        <v>53</v>
      </c>
      <c r="G23" s="68"/>
      <c r="H23" s="66">
        <f>IF(H16="", "", H18-H19-H20-H21)</f>
        <v>517.35768170424399</v>
      </c>
      <c r="I23" s="66">
        <f t="shared" ref="I23:L23" si="2">IF(I16="", "", I18-I19-I20-I21)</f>
        <v>507.28035499999999</v>
      </c>
      <c r="J23" s="66">
        <f t="shared" si="2"/>
        <v>480.5553391744333</v>
      </c>
      <c r="K23" s="66">
        <f t="shared" si="2"/>
        <v>463.69823500000001</v>
      </c>
      <c r="L23" s="66">
        <f t="shared" si="2"/>
        <v>423.37769400000002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6" t="str">
        <f>'Input | General'!D18</f>
        <v>2020-21</v>
      </c>
      <c r="I27" s="176" t="str">
        <f>'Input | General'!E18</f>
        <v>2021–22</v>
      </c>
      <c r="J27" s="176" t="str">
        <f>'Input | General'!F18</f>
        <v>2022–23</v>
      </c>
      <c r="K27" s="176" t="str">
        <f>'Input | General'!G18</f>
        <v>2023–24</v>
      </c>
      <c r="L27" s="176" t="str">
        <f>'Input | General'!H18</f>
        <v>2024–25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102</v>
      </c>
      <c r="E29" s="78" t="s">
        <v>50</v>
      </c>
      <c r="F29" s="78" t="s">
        <v>53</v>
      </c>
      <c r="G29" s="68"/>
      <c r="H29" s="160">
        <v>0</v>
      </c>
      <c r="I29" s="160">
        <v>0</v>
      </c>
      <c r="J29" s="160">
        <v>0</v>
      </c>
      <c r="K29" s="160">
        <v>0</v>
      </c>
      <c r="L29" s="160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2014–15</v>
      </c>
      <c r="G30" s="68"/>
      <c r="H30" s="148">
        <f>IF(H29&lt;&gt;"",H29/('Input | Inflation and Disc Rate'!K10*(1+'Input | Inflation and Disc Rate'!L9)^0.5),"")</f>
        <v>0</v>
      </c>
      <c r="I30" s="148">
        <f>IF(I29&lt;&gt;"",I29/('Input | Inflation and Disc Rate'!L10*(1+'Input | Inflation and Disc Rate'!M9)^0.5),"")</f>
        <v>0</v>
      </c>
      <c r="J30" s="148">
        <f>IF(J29&lt;&gt;"",J29/('Input | Inflation and Disc Rate'!M10*(1+'Input | Inflation and Disc Rate'!N9)^0.5),"")</f>
        <v>0</v>
      </c>
      <c r="K30" s="148">
        <f>IF(K29&lt;&gt;"",K29/('Input | Inflation and Disc Rate'!N10*(1+'Input | Inflation and Disc Rate'!O9)^0.5),"")</f>
        <v>0</v>
      </c>
      <c r="L30" s="148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48">
        <f>IF(H29&lt;&gt;"",H30*'Input | Inflation and Disc Rate'!K15*(1+'Input | Inflation and Disc Rate'!L14)^0.5,"")</f>
        <v>0</v>
      </c>
      <c r="I31" s="148">
        <f>IF(I29&lt;&gt;"",I30*'Input | Inflation and Disc Rate'!L15*(1+'Input | Inflation and Disc Rate'!M14)^0.5,"")</f>
        <v>0</v>
      </c>
      <c r="J31" s="148">
        <f>IF(J29&lt;&gt;"",J30*'Input | Inflation and Disc Rate'!M15*(1+'Input | Inflation and Disc Rate'!N14)^0.5,"")</f>
        <v>0</v>
      </c>
      <c r="K31" s="148">
        <f>IF(K29&lt;&gt;"",K30*'Input | Inflation and Disc Rate'!N15*(1+'Input | Inflation and Disc Rate'!O14)^0.5,"")</f>
        <v>0</v>
      </c>
      <c r="L31" s="148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14" s="62" customFormat="1" ht="12.75" customHeight="1">
      <c r="A33" s="8"/>
      <c r="B33" s="29" t="s">
        <v>34</v>
      </c>
      <c r="D33" s="63"/>
      <c r="E33" s="63"/>
      <c r="F33" s="63"/>
    </row>
    <row r="34" spans="1:14" ht="10.5" customHeight="1">
      <c r="C34" s="11"/>
      <c r="D34" s="11"/>
      <c r="E34" s="11"/>
      <c r="F34" s="11"/>
      <c r="G34" s="11"/>
    </row>
    <row r="35" spans="1:14" ht="18" customHeight="1"/>
    <row r="36" spans="1:14" s="2" customFormat="1" ht="18" customHeight="1">
      <c r="A36" s="11"/>
      <c r="B36" s="11"/>
      <c r="C36" s="16"/>
      <c r="D36" s="16"/>
      <c r="E36" s="16"/>
      <c r="F36" s="16"/>
      <c r="G36" s="16"/>
      <c r="H36" s="11"/>
      <c r="I36" s="11"/>
      <c r="J36" s="11"/>
      <c r="K36" s="11"/>
      <c r="L36" s="11"/>
      <c r="M36" s="11"/>
      <c r="N36" s="11"/>
    </row>
    <row r="37" spans="1:14" ht="18" customHeight="1"/>
    <row r="38" spans="1:14" ht="18" customHeight="1"/>
    <row r="39" spans="1:14" s="17" customFormat="1" ht="18" customHeight="1">
      <c r="A39" s="11"/>
      <c r="B39" s="11"/>
      <c r="C39" s="16"/>
      <c r="D39" s="16"/>
      <c r="E39" s="16"/>
      <c r="F39" s="16"/>
      <c r="G39" s="16"/>
      <c r="H39" s="11"/>
      <c r="I39" s="11"/>
      <c r="J39" s="11"/>
      <c r="K39" s="11"/>
      <c r="L39" s="11"/>
      <c r="M39" s="11"/>
      <c r="N39" s="11"/>
    </row>
    <row r="40" spans="1:14" ht="18" customHeight="1"/>
    <row r="41" spans="1:14" ht="18" customHeight="1"/>
    <row r="42" spans="1:14" ht="18" customHeight="1"/>
    <row r="43" spans="1:14" ht="18" customHeight="1"/>
    <row r="44" spans="1:14" s="17" customFormat="1" ht="18" customHeight="1">
      <c r="A44" s="11"/>
      <c r="B44" s="11"/>
      <c r="C44" s="16"/>
      <c r="D44" s="16"/>
      <c r="E44" s="16"/>
      <c r="F44" s="16"/>
      <c r="G44" s="16"/>
      <c r="H44" s="11"/>
      <c r="I44" s="11"/>
      <c r="J44" s="11"/>
      <c r="K44" s="11"/>
      <c r="L44" s="11"/>
      <c r="M44" s="11"/>
      <c r="N44" s="11"/>
    </row>
    <row r="45" spans="1:14" ht="18" customHeight="1"/>
    <row r="46" spans="1:14" ht="18" customHeight="1"/>
    <row r="47" spans="1:14" ht="18" customHeight="1"/>
    <row r="48" spans="1:14" ht="18" customHeight="1"/>
    <row r="49" spans="1:14" ht="18" customHeight="1"/>
    <row r="50" spans="1:14" ht="18" customHeight="1"/>
    <row r="51" spans="1:14" s="2" customFormat="1" ht="18" customHeight="1">
      <c r="A51" s="11"/>
      <c r="B51" s="11"/>
      <c r="C51" s="16"/>
      <c r="D51" s="16"/>
      <c r="E51" s="16"/>
      <c r="F51" s="16"/>
      <c r="G51" s="16"/>
      <c r="H51" s="11"/>
      <c r="I51" s="11"/>
      <c r="J51" s="11"/>
      <c r="K51" s="11"/>
      <c r="L51" s="11"/>
      <c r="M51" s="11"/>
      <c r="N51" s="11"/>
    </row>
    <row r="52" spans="1:14" ht="18" customHeight="1"/>
    <row r="53" spans="1:14" ht="18" customHeight="1"/>
    <row r="54" spans="1:14" ht="18" customHeight="1"/>
    <row r="55" spans="1:14" s="17" customFormat="1" ht="18" customHeight="1">
      <c r="A55" s="11"/>
      <c r="B55" s="11"/>
      <c r="C55" s="16"/>
      <c r="D55" s="16"/>
      <c r="E55" s="16"/>
      <c r="F55" s="16"/>
      <c r="G55" s="16"/>
      <c r="H55" s="11"/>
      <c r="I55" s="11"/>
      <c r="J55" s="11"/>
      <c r="K55" s="11"/>
      <c r="L55" s="11"/>
      <c r="M55" s="11"/>
      <c r="N55" s="11"/>
    </row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UAM53"/>
  <sheetViews>
    <sheetView zoomScaleNormal="100" workbookViewId="0">
      <selection activeCell="H11" sqref="H11"/>
    </sheetView>
  </sheetViews>
  <sheetFormatPr defaultColWidth="12.7109375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4235" width="0" style="2" hidden="1" customWidth="1"/>
    <col min="14236" max="16381" width="12.7109375" style="2" customWidth="1"/>
    <col min="16382" max="16382" width="12.7109375" style="2"/>
    <col min="16383" max="16384" width="0" style="2" hidden="1" customWidth="1"/>
  </cols>
  <sheetData>
    <row r="1" spans="2:23" s="11" customFormat="1" ht="18" customHeight="1">
      <c r="B1" s="3" t="str">
        <f>'Input | General'!$B$1</f>
        <v>Energex 2021-25 Final Decision - Capital expenditure sharing scheme model</v>
      </c>
      <c r="J1" s="121"/>
      <c r="K1" s="105" t="s">
        <v>47</v>
      </c>
      <c r="L1" s="158" t="s">
        <v>48</v>
      </c>
      <c r="M1" s="162" t="s">
        <v>36</v>
      </c>
      <c r="N1"/>
      <c r="Q1" s="106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7" t="s">
        <v>11</v>
      </c>
      <c r="D6" s="118"/>
      <c r="E6" s="119"/>
      <c r="F6" s="119"/>
      <c r="G6" s="119"/>
      <c r="H6" s="119"/>
      <c r="I6" s="96"/>
    </row>
    <row r="7" spans="2:23" ht="11.25" customHeight="1">
      <c r="C7" s="116" t="s">
        <v>9</v>
      </c>
      <c r="D7" s="176" t="str">
        <f>IF('Input | General'!D14="Yes",'Input | General'!D13,"n/a")</f>
        <v>2015–16</v>
      </c>
      <c r="E7" s="176" t="str">
        <f>IF('Input | General'!E14="Yes",'Input | General'!E13,"n/a")</f>
        <v>2016–17</v>
      </c>
      <c r="F7" s="176" t="str">
        <f>IF('Input | General'!F14="Yes",'Input | General'!F13,"n/a")</f>
        <v>2017–18</v>
      </c>
      <c r="G7" s="176" t="str">
        <f>IF('Input | General'!G14="Yes",'Input | General'!G13,"n/a")</f>
        <v>2018–19</v>
      </c>
      <c r="H7" s="181" t="str">
        <f>IF('Input | General'!H14="Yes",'Input | General'!H13,"n/a")</f>
        <v>2019–20</v>
      </c>
      <c r="I7" s="96"/>
    </row>
    <row r="8" spans="2:23" ht="11.25" customHeight="1">
      <c r="C8" s="143" t="s">
        <v>93</v>
      </c>
      <c r="D8" s="163">
        <f>'Input | Inflation and Disc Rate'!G20</f>
        <v>3.4223677885352854E-2</v>
      </c>
      <c r="E8" s="164">
        <f>'Input | Inflation and Disc Rate'!H20</f>
        <v>3.4525892490292698E-2</v>
      </c>
      <c r="F8" s="164">
        <f>'Input | Inflation and Disc Rate'!I20</f>
        <v>3.4583434536381352E-2</v>
      </c>
      <c r="G8" s="164">
        <f>'Input | Inflation and Disc Rate'!J20</f>
        <v>3.4290771868183745E-2</v>
      </c>
      <c r="H8" s="165">
        <f>'Input | Inflation and Disc Rate'!K20</f>
        <v>3.3975376840037708E-2</v>
      </c>
      <c r="I8" s="96"/>
      <c r="J8" s="79"/>
      <c r="K8" s="79"/>
    </row>
    <row r="9" spans="2:23" ht="11.25" customHeight="1">
      <c r="C9" s="146" t="s">
        <v>94</v>
      </c>
      <c r="D9" s="164">
        <f>'Input | Inflation and Disc Rate'!G22</f>
        <v>5.1687117099176838E-2</v>
      </c>
      <c r="E9" s="164">
        <f>'Input | Inflation and Disc Rate'!H22</f>
        <v>4.9795647360998174E-2</v>
      </c>
      <c r="F9" s="164">
        <f>'Input | Inflation and Disc Rate'!I22</f>
        <v>5.4334572832075878E-2</v>
      </c>
      <c r="G9" s="164">
        <f>'Input | Inflation and Disc Rate'!J22</f>
        <v>5.2743774042460112E-2</v>
      </c>
      <c r="H9" s="165">
        <f>'Input | Inflation and Disc Rate'!K22</f>
        <v>5.3005598499670459E-2</v>
      </c>
      <c r="I9" s="96"/>
      <c r="J9" s="79"/>
      <c r="K9" s="79"/>
    </row>
    <row r="10" spans="2:23" ht="11.25" customHeight="1">
      <c r="C10" s="112" t="s">
        <v>13</v>
      </c>
      <c r="D10" s="166">
        <f>'Input | Reported Capex'!H$12*'Input | Inflation and Disc Rate'!G$15*(1+'Input | Inflation and Disc Rate'!G$20)^0.5</f>
        <v>573.50476305572238</v>
      </c>
      <c r="E10" s="167">
        <f>'Input | Reported Capex'!I$12*'Input | Inflation and Disc Rate'!H$15*(1+'Input | Inflation and Disc Rate'!H$20)^0.5</f>
        <v>584.81059350541636</v>
      </c>
      <c r="F10" s="167">
        <f>'Input | Reported Capex'!J$12*'Input | Inflation and Disc Rate'!I$15*(1+'Input | Inflation and Disc Rate'!I$20)^0.5</f>
        <v>545.53137146869688</v>
      </c>
      <c r="G10" s="167">
        <f>'Input | Reported Capex'!K$12*'Input | Inflation and Disc Rate'!J$15*(1+'Input | Inflation and Disc Rate'!J$20)^0.5</f>
        <v>555.14707396772553</v>
      </c>
      <c r="H10" s="168">
        <f>'Input | Reported Capex'!L$12*'Input | Inflation and Disc Rate'!K$15*(1+'Input | Inflation and Disc Rate'!K$20)^0.5</f>
        <v>569.04823103659328</v>
      </c>
      <c r="I10" s="96"/>
      <c r="J10" s="79"/>
      <c r="K10" s="79"/>
      <c r="N10" s="137"/>
    </row>
    <row r="11" spans="2:23" ht="11.25" customHeight="1">
      <c r="C11" s="112" t="s">
        <v>15</v>
      </c>
      <c r="D11" s="169">
        <f>'Input | Reported Capex'!H23*(1+D$9)^0.5</f>
        <v>530.55960210491435</v>
      </c>
      <c r="E11" s="167">
        <f>'Input | Reported Capex'!I23*(1+E$9)^0.5</f>
        <v>519.75709686972584</v>
      </c>
      <c r="F11" s="167">
        <f>'Input | Reported Capex'!J23*(1+F$9)^0.5</f>
        <v>493.4380442351208</v>
      </c>
      <c r="G11" s="167">
        <f>'Input | Reported Capex'!K23*(1+G$9)^0.5</f>
        <v>475.76970402133065</v>
      </c>
      <c r="H11" s="168">
        <f>'Input | Reported Capex'!L23*(1+H$9)^0.5</f>
        <v>434.45351293844516</v>
      </c>
      <c r="I11" s="96"/>
      <c r="J11" s="79"/>
      <c r="K11" s="79"/>
    </row>
    <row r="12" spans="2:23" s="19" customFormat="1" ht="11.25" customHeight="1">
      <c r="C12" s="112" t="s">
        <v>17</v>
      </c>
      <c r="D12" s="157">
        <f>(D10-D11)</f>
        <v>42.945160950808031</v>
      </c>
      <c r="E12" s="144">
        <f>(E10-E11)</f>
        <v>65.053496635690522</v>
      </c>
      <c r="F12" s="144">
        <f t="shared" ref="F12:H12" si="0">(F10-F11)</f>
        <v>52.093327233576076</v>
      </c>
      <c r="G12" s="144">
        <f t="shared" si="0"/>
        <v>79.377369946394879</v>
      </c>
      <c r="H12" s="149">
        <f t="shared" si="0"/>
        <v>134.59471809814812</v>
      </c>
      <c r="I12" s="96"/>
      <c r="J12" s="79"/>
      <c r="K12" s="79"/>
    </row>
    <row r="13" spans="2:23" ht="11.25" customHeight="1">
      <c r="C13" s="112" t="s">
        <v>71</v>
      </c>
      <c r="D13" s="88"/>
      <c r="E13" s="144">
        <f>$D$12*$E$8</f>
        <v>1.4827200099659141</v>
      </c>
      <c r="F13" s="144">
        <f>$D$12*$F$8*(1+'Input | Inflation and Disc Rate'!H13)</f>
        <v>1.5071128031700123</v>
      </c>
      <c r="G13" s="144">
        <f>$D$12*$G$8*(1+'Input | Inflation and Disc Rate'!H13)*(1+'Input | Inflation and Disc Rate'!I13)</f>
        <v>1.5228875145427938</v>
      </c>
      <c r="H13" s="149">
        <f>$D$12*$H$8*(1+'Input | Inflation and Disc Rate'!H13)*(1+'Input | Inflation and Disc Rate'!I13)*(1+'Input | Inflation and Disc Rate'!J13)</f>
        <v>1.5358007643292466</v>
      </c>
      <c r="I13" s="96"/>
      <c r="J13" s="79"/>
      <c r="K13" s="79"/>
      <c r="L13" s="95"/>
      <c r="M13" s="95"/>
      <c r="N13" s="95"/>
      <c r="O13" s="95"/>
    </row>
    <row r="14" spans="2:23" ht="11.25" customHeight="1">
      <c r="C14" s="112" t="s">
        <v>72</v>
      </c>
      <c r="D14" s="88"/>
      <c r="E14" s="145"/>
      <c r="F14" s="144">
        <f>$E$12*F$8</f>
        <v>2.2497733422631079</v>
      </c>
      <c r="G14" s="144">
        <f>$E$12*G$8*(1+'Input | Inflation and Disc Rate'!I13)</f>
        <v>2.2733213640526717</v>
      </c>
      <c r="H14" s="149">
        <f>$E$12*H$8*(1+'Input | Inflation and Disc Rate'!I13)*(1+'Input | Inflation and Disc Rate'!J13)</f>
        <v>2.2925978807609364</v>
      </c>
      <c r="I14" s="96"/>
      <c r="J14" s="79"/>
      <c r="K14" s="79"/>
      <c r="L14" s="95"/>
      <c r="M14" s="95"/>
      <c r="N14" s="96"/>
      <c r="O14" s="96"/>
    </row>
    <row r="15" spans="2:23" ht="11.25" customHeight="1">
      <c r="C15" s="112" t="s">
        <v>73</v>
      </c>
      <c r="D15" s="88"/>
      <c r="E15" s="144"/>
      <c r="F15" s="144"/>
      <c r="G15" s="144">
        <f>$F$12*G$8</f>
        <v>1.7863204000212007</v>
      </c>
      <c r="H15" s="149">
        <f>$F$12*$H$8*(1+'Input | Inflation and Disc Rate'!J13)</f>
        <v>1.8014674160048698</v>
      </c>
      <c r="I15" s="96"/>
      <c r="J15" s="79"/>
      <c r="K15" s="79"/>
      <c r="L15" s="95"/>
      <c r="M15" s="95"/>
      <c r="N15" s="95"/>
      <c r="O15" s="95"/>
    </row>
    <row r="16" spans="2:23" ht="11.25" customHeight="1">
      <c r="C16" s="112" t="s">
        <v>74</v>
      </c>
      <c r="D16" s="88"/>
      <c r="E16" s="144"/>
      <c r="F16" s="144"/>
      <c r="G16" s="144"/>
      <c r="H16" s="149">
        <f>$G$12*$H$8</f>
        <v>2.6968760564998497</v>
      </c>
      <c r="I16" s="96"/>
      <c r="J16" s="79"/>
      <c r="K16" s="79"/>
      <c r="L16" s="95"/>
      <c r="M16" s="95"/>
      <c r="N16" s="95"/>
      <c r="O16" s="95"/>
    </row>
    <row r="17" spans="3:15" ht="11.25" customHeight="1">
      <c r="C17" s="112" t="s">
        <v>75</v>
      </c>
      <c r="D17" s="88"/>
      <c r="E17" s="144"/>
      <c r="F17" s="144"/>
      <c r="G17" s="144"/>
      <c r="H17" s="149"/>
      <c r="I17" s="96"/>
      <c r="J17" s="79"/>
      <c r="K17" s="79"/>
      <c r="L17" s="95"/>
      <c r="M17" s="95"/>
      <c r="N17" s="95"/>
      <c r="O17" s="95"/>
    </row>
    <row r="18" spans="3:15" s="19" customFormat="1" ht="11.25" customHeight="1">
      <c r="C18" s="113" t="s">
        <v>19</v>
      </c>
      <c r="D18" s="89">
        <f>SUM(D13:D17)</f>
        <v>0</v>
      </c>
      <c r="E18" s="150">
        <f>SUM(E13:E17)</f>
        <v>1.4827200099659141</v>
      </c>
      <c r="F18" s="150">
        <f t="shared" ref="F18:H18" si="1">SUM(F13:F17)</f>
        <v>3.7568861454331204</v>
      </c>
      <c r="G18" s="150">
        <f t="shared" si="1"/>
        <v>5.5825292786166667</v>
      </c>
      <c r="H18" s="151">
        <f t="shared" si="1"/>
        <v>8.3267421175949021</v>
      </c>
      <c r="I18" s="96"/>
      <c r="J18" s="79"/>
      <c r="K18" s="79"/>
      <c r="L18" s="95"/>
      <c r="M18" s="95"/>
      <c r="N18" s="95"/>
      <c r="O18" s="95"/>
    </row>
    <row r="19" spans="3:15" ht="11.25" customHeight="1">
      <c r="C19" s="114" t="s">
        <v>92</v>
      </c>
      <c r="D19" s="125">
        <f>E19*(1+E$9)</f>
        <v>1.2269774395007549</v>
      </c>
      <c r="E19" s="150">
        <f>F19*(1+F$9)</f>
        <v>1.1687774116659377</v>
      </c>
      <c r="F19" s="150">
        <f>G19*(1+G$9)</f>
        <v>1.1085450878523826</v>
      </c>
      <c r="G19" s="150">
        <f>H19*(1+H$9)</f>
        <v>1.0530055984996705</v>
      </c>
      <c r="H19" s="152">
        <v>1</v>
      </c>
      <c r="I19" s="96"/>
      <c r="J19" s="79"/>
      <c r="K19" s="79"/>
      <c r="L19" s="96"/>
      <c r="M19" s="96"/>
      <c r="N19" s="96"/>
      <c r="O19" s="96"/>
    </row>
    <row r="20" spans="3:15" s="19" customFormat="1" ht="11.25" customHeight="1">
      <c r="C20" s="112" t="s">
        <v>20</v>
      </c>
      <c r="D20" s="88">
        <f>D12*D19</f>
        <v>52.692743622370244</v>
      </c>
      <c r="E20" s="144">
        <f>E12*E19</f>
        <v>76.03305741768115</v>
      </c>
      <c r="F20" s="144">
        <f t="shared" ref="F20:H20" si="2">F12*F19</f>
        <v>57.747802014667506</v>
      </c>
      <c r="G20" s="144">
        <f t="shared" si="2"/>
        <v>83.584814947733292</v>
      </c>
      <c r="H20" s="149">
        <f t="shared" si="2"/>
        <v>134.59471809814812</v>
      </c>
      <c r="I20" s="96"/>
      <c r="J20" s="79"/>
      <c r="K20" s="79"/>
      <c r="L20" s="96"/>
      <c r="M20" s="96"/>
      <c r="N20" s="96"/>
      <c r="O20" s="96"/>
    </row>
    <row r="21" spans="3:15" s="19" customFormat="1" ht="11.25" customHeight="1">
      <c r="C21" s="113" t="s">
        <v>21</v>
      </c>
      <c r="D21" s="89">
        <f>D18*D19</f>
        <v>0</v>
      </c>
      <c r="E21" s="150">
        <f>E18*E19</f>
        <v>1.7329696554732545</v>
      </c>
      <c r="F21" s="150">
        <f t="shared" ref="F21:H21" si="3">F18*F19</f>
        <v>4.1646776821405576</v>
      </c>
      <c r="G21" s="150">
        <f t="shared" si="3"/>
        <v>5.8784345841716767</v>
      </c>
      <c r="H21" s="151">
        <f t="shared" si="3"/>
        <v>8.3267421175949021</v>
      </c>
      <c r="I21" s="96"/>
      <c r="J21" s="79"/>
      <c r="K21" s="79"/>
      <c r="L21" s="96"/>
      <c r="M21" s="96"/>
      <c r="N21" s="96"/>
      <c r="O21" s="96"/>
    </row>
    <row r="22" spans="3:15" s="79" customFormat="1" ht="11.25" customHeight="1"/>
    <row r="23" spans="3:15" ht="11.25" customHeight="1">
      <c r="C23" s="117" t="s">
        <v>12</v>
      </c>
      <c r="D23" s="118"/>
      <c r="E23" s="119"/>
      <c r="F23" s="119"/>
      <c r="G23" s="119"/>
      <c r="H23" s="119"/>
      <c r="I23" s="96"/>
      <c r="J23" s="79"/>
      <c r="K23" s="79"/>
      <c r="L23" s="96"/>
      <c r="M23" s="96"/>
      <c r="N23" s="96"/>
      <c r="O23" s="96"/>
    </row>
    <row r="24" spans="3:15" ht="11.25" customHeight="1">
      <c r="C24" s="111" t="s">
        <v>9</v>
      </c>
      <c r="D24" s="182" t="str">
        <f>'Input | General'!$D$18</f>
        <v>2020-21</v>
      </c>
      <c r="E24" s="182" t="str">
        <f>'Input | General'!$E$18</f>
        <v>2021–22</v>
      </c>
      <c r="F24" s="182" t="str">
        <f>'Input | General'!$F$18</f>
        <v>2022–23</v>
      </c>
      <c r="G24" s="182" t="str">
        <f>'Input | General'!$G$18</f>
        <v>2023–24</v>
      </c>
      <c r="H24" s="183" t="str">
        <f>'Input | General'!$H$18</f>
        <v>2024–25</v>
      </c>
      <c r="I24" s="96"/>
      <c r="J24" s="79"/>
      <c r="K24" s="79"/>
      <c r="L24" s="96"/>
      <c r="M24" s="96"/>
      <c r="N24" s="96"/>
      <c r="O24" s="96"/>
    </row>
    <row r="25" spans="3:15" ht="11.25" customHeight="1">
      <c r="C25" s="115" t="s">
        <v>70</v>
      </c>
      <c r="D25" s="170">
        <f>'Input | Inflation and Disc Rate'!L$22</f>
        <v>4.7284068405474944E-2</v>
      </c>
      <c r="E25" s="170">
        <f>'Input | Inflation and Disc Rate'!M$22</f>
        <v>4.6002628135530133E-2</v>
      </c>
      <c r="F25" s="170">
        <f>'Input | Inflation and Disc Rate'!N$22</f>
        <v>4.4721187865585099E-2</v>
      </c>
      <c r="G25" s="170">
        <f>'Input | Inflation and Disc Rate'!O$22</f>
        <v>4.3439747595640288E-2</v>
      </c>
      <c r="H25" s="171">
        <f>'Input | Inflation and Disc Rate'!P$22</f>
        <v>4.2158307325695032E-2</v>
      </c>
      <c r="I25" s="96"/>
      <c r="J25" s="79"/>
      <c r="K25" s="79"/>
      <c r="L25" s="96"/>
      <c r="M25" s="96"/>
      <c r="N25" s="96"/>
      <c r="O25" s="96"/>
    </row>
    <row r="26" spans="3:15" ht="11.25" customHeight="1">
      <c r="C26" s="116" t="s">
        <v>14</v>
      </c>
      <c r="D26" s="167">
        <f>'Input | Reported Capex'!H31</f>
        <v>0</v>
      </c>
      <c r="E26" s="167">
        <f>'Input | Reported Capex'!I31</f>
        <v>0</v>
      </c>
      <c r="F26" s="167">
        <f>'Input | Reported Capex'!J31</f>
        <v>0</v>
      </c>
      <c r="G26" s="167">
        <f>'Input | Reported Capex'!K31</f>
        <v>0</v>
      </c>
      <c r="H26" s="168">
        <f>'Input | Reported Capex'!L31</f>
        <v>0</v>
      </c>
      <c r="I26" s="96"/>
      <c r="J26" s="79"/>
      <c r="K26" s="79"/>
      <c r="L26" s="96"/>
      <c r="M26" s="96"/>
      <c r="N26" s="96"/>
      <c r="O26" s="96"/>
    </row>
    <row r="27" spans="3:15" ht="11.25" customHeight="1">
      <c r="C27" s="116" t="s">
        <v>16</v>
      </c>
      <c r="D27" s="123">
        <f>1/(1+D25)^(0.5)</f>
        <v>0.97716465901854321</v>
      </c>
      <c r="E27" s="123">
        <f>1/((1+E25)^(0.5)*(1+D25))</f>
        <v>0.93361778272276674</v>
      </c>
      <c r="F27" s="123">
        <f>1/((1+F25)^(0.5)*(1+E25)*(1+D25))</f>
        <v>0.89310501075495252</v>
      </c>
      <c r="G27" s="123">
        <f>1/((1+G25)^(0.5)*(1+F25)*(1+E25)*(1+D25))</f>
        <v>0.85539879973374677</v>
      </c>
      <c r="H27" s="124">
        <f>1/((1+H25)^(0.5)*(1+G25)*(1+F25)*(1+E25)*(1+D25))</f>
        <v>0.82029129167890191</v>
      </c>
      <c r="I27" s="96"/>
      <c r="J27" s="79"/>
      <c r="K27" s="79"/>
      <c r="L27" s="96"/>
      <c r="M27" s="96"/>
      <c r="N27" s="96"/>
      <c r="O27" s="96"/>
    </row>
    <row r="28" spans="3:15" ht="11.25" customHeight="1">
      <c r="C28" s="111" t="s">
        <v>18</v>
      </c>
      <c r="D28" s="90">
        <f>D26*D27</f>
        <v>0</v>
      </c>
      <c r="E28" s="90">
        <f t="shared" ref="E28:G28" si="4">E26*E27</f>
        <v>0</v>
      </c>
      <c r="F28" s="90">
        <f t="shared" si="4"/>
        <v>0</v>
      </c>
      <c r="G28" s="90">
        <f t="shared" si="4"/>
        <v>0</v>
      </c>
      <c r="H28" s="91">
        <f>H26*H27</f>
        <v>0</v>
      </c>
      <c r="I28" s="96"/>
      <c r="J28" s="79"/>
      <c r="K28" s="79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9"/>
      <c r="K29" s="79"/>
      <c r="L29" s="96"/>
      <c r="M29" s="96"/>
      <c r="N29" s="96"/>
      <c r="O29" s="96"/>
    </row>
    <row r="30" spans="3:15" ht="11.25" customHeight="1">
      <c r="C30" s="110" t="s">
        <v>22</v>
      </c>
      <c r="D30" s="120"/>
      <c r="E30" s="95"/>
      <c r="F30" s="95"/>
      <c r="G30" s="95"/>
      <c r="H30" s="95"/>
      <c r="I30" s="96"/>
      <c r="J30" s="79"/>
      <c r="K30" s="79"/>
      <c r="L30" s="96"/>
      <c r="M30" s="96"/>
      <c r="N30" s="96"/>
      <c r="O30" s="96"/>
    </row>
    <row r="31" spans="3:15" ht="11.25" customHeight="1">
      <c r="C31" s="112" t="s">
        <v>23</v>
      </c>
      <c r="D31" s="101">
        <f>SUM(D20:H20)-SUM(D28:H28)</f>
        <v>404.65313610060031</v>
      </c>
      <c r="E31" s="95"/>
      <c r="F31" s="95"/>
      <c r="G31" s="95"/>
      <c r="H31" s="95"/>
      <c r="I31" s="96"/>
      <c r="J31" s="79"/>
      <c r="K31" s="79"/>
      <c r="L31" s="96"/>
      <c r="M31" s="96"/>
      <c r="N31" s="96"/>
      <c r="O31" s="96"/>
    </row>
    <row r="32" spans="3:15" ht="11.25" customHeight="1">
      <c r="C32" s="112" t="s">
        <v>24</v>
      </c>
      <c r="D32" s="100">
        <v>0.3</v>
      </c>
      <c r="E32" s="95"/>
      <c r="F32" s="95"/>
      <c r="G32" s="95"/>
      <c r="H32" s="95"/>
      <c r="I32" s="96"/>
      <c r="J32" s="79"/>
      <c r="K32" s="79"/>
      <c r="L32" s="96"/>
      <c r="M32" s="96"/>
      <c r="N32" s="96"/>
      <c r="O32" s="96"/>
    </row>
    <row r="33" spans="1:14235" ht="11.25" customHeight="1">
      <c r="C33" s="112" t="s">
        <v>25</v>
      </c>
      <c r="D33" s="101">
        <f>(1-D32)*D31</f>
        <v>283.2571952704202</v>
      </c>
      <c r="E33" s="95"/>
      <c r="F33" s="95"/>
      <c r="G33" s="95"/>
      <c r="H33" s="95"/>
      <c r="I33" s="96"/>
      <c r="J33" s="79"/>
      <c r="K33" s="79"/>
      <c r="L33" s="96"/>
      <c r="M33" s="96"/>
      <c r="N33" s="96"/>
      <c r="O33" s="96"/>
    </row>
    <row r="34" spans="1:14235" ht="11.25" customHeight="1">
      <c r="C34" s="112" t="s">
        <v>26</v>
      </c>
      <c r="D34" s="101">
        <f>D32*D31</f>
        <v>121.39594083018008</v>
      </c>
      <c r="E34" s="95"/>
      <c r="F34" s="95"/>
      <c r="G34" s="95"/>
      <c r="H34" s="95"/>
      <c r="I34" s="96"/>
      <c r="J34" s="79"/>
      <c r="K34" s="79"/>
      <c r="L34" s="96"/>
      <c r="M34" s="96"/>
      <c r="N34" s="96"/>
      <c r="O34" s="96"/>
    </row>
    <row r="35" spans="1:14235" ht="11.25" customHeight="1">
      <c r="C35" s="112" t="s">
        <v>27</v>
      </c>
      <c r="D35" s="101">
        <f>SUM(D21:H21)</f>
        <v>20.102824039380391</v>
      </c>
      <c r="E35" s="95"/>
      <c r="F35" s="95"/>
      <c r="G35" s="95"/>
      <c r="H35" s="95"/>
      <c r="I35" s="96"/>
      <c r="J35" s="79"/>
      <c r="K35" s="79"/>
      <c r="L35" s="96"/>
      <c r="M35" s="96"/>
      <c r="N35" s="96"/>
      <c r="O35" s="96"/>
    </row>
    <row r="36" spans="1:14235" ht="11.25" customHeight="1">
      <c r="C36" s="113" t="s">
        <v>28</v>
      </c>
      <c r="D36" s="102">
        <f>D34-D35</f>
        <v>101.29311679079969</v>
      </c>
      <c r="E36" s="95"/>
      <c r="F36" s="95"/>
      <c r="G36" s="95"/>
      <c r="H36" s="95"/>
      <c r="I36" s="96"/>
      <c r="J36" s="79"/>
      <c r="K36" s="79"/>
      <c r="L36" s="96"/>
      <c r="M36" s="96"/>
      <c r="N36" s="96"/>
      <c r="O36" s="96"/>
    </row>
    <row r="37" spans="1:14235" ht="11.25" customHeight="1">
      <c r="D37" s="25"/>
      <c r="J37" s="2"/>
    </row>
    <row r="38" spans="1:14235" s="8" customFormat="1" ht="12" customHeight="1">
      <c r="B38" s="29" t="s">
        <v>45</v>
      </c>
      <c r="J38" s="23"/>
      <c r="K38" s="23"/>
    </row>
    <row r="39" spans="1:14235" s="26" customFormat="1" ht="11.25" customHeight="1">
      <c r="E39" s="27"/>
      <c r="F39" s="27"/>
      <c r="G39" s="27"/>
      <c r="H39" s="28"/>
      <c r="I39" s="27"/>
      <c r="J39" s="227" t="s">
        <v>141</v>
      </c>
      <c r="K39" s="228"/>
      <c r="L39" s="228"/>
      <c r="M39" s="228"/>
      <c r="N39" s="229"/>
      <c r="O39" s="230"/>
      <c r="P39" s="230"/>
    </row>
    <row r="40" spans="1:14235" s="30" customFormat="1" ht="11.25" customHeight="1">
      <c r="C40" s="92"/>
      <c r="D40" s="184" t="str">
        <f>'Input | General'!D18</f>
        <v>2020-21</v>
      </c>
      <c r="E40" s="184" t="str">
        <f>'Input | General'!E18</f>
        <v>2021–22</v>
      </c>
      <c r="F40" s="184" t="str">
        <f>'Input | General'!F18</f>
        <v>2022–23</v>
      </c>
      <c r="G40" s="184" t="str">
        <f>'Input | General'!G18</f>
        <v>2023–24</v>
      </c>
      <c r="H40" s="184" t="str">
        <f>'Input | General'!H18</f>
        <v>2024–25</v>
      </c>
      <c r="I40" s="93"/>
      <c r="J40" s="231" t="s">
        <v>103</v>
      </c>
      <c r="K40" s="231" t="s">
        <v>114</v>
      </c>
      <c r="L40" s="231" t="s">
        <v>115</v>
      </c>
      <c r="M40" s="231" t="s">
        <v>116</v>
      </c>
      <c r="N40" s="231" t="s">
        <v>140</v>
      </c>
      <c r="O40" s="232"/>
      <c r="P40" s="233"/>
    </row>
    <row r="41" spans="1:14235" s="30" customFormat="1" ht="11.25" customHeight="1">
      <c r="C41" s="99" t="s">
        <v>98</v>
      </c>
      <c r="D41" s="172">
        <f>1/(1+'Input | Inflation and Disc Rate'!L21)</f>
        <v>0.97656398273695377</v>
      </c>
      <c r="E41" s="172">
        <f>D41/(1+'Input | Inflation and Disc Rate'!M21)</f>
        <v>0.95484554633119456</v>
      </c>
      <c r="F41" s="172">
        <f>E41/(1+'Input | Inflation and Disc Rate'!N21)</f>
        <v>0.93475527324547092</v>
      </c>
      <c r="G41" s="172">
        <f>F41/(1+'Input | Inflation and Disc Rate'!O21)</f>
        <v>0.91621151841953796</v>
      </c>
      <c r="H41" s="173">
        <f>G41/(1+'Input | Inflation and Disc Rate'!P21)</f>
        <v>0.89913986288273695</v>
      </c>
      <c r="I41" s="93"/>
      <c r="J41" s="234">
        <v>0.97656398273695377</v>
      </c>
      <c r="K41" s="234">
        <v>0.95484554633119456</v>
      </c>
      <c r="L41" s="234">
        <v>0.93475527324547092</v>
      </c>
      <c r="M41" s="234">
        <v>0.91621151841953796</v>
      </c>
      <c r="N41" s="235">
        <v>0.89913986288273695</v>
      </c>
      <c r="O41" s="232"/>
      <c r="P41" s="233"/>
    </row>
    <row r="42" spans="1:14235" s="30" customFormat="1" ht="11.25" customHeight="1">
      <c r="C42" s="190" t="str">
        <f>CONCATENATE("CESS Payment Per Year ($", 'Output | Models'!$F$8," million)")</f>
        <v>CESS Payment Per Year ($2019–20 million)</v>
      </c>
      <c r="D42" s="109">
        <f>D36/(SUM(D41:H41))</f>
        <v>21.63681867538974</v>
      </c>
      <c r="E42" s="109">
        <f>D42</f>
        <v>21.63681867538974</v>
      </c>
      <c r="F42" s="109">
        <f t="shared" ref="F42:H42" si="5">E42</f>
        <v>21.63681867538974</v>
      </c>
      <c r="G42" s="109">
        <f t="shared" si="5"/>
        <v>21.63681867538974</v>
      </c>
      <c r="H42" s="147">
        <f t="shared" si="5"/>
        <v>21.63681867538974</v>
      </c>
      <c r="I42" s="93"/>
      <c r="J42" s="236">
        <v>19.417190994925146</v>
      </c>
      <c r="K42" s="236">
        <v>19.417190994925146</v>
      </c>
      <c r="L42" s="236">
        <v>19.417190994925146</v>
      </c>
      <c r="M42" s="236">
        <v>19.417190994925146</v>
      </c>
      <c r="N42" s="237">
        <v>19.417190994925146</v>
      </c>
      <c r="O42" s="232"/>
      <c r="P42" s="233"/>
    </row>
    <row r="43" spans="1:14235" s="79" customFormat="1" ht="11.25" customHeight="1">
      <c r="J43" s="238"/>
      <c r="K43" s="238"/>
      <c r="L43" s="238"/>
      <c r="M43" s="238"/>
      <c r="N43" s="238"/>
      <c r="O43" s="238"/>
      <c r="P43" s="238"/>
    </row>
    <row r="44" spans="1:14235" s="30" customFormat="1" ht="11.25" customHeight="1">
      <c r="C44" s="190" t="str">
        <f>CONCATENATE("Total CESS Payment ($", 'Output | Models'!$F$8," million)")</f>
        <v>Total CESS Payment ($2019–20 million)</v>
      </c>
      <c r="D44" s="156">
        <f>SUM(D42:H42)</f>
        <v>108.18409337694871</v>
      </c>
      <c r="E44" s="70"/>
      <c r="F44" s="70"/>
      <c r="G44" s="70"/>
      <c r="H44" s="70"/>
      <c r="I44" s="93"/>
      <c r="J44" s="239">
        <v>97.085954974625736</v>
      </c>
      <c r="K44" s="240"/>
      <c r="L44" s="240"/>
      <c r="M44" s="240"/>
      <c r="N44" s="240"/>
      <c r="O44" s="232"/>
      <c r="P44" s="233"/>
    </row>
    <row r="45" spans="1:14235" s="30" customFormat="1" ht="11.25" customHeight="1">
      <c r="C45" s="69"/>
      <c r="D45" s="98"/>
      <c r="E45" s="70"/>
      <c r="F45" s="70"/>
      <c r="G45" s="70"/>
      <c r="H45" s="70"/>
      <c r="I45" s="93"/>
      <c r="J45" s="241"/>
      <c r="K45" s="240"/>
      <c r="L45" s="240"/>
      <c r="M45" s="240"/>
      <c r="N45" s="240"/>
      <c r="O45" s="232"/>
      <c r="P45" s="233"/>
    </row>
    <row r="46" spans="1:14235" s="30" customFormat="1" ht="11.25" customHeight="1">
      <c r="C46" s="103"/>
      <c r="D46" s="103"/>
      <c r="E46" s="103"/>
      <c r="F46" s="103"/>
      <c r="G46" s="103"/>
      <c r="H46" s="103"/>
      <c r="I46" s="103"/>
      <c r="J46" s="242"/>
      <c r="K46" s="242"/>
      <c r="L46" s="242"/>
      <c r="M46" s="242"/>
      <c r="N46" s="242"/>
      <c r="O46" s="242"/>
      <c r="P46" s="233"/>
    </row>
    <row r="47" spans="1:14235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</row>
    <row r="48" spans="1:14235" ht="18" customHeight="1">
      <c r="C48" s="2"/>
      <c r="J48" s="2"/>
    </row>
    <row r="49" ht="18" customHeight="1"/>
    <row r="50" ht="18" customHeight="1"/>
    <row r="51" ht="18" customHeight="1"/>
    <row r="52" ht="18" customHeight="1"/>
    <row r="53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Energex 2021-25 Final Decision - Capital expenditure sharing scheme model</v>
      </c>
      <c r="C1" s="35"/>
      <c r="D1" s="35"/>
      <c r="E1" s="35"/>
      <c r="F1" s="36"/>
      <c r="G1" s="36"/>
      <c r="H1" s="36"/>
      <c r="I1" s="36"/>
      <c r="J1" s="104"/>
      <c r="K1" s="105" t="s">
        <v>47</v>
      </c>
      <c r="L1" s="158" t="s">
        <v>48</v>
      </c>
      <c r="M1" s="162" t="s">
        <v>36</v>
      </c>
      <c r="R1" s="106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43"/>
      <c r="K3" s="243"/>
      <c r="L3" s="243"/>
      <c r="M3" s="42"/>
      <c r="N3" s="243"/>
      <c r="O3" s="243"/>
      <c r="P3" s="243"/>
      <c r="Q3" s="243"/>
      <c r="R3" s="243"/>
      <c r="S3" s="243"/>
      <c r="T3" s="243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5" t="str">
        <f>'Calc | CESS Revenue Increments'!D40</f>
        <v>2020-21</v>
      </c>
      <c r="K6" s="185" t="str">
        <f>'Calc | CESS Revenue Increments'!E40</f>
        <v>2021–22</v>
      </c>
      <c r="L6" s="185" t="str">
        <f>'Calc | CESS Revenue Increments'!F40</f>
        <v>2022–23</v>
      </c>
      <c r="M6" s="185" t="str">
        <f>'Calc | CESS Revenue Increments'!G40</f>
        <v>2023–24</v>
      </c>
      <c r="N6" s="185" t="str">
        <f>'Calc | CESS Revenue Increments'!H40</f>
        <v>2024–25</v>
      </c>
      <c r="O6" s="56" t="s">
        <v>86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7" t="s">
        <v>58</v>
      </c>
      <c r="E8" s="52" t="s">
        <v>50</v>
      </c>
      <c r="F8" s="186" t="str">
        <f>IF(LEN(J6)&gt;4,CONCATENATE(LEFT(J6,4)-1&amp;"–"&amp;IF(RIGHT(J6,2)="00","99",IF(RIGHT(J6,2)-1&lt;10,"0","")&amp;RIGHT(J6,2)-1)),J6-1)</f>
        <v>2019–20</v>
      </c>
      <c r="H8" s="55"/>
      <c r="I8" s="55"/>
      <c r="J8" s="131">
        <f>'Calc | CESS Revenue Increments'!D42</f>
        <v>21.63681867538974</v>
      </c>
      <c r="K8" s="131">
        <f>'Calc | CESS Revenue Increments'!E42</f>
        <v>21.63681867538974</v>
      </c>
      <c r="L8" s="131">
        <f>'Calc | CESS Revenue Increments'!F42</f>
        <v>21.63681867538974</v>
      </c>
      <c r="M8" s="131">
        <f>'Calc | CESS Revenue Increments'!G42</f>
        <v>21.63681867538974</v>
      </c>
      <c r="N8" s="131">
        <f>'Calc | CESS Revenue Increments'!H42</f>
        <v>21.63681867538974</v>
      </c>
      <c r="O8" s="60">
        <f>SUM(J8:N8)</f>
        <v>108.18409337694871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9C61-C3D0-45E0-AC93-83A918733D1B}">
  <sheetPr>
    <tabColor rgb="FF8DB4E2"/>
  </sheetPr>
  <dimension ref="A1:O32"/>
  <sheetViews>
    <sheetView tabSelected="1" zoomScale="70" zoomScaleNormal="70" workbookViewId="0">
      <selection activeCell="G7" sqref="G7"/>
    </sheetView>
  </sheetViews>
  <sheetFormatPr defaultRowHeight="15"/>
  <cols>
    <col min="1" max="1" width="40.7109375" customWidth="1"/>
    <col min="2" max="2" width="40.28515625" customWidth="1"/>
    <col min="3" max="3" width="9.5703125" customWidth="1"/>
    <col min="6" max="6" width="11.28515625" customWidth="1"/>
    <col min="10" max="10" width="10.42578125" customWidth="1"/>
  </cols>
  <sheetData>
    <row r="1" spans="1:15">
      <c r="A1" s="214" t="s">
        <v>112</v>
      </c>
    </row>
    <row r="2" spans="1:15">
      <c r="E2" s="215"/>
      <c r="F2" s="215" t="s">
        <v>113</v>
      </c>
      <c r="G2" s="215" t="s">
        <v>114</v>
      </c>
      <c r="H2" s="215" t="s">
        <v>115</v>
      </c>
      <c r="I2" s="215" t="s">
        <v>116</v>
      </c>
      <c r="J2" s="215" t="s">
        <v>117</v>
      </c>
      <c r="K2" s="215" t="s">
        <v>118</v>
      </c>
      <c r="L2" s="215" t="s">
        <v>119</v>
      </c>
      <c r="M2" s="215" t="s">
        <v>120</v>
      </c>
      <c r="N2" s="215" t="s">
        <v>121</v>
      </c>
      <c r="O2" s="215" t="s">
        <v>122</v>
      </c>
    </row>
    <row r="3" spans="1:15">
      <c r="A3" t="s">
        <v>123</v>
      </c>
      <c r="B3" t="s">
        <v>124</v>
      </c>
      <c r="F3" s="216">
        <v>2.3998445239976629E-2</v>
      </c>
      <c r="G3" s="216">
        <v>2.2429515237719279E-2</v>
      </c>
      <c r="H3" s="216">
        <v>2.1803719524386755E-2</v>
      </c>
      <c r="I3" s="216">
        <v>2.2573324923264429E-2</v>
      </c>
      <c r="J3" s="216">
        <v>1.8986651845317538E-2</v>
      </c>
    </row>
    <row r="4" spans="1:15">
      <c r="A4" t="s">
        <v>125</v>
      </c>
      <c r="F4" s="216"/>
      <c r="G4" s="216"/>
      <c r="H4" s="216"/>
      <c r="I4" s="216"/>
      <c r="J4" s="216"/>
      <c r="K4" s="217">
        <f>[2]WACC!G19</f>
        <v>3.1539166955611632E-2</v>
      </c>
      <c r="L4" s="217">
        <f>[2]WACC!H19</f>
        <v>3.2003502749014291E-2</v>
      </c>
      <c r="M4" s="217">
        <f>[2]WACC!I19</f>
        <v>3.2711797595705597E-2</v>
      </c>
      <c r="N4" s="217">
        <f>[2]WACC!J19</f>
        <v>3.3769275901938747E-2</v>
      </c>
      <c r="O4" s="217">
        <f>[2]WACC!K19</f>
        <v>3.4849420276806688E-2</v>
      </c>
    </row>
    <row r="5" spans="1:15">
      <c r="A5" t="s">
        <v>126</v>
      </c>
      <c r="E5" s="216"/>
      <c r="F5" s="218">
        <v>8.6058519793459354E-3</v>
      </c>
      <c r="G5" s="218">
        <v>3.4982935153583528E-2</v>
      </c>
      <c r="H5" s="218">
        <v>7.8318219291014124E-2</v>
      </c>
      <c r="I5" s="218">
        <v>4.1000000000000002E-2</v>
      </c>
      <c r="J5" s="218">
        <v>3.3000000000000002E-2</v>
      </c>
      <c r="K5" s="217"/>
      <c r="L5" s="217"/>
      <c r="M5" s="217"/>
      <c r="N5" s="217"/>
      <c r="O5" s="217"/>
    </row>
    <row r="6" spans="1:15">
      <c r="A6" t="s">
        <v>127</v>
      </c>
      <c r="E6" s="219"/>
      <c r="F6" s="220">
        <f>(1+F5)</f>
        <v>1.0086058519793459</v>
      </c>
      <c r="G6" s="220">
        <f>F6*(1+G5)</f>
        <v>1.0438898450946643</v>
      </c>
      <c r="H6" s="220">
        <f>G6*(1+H5)</f>
        <v>1.1256454388984509</v>
      </c>
      <c r="I6" s="220">
        <f>H6*(1+I5)</f>
        <v>1.1717969018932872</v>
      </c>
      <c r="J6" s="220">
        <f>I6*(1+J5)</f>
        <v>1.2104661996557655</v>
      </c>
    </row>
    <row r="7" spans="1:15">
      <c r="A7" t="s">
        <v>128</v>
      </c>
      <c r="F7" s="216">
        <f>(1+F3)*(1+F5)-1</f>
        <v>3.2810824286792162E-2</v>
      </c>
      <c r="G7" s="216">
        <f>(1+G3)*(1+G5)-1</f>
        <v>5.8197100668390123E-2</v>
      </c>
      <c r="H7" s="216">
        <f>(1+H3)*(1+H5)-1</f>
        <v>0.10182956730247161</v>
      </c>
      <c r="I7" s="216">
        <f>(1+I3)*(1+I5)-1</f>
        <v>6.4498831245118238E-2</v>
      </c>
      <c r="J7" s="216">
        <f>(1+J3)*(1+J5)-1</f>
        <v>5.2613211356212775E-2</v>
      </c>
    </row>
    <row r="9" spans="1:15">
      <c r="A9" t="s">
        <v>83</v>
      </c>
      <c r="B9" t="s">
        <v>129</v>
      </c>
      <c r="C9" t="s">
        <v>50</v>
      </c>
      <c r="D9" t="s">
        <v>130</v>
      </c>
      <c r="F9" s="221">
        <f>'Calc | CESS Revenue Increments'!J42</f>
        <v>19.417190994925146</v>
      </c>
      <c r="G9" s="221">
        <f>'Calc | CESS Revenue Increments'!K42</f>
        <v>19.417190994925146</v>
      </c>
      <c r="H9" s="221">
        <f>'Calc | CESS Revenue Increments'!L42</f>
        <v>19.417190994925146</v>
      </c>
      <c r="I9" s="221">
        <f>'Calc | CESS Revenue Increments'!M42</f>
        <v>19.417190994925146</v>
      </c>
      <c r="J9" s="221">
        <f>'Calc | CESS Revenue Increments'!N42</f>
        <v>19.417190994925146</v>
      </c>
    </row>
    <row r="10" spans="1:15">
      <c r="A10" t="s">
        <v>83</v>
      </c>
      <c r="B10" t="s">
        <v>131</v>
      </c>
      <c r="C10" t="s">
        <v>50</v>
      </c>
      <c r="D10" t="s">
        <v>130</v>
      </c>
      <c r="F10" s="221">
        <f>'Calc | CESS Revenue Increments'!D42</f>
        <v>21.63681867538974</v>
      </c>
      <c r="G10" s="221">
        <f>'Calc | CESS Revenue Increments'!E42</f>
        <v>21.63681867538974</v>
      </c>
      <c r="H10" s="221">
        <f>'Calc | CESS Revenue Increments'!F42</f>
        <v>21.63681867538974</v>
      </c>
      <c r="I10" s="221">
        <f>'Calc | CESS Revenue Increments'!G42</f>
        <v>21.63681867538974</v>
      </c>
      <c r="J10" s="221">
        <f>'Calc | CESS Revenue Increments'!H42</f>
        <v>21.63681867538974</v>
      </c>
    </row>
    <row r="11" spans="1:15">
      <c r="F11" s="221"/>
      <c r="G11" s="221"/>
      <c r="H11" s="221"/>
      <c r="I11" s="221"/>
      <c r="J11" s="221"/>
    </row>
    <row r="12" spans="1:15">
      <c r="A12" t="s">
        <v>132</v>
      </c>
      <c r="C12" t="s">
        <v>50</v>
      </c>
      <c r="D12" t="s">
        <v>130</v>
      </c>
      <c r="F12" s="221">
        <f t="shared" ref="F12:J12" si="0">F10-F9</f>
        <v>2.219627680464594</v>
      </c>
      <c r="G12" s="221">
        <f t="shared" si="0"/>
        <v>2.219627680464594</v>
      </c>
      <c r="H12" s="221">
        <f t="shared" si="0"/>
        <v>2.219627680464594</v>
      </c>
      <c r="I12" s="221">
        <f t="shared" si="0"/>
        <v>2.219627680464594</v>
      </c>
      <c r="J12" s="221">
        <f t="shared" si="0"/>
        <v>2.219627680464594</v>
      </c>
    </row>
    <row r="13" spans="1:15">
      <c r="A13" t="s">
        <v>132</v>
      </c>
      <c r="B13" t="s">
        <v>133</v>
      </c>
      <c r="C13" t="s">
        <v>50</v>
      </c>
      <c r="D13" t="s">
        <v>53</v>
      </c>
      <c r="F13" s="221">
        <f>F12*F6</f>
        <v>2.2387294677319312</v>
      </c>
      <c r="G13" s="221">
        <f>G12*G6</f>
        <v>2.3170467955280141</v>
      </c>
      <c r="H13" s="221">
        <f>H12*H6</f>
        <v>2.4985137745677184</v>
      </c>
      <c r="I13" s="221">
        <f>I12*I6</f>
        <v>2.6009528393249948</v>
      </c>
      <c r="J13" s="221">
        <f>J12*J6</f>
        <v>2.6867842830227189</v>
      </c>
    </row>
    <row r="14" spans="1:15">
      <c r="A14" t="s">
        <v>71</v>
      </c>
      <c r="F14" s="221"/>
      <c r="G14" s="221">
        <f>$F$13*G$3</f>
        <v>5.0213616709624521E-2</v>
      </c>
      <c r="H14" s="221">
        <f>$F$13*G$6/$F$6*H$3</f>
        <v>5.0520238454571924E-2</v>
      </c>
      <c r="I14" s="221">
        <f>$F$13*H$6/$F$6*I$3</f>
        <v>5.6399763258568963E-2</v>
      </c>
      <c r="J14" s="221">
        <f>$F$13*I$6/$F$6*J$3</f>
        <v>4.9383386026353795E-2</v>
      </c>
    </row>
    <row r="15" spans="1:15">
      <c r="A15" t="s">
        <v>72</v>
      </c>
      <c r="F15" s="221"/>
      <c r="G15" s="221"/>
      <c r="H15" s="221">
        <f>$G$13*H$3</f>
        <v>5.0520238454571924E-2</v>
      </c>
      <c r="I15" s="221">
        <f>$G$13*H$6/$G$6*I$3</f>
        <v>5.6399763258568963E-2</v>
      </c>
      <c r="J15" s="221">
        <f>$G$13*I$6/$G$6*J$3</f>
        <v>4.9383386026353802E-2</v>
      </c>
    </row>
    <row r="16" spans="1:15">
      <c r="A16" t="s">
        <v>73</v>
      </c>
      <c r="F16" s="221"/>
      <c r="G16" s="221"/>
      <c r="H16" s="221"/>
      <c r="I16" s="221">
        <f>$H$13*I$3</f>
        <v>5.6399763258568963E-2</v>
      </c>
      <c r="J16" s="221">
        <f>$H$13*I$6/$H$6*J$3</f>
        <v>4.9383386026353795E-2</v>
      </c>
    </row>
    <row r="17" spans="1:12">
      <c r="A17" t="s">
        <v>74</v>
      </c>
      <c r="F17" s="221"/>
      <c r="G17" s="221"/>
      <c r="H17" s="221"/>
      <c r="I17" s="221"/>
      <c r="J17" s="221">
        <f>$I$13*J$3</f>
        <v>4.9383386026353802E-2</v>
      </c>
    </row>
    <row r="18" spans="1:12">
      <c r="A18" t="s">
        <v>75</v>
      </c>
      <c r="F18" s="221"/>
      <c r="G18" s="221"/>
      <c r="H18" s="221"/>
      <c r="I18" s="221"/>
      <c r="J18" s="222"/>
    </row>
    <row r="19" spans="1:12">
      <c r="A19" t="s">
        <v>19</v>
      </c>
      <c r="B19" t="s">
        <v>134</v>
      </c>
      <c r="C19" t="s">
        <v>50</v>
      </c>
      <c r="F19" s="221">
        <f>SUM(F14:F18)</f>
        <v>0</v>
      </c>
      <c r="G19" s="221">
        <f>SUM(G14:G18)</f>
        <v>5.0213616709624521E-2</v>
      </c>
      <c r="H19" s="221">
        <f>SUM(H14:H18)</f>
        <v>0.10104047690914385</v>
      </c>
      <c r="I19" s="221">
        <f>SUM(I14:I18)</f>
        <v>0.16919928977570689</v>
      </c>
      <c r="J19" s="221">
        <f>SUM(J14:J18)</f>
        <v>0.19753354410541521</v>
      </c>
    </row>
    <row r="20" spans="1:12">
      <c r="F20" s="221"/>
      <c r="G20" s="221"/>
      <c r="H20" s="221"/>
      <c r="I20" s="221"/>
      <c r="J20" s="221"/>
    </row>
    <row r="21" spans="1:12">
      <c r="A21" t="s">
        <v>92</v>
      </c>
      <c r="F21" s="221">
        <f>G21*(1+G7)</f>
        <v>1.3064566239021143</v>
      </c>
      <c r="G21" s="221">
        <f>H21*(1+H7)</f>
        <v>1.2346061268519029</v>
      </c>
      <c r="H21" s="221">
        <f>I21*(1+I7)</f>
        <v>1.1205055332418592</v>
      </c>
      <c r="I21" s="221">
        <f>J21*(1+J7)</f>
        <v>1.0526132113562128</v>
      </c>
      <c r="J21" s="221">
        <v>1</v>
      </c>
    </row>
    <row r="22" spans="1:12">
      <c r="A22" t="s">
        <v>135</v>
      </c>
      <c r="C22" t="s">
        <v>50</v>
      </c>
      <c r="F22" s="221">
        <f>F13*F21</f>
        <v>2.924802942243236</v>
      </c>
      <c r="G22" s="221">
        <f>G13*G21</f>
        <v>2.8606401699614543</v>
      </c>
      <c r="H22" s="221">
        <f>H13*H21</f>
        <v>2.7995985092841318</v>
      </c>
      <c r="I22" s="221">
        <f>I13*I21</f>
        <v>2.7377973207879425</v>
      </c>
      <c r="J22" s="221">
        <f>J13*J21</f>
        <v>2.6867842830227189</v>
      </c>
    </row>
    <row r="23" spans="1:12">
      <c r="A23" t="s">
        <v>21</v>
      </c>
      <c r="C23" t="s">
        <v>50</v>
      </c>
      <c r="F23" s="221">
        <f>F19*F21</f>
        <v>0</v>
      </c>
      <c r="G23" s="221">
        <f>G19*G21</f>
        <v>6.1994038841095521E-2</v>
      </c>
      <c r="H23" s="221">
        <f>H19*H21</f>
        <v>0.11321641345809198</v>
      </c>
      <c r="I23" s="221">
        <f>I19*I21</f>
        <v>0.17810140776999725</v>
      </c>
      <c r="J23" s="221">
        <f>J19*J21</f>
        <v>0.19753354410541521</v>
      </c>
    </row>
    <row r="24" spans="1:12">
      <c r="A24" t="s">
        <v>136</v>
      </c>
      <c r="C24" t="s">
        <v>50</v>
      </c>
      <c r="F24" s="221"/>
      <c r="G24" s="221"/>
      <c r="H24" s="221"/>
      <c r="I24" s="221"/>
      <c r="J24" s="223">
        <f>SUM(F22:J23)</f>
        <v>14.560468629474085</v>
      </c>
      <c r="L24" s="224"/>
    </row>
    <row r="25" spans="1:12">
      <c r="F25" s="223"/>
      <c r="G25" s="223"/>
      <c r="H25" s="223"/>
      <c r="I25" s="223"/>
    </row>
    <row r="26" spans="1:12">
      <c r="F26" s="221"/>
      <c r="G26" s="221"/>
      <c r="H26" s="221"/>
      <c r="I26" s="221"/>
      <c r="J26" s="221"/>
    </row>
    <row r="27" spans="1:12">
      <c r="A27" s="214" t="s">
        <v>137</v>
      </c>
      <c r="F27" s="225" t="s">
        <v>118</v>
      </c>
      <c r="G27" s="225" t="s">
        <v>119</v>
      </c>
      <c r="H27" s="225" t="s">
        <v>120</v>
      </c>
      <c r="I27" s="225" t="s">
        <v>121</v>
      </c>
      <c r="J27" s="225" t="s">
        <v>122</v>
      </c>
      <c r="L27" s="224"/>
    </row>
    <row r="28" spans="1:12">
      <c r="A28" t="s">
        <v>98</v>
      </c>
      <c r="F28" s="221">
        <f>1/(1+K4)</f>
        <v>0.96942513869958691</v>
      </c>
      <c r="G28" s="221">
        <f>F28/(1+L4)</f>
        <v>0.93936225615249047</v>
      </c>
      <c r="H28" s="221">
        <f>G28/(1+M4)</f>
        <v>0.90960736416438193</v>
      </c>
      <c r="I28" s="221">
        <f>H28/(1+N4)</f>
        <v>0.8798939815373904</v>
      </c>
      <c r="J28" s="221">
        <f>I28/(1+O4)</f>
        <v>0.85026281533987047</v>
      </c>
    </row>
    <row r="29" spans="1:12">
      <c r="A29" t="s">
        <v>138</v>
      </c>
      <c r="F29" s="226">
        <f>$J$24/SUM($F$28:$J$28)</f>
        <v>3.2011220386427341</v>
      </c>
      <c r="G29" s="226">
        <f>$J$24/SUM($F$28:$J$28)</f>
        <v>3.2011220386427341</v>
      </c>
      <c r="H29" s="226">
        <f>$J$24/SUM($F$28:$J$28)</f>
        <v>3.2011220386427341</v>
      </c>
      <c r="I29" s="226">
        <f>$J$24/SUM($F$28:$J$28)</f>
        <v>3.2011220386427341</v>
      </c>
      <c r="J29" s="226">
        <f>$J$24/SUM($F$28:$J$28)</f>
        <v>3.2011220386427341</v>
      </c>
    </row>
    <row r="31" spans="1:12">
      <c r="A31" t="s">
        <v>139</v>
      </c>
      <c r="F31" s="226">
        <f>SUM(F29:J29)</f>
        <v>16.00561019321367</v>
      </c>
      <c r="G31" s="221"/>
      <c r="H31" s="221"/>
      <c r="I31" s="221"/>
      <c r="J31" s="221"/>
    </row>
    <row r="32" spans="1:12">
      <c r="G32" s="223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78DC11C-59FE-4028-ABB3-5B768B68DF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EAF9D0-0B70-4176-8DB3-C46AE65CE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6D8E4D-2118-488D-B6CF-547F7C9693D1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elements/1.1/"/>
    <ds:schemaRef ds:uri="2b6314a3-02c5-49ae-9e9b-4170ca21d125"/>
    <ds:schemaRef ds:uri="db304e25-41f7-439f-a0b4-57d6fe7814b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FY20 Capex</vt:lpstr>
      <vt:lpstr>Input | Reported Capex</vt:lpstr>
      <vt:lpstr>Calc | CESS Revenue Increments</vt:lpstr>
      <vt:lpstr>Output | Models</vt:lpstr>
      <vt:lpstr>Output|FY20 CESS adjustment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EGX 9.003 Capital Expenditure Sharing Scheme (CESS) Model DEC19 PUBLIC</dc:title>
  <dc:subject/>
  <dc:creator/>
  <cp:keywords/>
  <dc:description>Energex 2020 - 2025</dc:description>
  <cp:lastModifiedBy/>
  <dcterms:created xsi:type="dcterms:W3CDTF">2019-11-27T20:40:31Z</dcterms:created>
  <dcterms:modified xsi:type="dcterms:W3CDTF">2024-01-29T00:24:07Z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Order">
    <vt:r8>134000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