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nergyqonline.sharepoint.com/sites/AER2025/Shared Documents/General/Regulatory Proposal (Energex &amp; Ergon)/Regulatory Proposal Energex/B. RP Supporting Documents_Energex/06 Opex/"/>
    </mc:Choice>
  </mc:AlternateContent>
  <xr:revisionPtr revIDLastSave="3" documentId="13_ncr:1_{9A51C731-D3B0-4E1C-9663-05F20EB5C1CE}" xr6:coauthVersionLast="47" xr6:coauthVersionMax="47" xr10:uidLastSave="{A4E4EFC0-8AF5-40A1-AFB1-210C9CB3AE72}"/>
  <bookViews>
    <workbookView xWindow="-120" yWindow="-120" windowWidth="25440" windowHeight="15390" tabRatio="807" firstSheet="2" activeTab="2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externalReferences>
    <externalReference r:id="rId11"/>
  </externalReferences>
  <definedNames>
    <definedName name="_xlnm._FilterDatabase" localSheetId="1" hidden="1">'Input|General'!$G$6:$G$15</definedName>
    <definedName name="_xlnm._FilterDatabase" localSheetId="3" hidden="1">'Input|Reported opex'!$C$37:$F$37</definedName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'Lookup|Tables'!$H$65:$H$70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'Lookup|Tables'!$H$65:$H$70</definedName>
    <definedName name="thousands">'Lookup|Tables'!$G$11</definedName>
    <definedName name="unit">'Lookup|Tables'!$G$15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7" i="58" l="1"/>
  <c r="O38" i="53"/>
  <c r="F52" i="58" l="1"/>
  <c r="F43" i="58"/>
  <c r="P56" i="2" l="1"/>
  <c r="Q56" i="2"/>
  <c r="R56" i="2"/>
  <c r="S56" i="2"/>
  <c r="T56" i="2"/>
  <c r="K47" i="58" l="1"/>
  <c r="M91" i="2" a="1"/>
  <c r="M91" i="2" s="1"/>
  <c r="J56" i="58"/>
  <c r="K29" i="58"/>
  <c r="L29" i="58"/>
  <c r="N29" i="58"/>
  <c r="N23" i="42" s="1"/>
  <c r="J15" i="58"/>
  <c r="K15" i="58"/>
  <c r="L15" i="58"/>
  <c r="M15" i="58"/>
  <c r="M14" i="42" s="1"/>
  <c r="N15" i="58"/>
  <c r="N16" i="42" s="1"/>
  <c r="J29" i="58"/>
  <c r="T65" i="55"/>
  <c r="G67" i="55"/>
  <c r="G61" i="55"/>
  <c r="T49" i="55"/>
  <c r="G48" i="55"/>
  <c r="C95" i="2" a="1"/>
  <c r="C99" i="2"/>
  <c r="C98" i="2"/>
  <c r="C96" i="2"/>
  <c r="C97" i="2"/>
  <c r="C95" i="2"/>
  <c r="T66" i="55"/>
  <c r="T67" i="55"/>
  <c r="T69" i="55"/>
  <c r="T71" i="55"/>
  <c r="T83" i="55"/>
  <c r="T84" i="55"/>
  <c r="G69" i="55"/>
  <c r="G71" i="55"/>
  <c r="C15" i="16"/>
  <c r="C14" i="16"/>
  <c r="C13" i="16"/>
  <c r="C12" i="16"/>
  <c r="C11" i="16"/>
  <c r="G70" i="4"/>
  <c r="G69" i="4"/>
  <c r="G68" i="4"/>
  <c r="G67" i="4"/>
  <c r="G75" i="4"/>
  <c r="G74" i="4"/>
  <c r="G73" i="4"/>
  <c r="G72" i="4"/>
  <c r="G65" i="4"/>
  <c r="H65" i="4"/>
  <c r="Q38" i="2"/>
  <c r="Q40" i="2" s="1"/>
  <c r="R38" i="2"/>
  <c r="R40" i="2" s="1"/>
  <c r="S38" i="2"/>
  <c r="S40" i="2" s="1"/>
  <c r="T38" i="2"/>
  <c r="T40" i="2" s="1"/>
  <c r="P38" i="2"/>
  <c r="P40" i="2" s="1"/>
  <c r="F47" i="58"/>
  <c r="F42" i="58"/>
  <c r="F44" i="58"/>
  <c r="F45" i="58"/>
  <c r="F41" i="58"/>
  <c r="C79" i="4"/>
  <c r="N47" i="58"/>
  <c r="O47" i="58"/>
  <c r="Q47" i="58"/>
  <c r="R47" i="58"/>
  <c r="S47" i="58"/>
  <c r="J47" i="58"/>
  <c r="T91" i="2" a="1"/>
  <c r="T91" i="2"/>
  <c r="S91" i="2" a="1"/>
  <c r="S91" i="2"/>
  <c r="R91" i="2" a="1"/>
  <c r="R91" i="2"/>
  <c r="Q91" i="2" a="1"/>
  <c r="Q91" i="2"/>
  <c r="P91" i="2" a="1"/>
  <c r="P91" i="2"/>
  <c r="O91" i="2" a="1"/>
  <c r="O91" i="2"/>
  <c r="C89" i="2"/>
  <c r="C88" i="2"/>
  <c r="C87" i="2"/>
  <c r="C86" i="2"/>
  <c r="C85" i="2"/>
  <c r="C84" i="2"/>
  <c r="F38" i="53"/>
  <c r="F19" i="42"/>
  <c r="F8" i="42"/>
  <c r="F8" i="44"/>
  <c r="F24" i="42"/>
  <c r="E24" i="42"/>
  <c r="F22" i="42"/>
  <c r="E22" i="42"/>
  <c r="F20" i="42"/>
  <c r="E20" i="42"/>
  <c r="O29" i="58"/>
  <c r="P29" i="58"/>
  <c r="Q29" i="58"/>
  <c r="R29" i="58"/>
  <c r="S29" i="58"/>
  <c r="E19" i="58"/>
  <c r="E15" i="58"/>
  <c r="E25" i="58" s="1"/>
  <c r="D15" i="58"/>
  <c r="F15" i="58"/>
  <c r="F25" i="58" s="1"/>
  <c r="O15" i="58"/>
  <c r="P15" i="58"/>
  <c r="Q15" i="58"/>
  <c r="R15" i="58"/>
  <c r="S15" i="58"/>
  <c r="E29" i="42"/>
  <c r="F28" i="42"/>
  <c r="F29" i="42"/>
  <c r="C29" i="42"/>
  <c r="E68" i="58"/>
  <c r="E28" i="42"/>
  <c r="F35" i="42"/>
  <c r="E35" i="42"/>
  <c r="L56" i="58"/>
  <c r="M56" i="58"/>
  <c r="M19" i="42" s="1"/>
  <c r="N56" i="58"/>
  <c r="O56" i="58"/>
  <c r="P56" i="58"/>
  <c r="Q56" i="58"/>
  <c r="R56" i="58"/>
  <c r="S56" i="58"/>
  <c r="E47" i="58"/>
  <c r="G71" i="4"/>
  <c r="G66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70" i="4"/>
  <c r="H69" i="4"/>
  <c r="H68" i="4"/>
  <c r="H67" i="4"/>
  <c r="H75" i="4"/>
  <c r="H74" i="4"/>
  <c r="H73" i="4"/>
  <c r="H72" i="4"/>
  <c r="H71" i="4"/>
  <c r="H66" i="4"/>
  <c r="C40" i="4"/>
  <c r="F31" i="42"/>
  <c r="E31" i="42"/>
  <c r="F26" i="42"/>
  <c r="E26" i="42"/>
  <c r="S4" i="44"/>
  <c r="R4" i="44"/>
  <c r="Q4" i="44"/>
  <c r="P4" i="44"/>
  <c r="O4" i="44"/>
  <c r="N4" i="44"/>
  <c r="M4" i="44"/>
  <c r="L4" i="44"/>
  <c r="K4" i="44"/>
  <c r="J4" i="44"/>
  <c r="S4" i="42"/>
  <c r="S35" i="42"/>
  <c r="R4" i="42"/>
  <c r="R35" i="42"/>
  <c r="Q4" i="42"/>
  <c r="Q35" i="42"/>
  <c r="P4" i="42"/>
  <c r="P35" i="42"/>
  <c r="O4" i="42"/>
  <c r="O35" i="42"/>
  <c r="N4" i="42"/>
  <c r="M4" i="42"/>
  <c r="L4" i="42"/>
  <c r="K4" i="42"/>
  <c r="K35" i="42"/>
  <c r="J4" i="42"/>
  <c r="S4" i="53"/>
  <c r="S10" i="53"/>
  <c r="R4" i="53"/>
  <c r="Q4" i="53"/>
  <c r="P4" i="53"/>
  <c r="P36" i="53"/>
  <c r="O4" i="53"/>
  <c r="N4" i="53"/>
  <c r="N36" i="53"/>
  <c r="M4" i="53"/>
  <c r="L4" i="53"/>
  <c r="L36" i="53"/>
  <c r="K4" i="53"/>
  <c r="J4" i="53"/>
  <c r="J4" i="2"/>
  <c r="J93" i="2"/>
  <c r="T4" i="2"/>
  <c r="T93" i="2"/>
  <c r="S4" i="2"/>
  <c r="S93" i="2"/>
  <c r="R4" i="2"/>
  <c r="R93" i="2"/>
  <c r="Q4" i="2"/>
  <c r="Q93" i="2"/>
  <c r="P4" i="2"/>
  <c r="P93" i="2"/>
  <c r="O4" i="2"/>
  <c r="O93" i="2"/>
  <c r="N4" i="2"/>
  <c r="N93" i="2"/>
  <c r="M4" i="2"/>
  <c r="M93" i="2"/>
  <c r="L4" i="2"/>
  <c r="L93" i="2"/>
  <c r="K4" i="2"/>
  <c r="K93" i="2"/>
  <c r="S4" i="58"/>
  <c r="S34" i="58" s="1"/>
  <c r="S60" i="58"/>
  <c r="R4" i="58"/>
  <c r="R34" i="58" s="1"/>
  <c r="Q4" i="58"/>
  <c r="Q34" i="58" s="1"/>
  <c r="Q60" i="58"/>
  <c r="P4" i="58"/>
  <c r="P34" i="58" s="1"/>
  <c r="P60" i="58"/>
  <c r="O4" i="58"/>
  <c r="O60" i="58"/>
  <c r="N4" i="58"/>
  <c r="N60" i="58" s="1"/>
  <c r="N28" i="42" s="1"/>
  <c r="M4" i="58"/>
  <c r="M34" i="58" s="1"/>
  <c r="M60" i="58"/>
  <c r="L4" i="58"/>
  <c r="L60" i="58" s="1"/>
  <c r="K4" i="58"/>
  <c r="K34" i="58" s="1"/>
  <c r="K60" i="58"/>
  <c r="J4" i="58"/>
  <c r="J10" i="58" s="1"/>
  <c r="J60" i="58"/>
  <c r="J28" i="42" s="1"/>
  <c r="J76" i="2"/>
  <c r="K76" i="2"/>
  <c r="L76" i="2"/>
  <c r="M76" i="2"/>
  <c r="N76" i="2"/>
  <c r="O76" i="2"/>
  <c r="J77" i="2"/>
  <c r="K77" i="2"/>
  <c r="L77" i="2"/>
  <c r="M77" i="2"/>
  <c r="N77" i="2"/>
  <c r="O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O75" i="2"/>
  <c r="N75" i="2"/>
  <c r="K97" i="2"/>
  <c r="K96" i="2"/>
  <c r="K95" i="2"/>
  <c r="K99" i="2"/>
  <c r="O97" i="2"/>
  <c r="O96" i="2"/>
  <c r="O95" i="2"/>
  <c r="O99" i="2"/>
  <c r="L99" i="2"/>
  <c r="L97" i="2"/>
  <c r="L96" i="2"/>
  <c r="L95" i="2"/>
  <c r="N96" i="2"/>
  <c r="N97" i="2"/>
  <c r="N99" i="2"/>
  <c r="N95" i="2"/>
  <c r="M95" i="2"/>
  <c r="M99" i="2"/>
  <c r="M97" i="2"/>
  <c r="M96" i="2"/>
  <c r="J96" i="2"/>
  <c r="J97" i="2"/>
  <c r="J95" i="2"/>
  <c r="J99" i="2"/>
  <c r="J23" i="42"/>
  <c r="J21" i="42"/>
  <c r="J19" i="42"/>
  <c r="L23" i="42"/>
  <c r="L21" i="42"/>
  <c r="L19" i="42"/>
  <c r="N21" i="42"/>
  <c r="N19" i="42"/>
  <c r="P23" i="42"/>
  <c r="P21" i="42"/>
  <c r="P19" i="42"/>
  <c r="R23" i="42"/>
  <c r="R21" i="42"/>
  <c r="R19" i="42"/>
  <c r="K23" i="42"/>
  <c r="K21" i="42"/>
  <c r="K19" i="42"/>
  <c r="M23" i="42"/>
  <c r="O23" i="42"/>
  <c r="O21" i="42"/>
  <c r="O19" i="42"/>
  <c r="Q23" i="42"/>
  <c r="Q21" i="42"/>
  <c r="Q19" i="42"/>
  <c r="S23" i="42"/>
  <c r="S21" i="42"/>
  <c r="S19" i="42"/>
  <c r="P33" i="42"/>
  <c r="R33" i="42"/>
  <c r="K33" i="42"/>
  <c r="Q33" i="42"/>
  <c r="S33" i="42"/>
  <c r="L12" i="42"/>
  <c r="J12" i="42"/>
  <c r="K12" i="42"/>
  <c r="O49" i="42"/>
  <c r="O12" i="42"/>
  <c r="Q49" i="42"/>
  <c r="Q12" i="42"/>
  <c r="S12" i="42"/>
  <c r="N49" i="42"/>
  <c r="N12" i="42"/>
  <c r="P49" i="42"/>
  <c r="P12" i="42"/>
  <c r="R49" i="42"/>
  <c r="R12" i="42"/>
  <c r="N10" i="58"/>
  <c r="L34" i="58"/>
  <c r="S10" i="2"/>
  <c r="S12" i="2"/>
  <c r="O10" i="2"/>
  <c r="K10" i="2"/>
  <c r="M14" i="2"/>
  <c r="Q14" i="2"/>
  <c r="J23" i="2"/>
  <c r="K73" i="2"/>
  <c r="O73" i="2"/>
  <c r="S73" i="2"/>
  <c r="J62" i="2"/>
  <c r="Q62" i="2"/>
  <c r="M62" i="2"/>
  <c r="L10" i="58"/>
  <c r="J10" i="2"/>
  <c r="Q10" i="2"/>
  <c r="Q12" i="2"/>
  <c r="M10" i="2"/>
  <c r="K14" i="2"/>
  <c r="O14" i="2"/>
  <c r="S14" i="2"/>
  <c r="J47" i="2"/>
  <c r="M73" i="2"/>
  <c r="Q73" i="2"/>
  <c r="J103" i="2"/>
  <c r="S62" i="2"/>
  <c r="O62" i="2"/>
  <c r="K62" i="2"/>
  <c r="O34" i="58"/>
  <c r="O10" i="58"/>
  <c r="O28" i="42" s="1"/>
  <c r="S10" i="58"/>
  <c r="L62" i="2"/>
  <c r="L73" i="2"/>
  <c r="L14" i="2"/>
  <c r="L10" i="2"/>
  <c r="P62" i="2"/>
  <c r="P73" i="2"/>
  <c r="P14" i="2"/>
  <c r="P10" i="2"/>
  <c r="P12" i="2"/>
  <c r="R62" i="2"/>
  <c r="R73" i="2"/>
  <c r="R14" i="2"/>
  <c r="R10" i="2"/>
  <c r="R12" i="2"/>
  <c r="T62" i="2"/>
  <c r="T73" i="2"/>
  <c r="T14" i="2"/>
  <c r="T10" i="2"/>
  <c r="T12" i="2"/>
  <c r="J26" i="53"/>
  <c r="J10" i="53"/>
  <c r="R26" i="53"/>
  <c r="R10" i="53"/>
  <c r="L49" i="42"/>
  <c r="L23" i="2"/>
  <c r="P23" i="2"/>
  <c r="T23" i="2"/>
  <c r="R34" i="2"/>
  <c r="N34" i="2"/>
  <c r="N47" i="2"/>
  <c r="R47" i="2"/>
  <c r="L103" i="2"/>
  <c r="P103" i="2"/>
  <c r="T103" i="2"/>
  <c r="L10" i="53"/>
  <c r="P26" i="53"/>
  <c r="N62" i="2"/>
  <c r="N73" i="2"/>
  <c r="N14" i="2"/>
  <c r="N10" i="2"/>
  <c r="N26" i="53"/>
  <c r="N10" i="53"/>
  <c r="J49" i="42"/>
  <c r="N23" i="2"/>
  <c r="R23" i="2"/>
  <c r="T34" i="2"/>
  <c r="P34" i="2"/>
  <c r="L34" i="2"/>
  <c r="L47" i="2"/>
  <c r="P47" i="2"/>
  <c r="T47" i="2"/>
  <c r="N103" i="2"/>
  <c r="R103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K49" i="42"/>
  <c r="M49" i="42"/>
  <c r="S49" i="42"/>
  <c r="J14" i="2"/>
  <c r="K23" i="2"/>
  <c r="M23" i="2"/>
  <c r="O23" i="2"/>
  <c r="Q23" i="2"/>
  <c r="S23" i="2"/>
  <c r="J34" i="2"/>
  <c r="S34" i="2"/>
  <c r="Q34" i="2"/>
  <c r="O34" i="2"/>
  <c r="M34" i="2"/>
  <c r="K34" i="2"/>
  <c r="K47" i="2"/>
  <c r="M47" i="2"/>
  <c r="O47" i="2"/>
  <c r="Q47" i="2"/>
  <c r="S47" i="2"/>
  <c r="J73" i="2"/>
  <c r="K103" i="2"/>
  <c r="M103" i="2"/>
  <c r="O103" i="2"/>
  <c r="Q103" i="2"/>
  <c r="S103" i="2"/>
  <c r="R31" i="42"/>
  <c r="P31" i="42"/>
  <c r="S31" i="42"/>
  <c r="Q31" i="42"/>
  <c r="K31" i="42"/>
  <c r="J10" i="42"/>
  <c r="R10" i="42"/>
  <c r="P10" i="42"/>
  <c r="N10" i="42"/>
  <c r="L10" i="42"/>
  <c r="J16" i="42"/>
  <c r="R16" i="42"/>
  <c r="P16" i="42"/>
  <c r="L16" i="42"/>
  <c r="J37" i="42"/>
  <c r="L37" i="42"/>
  <c r="N37" i="42"/>
  <c r="P37" i="42"/>
  <c r="R37" i="42"/>
  <c r="J40" i="42"/>
  <c r="L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S10" i="42"/>
  <c r="Q10" i="42"/>
  <c r="O10" i="42"/>
  <c r="M10" i="42"/>
  <c r="K10" i="42"/>
  <c r="S16" i="42"/>
  <c r="Q16" i="42"/>
  <c r="O16" i="42"/>
  <c r="K16" i="42"/>
  <c r="K37" i="42"/>
  <c r="M37" i="42"/>
  <c r="O37" i="42"/>
  <c r="Q37" i="42"/>
  <c r="S37" i="42"/>
  <c r="K40" i="42"/>
  <c r="M40" i="42"/>
  <c r="O40" i="42"/>
  <c r="Q40" i="42"/>
  <c r="S40" i="42"/>
  <c r="K43" i="42"/>
  <c r="M43" i="42"/>
  <c r="O43" i="42"/>
  <c r="Q43" i="42"/>
  <c r="S43" i="42"/>
  <c r="K46" i="42"/>
  <c r="M46" i="42"/>
  <c r="O46" i="42"/>
  <c r="Q46" i="42"/>
  <c r="S46" i="42"/>
  <c r="S8" i="54"/>
  <c r="J14" i="42"/>
  <c r="F49" i="42"/>
  <c r="C49" i="42"/>
  <c r="F46" i="42"/>
  <c r="C46" i="42"/>
  <c r="C47" i="42" s="1"/>
  <c r="F43" i="42"/>
  <c r="C43" i="42"/>
  <c r="C44" i="42" s="1"/>
  <c r="F40" i="42"/>
  <c r="C40" i="42"/>
  <c r="F37" i="42"/>
  <c r="C37" i="42"/>
  <c r="C38" i="42" s="1"/>
  <c r="E16" i="42"/>
  <c r="E14" i="42"/>
  <c r="F12" i="42"/>
  <c r="E12" i="42"/>
  <c r="U73" i="2"/>
  <c r="N91" i="2" a="1"/>
  <c r="N91" i="2"/>
  <c r="E66" i="58"/>
  <c r="E49" i="42" s="1"/>
  <c r="E65" i="58"/>
  <c r="E46" i="42" s="1"/>
  <c r="E64" i="58"/>
  <c r="E43" i="42" s="1"/>
  <c r="E63" i="58"/>
  <c r="E40" i="42" s="1"/>
  <c r="E62" i="58"/>
  <c r="E37" i="42" s="1"/>
  <c r="F54" i="58"/>
  <c r="E54" i="58"/>
  <c r="F53" i="58"/>
  <c r="E53" i="58"/>
  <c r="E52" i="58"/>
  <c r="F51" i="58"/>
  <c r="E51" i="58"/>
  <c r="E45" i="58"/>
  <c r="E44" i="58"/>
  <c r="E43" i="58"/>
  <c r="E42" i="58"/>
  <c r="E41" i="58"/>
  <c r="E37" i="58"/>
  <c r="F27" i="58"/>
  <c r="F29" i="58" s="1"/>
  <c r="F21" i="42" s="1"/>
  <c r="E27" i="58"/>
  <c r="F26" i="58"/>
  <c r="E26" i="58"/>
  <c r="E23" i="58"/>
  <c r="F22" i="58"/>
  <c r="E22" i="58"/>
  <c r="E21" i="42" s="1"/>
  <c r="F21" i="58"/>
  <c r="E21" i="58"/>
  <c r="F20" i="58"/>
  <c r="E20" i="58"/>
  <c r="C2" i="58"/>
  <c r="C1" i="58"/>
  <c r="F16" i="44"/>
  <c r="F15" i="44"/>
  <c r="F14" i="44"/>
  <c r="E16" i="44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100" i="42"/>
  <c r="E100" i="42"/>
  <c r="F102" i="42"/>
  <c r="F101" i="42"/>
  <c r="F94" i="42"/>
  <c r="F92" i="42"/>
  <c r="F91" i="42"/>
  <c r="F90" i="42"/>
  <c r="F84" i="42"/>
  <c r="F82" i="42"/>
  <c r="F81" i="42"/>
  <c r="F80" i="42"/>
  <c r="F79" i="42"/>
  <c r="F78" i="42"/>
  <c r="F77" i="42"/>
  <c r="F76" i="42"/>
  <c r="F75" i="42"/>
  <c r="F74" i="42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7" i="55"/>
  <c r="G49" i="55"/>
  <c r="G51" i="55"/>
  <c r="G53" i="55"/>
  <c r="G55" i="55"/>
  <c r="G58" i="55"/>
  <c r="G59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7" i="55"/>
  <c r="T48" i="55"/>
  <c r="T50" i="55"/>
  <c r="T51" i="55"/>
  <c r="T53" i="55"/>
  <c r="T55" i="55"/>
  <c r="T56" i="55"/>
  <c r="T58" i="55"/>
  <c r="T59" i="55"/>
  <c r="T61" i="55"/>
  <c r="T63" i="55"/>
  <c r="T64" i="55"/>
  <c r="K107" i="2"/>
  <c r="S107" i="2"/>
  <c r="Q107" i="2"/>
  <c r="O107" i="2"/>
  <c r="M107" i="2"/>
  <c r="C24" i="4"/>
  <c r="S9" i="54"/>
  <c r="K14" i="42"/>
  <c r="O14" i="42"/>
  <c r="Q14" i="42"/>
  <c r="S14" i="42"/>
  <c r="N14" i="42"/>
  <c r="P14" i="42"/>
  <c r="R14" i="42"/>
  <c r="J98" i="42"/>
  <c r="L98" i="42"/>
  <c r="N98" i="42"/>
  <c r="P98" i="42"/>
  <c r="R98" i="42"/>
  <c r="K98" i="42"/>
  <c r="M98" i="42"/>
  <c r="O98" i="42"/>
  <c r="Q98" i="42"/>
  <c r="S98" i="42"/>
  <c r="J88" i="42"/>
  <c r="J72" i="42"/>
  <c r="J58" i="42"/>
  <c r="J61" i="42"/>
  <c r="J67" i="42" s="1"/>
  <c r="L88" i="42"/>
  <c r="L72" i="42"/>
  <c r="L58" i="42"/>
  <c r="L61" i="42"/>
  <c r="L67" i="42" s="1"/>
  <c r="N88" i="42"/>
  <c r="N72" i="42"/>
  <c r="N58" i="42"/>
  <c r="N61" i="42"/>
  <c r="N67" i="42" s="1"/>
  <c r="P88" i="42"/>
  <c r="P72" i="42"/>
  <c r="P58" i="42"/>
  <c r="R88" i="42"/>
  <c r="R72" i="42"/>
  <c r="R58" i="42"/>
  <c r="K58" i="42"/>
  <c r="K61" i="42"/>
  <c r="K67" i="42" s="1"/>
  <c r="M58" i="42"/>
  <c r="M61" i="42"/>
  <c r="M67" i="42" s="1"/>
  <c r="O58" i="42"/>
  <c r="Q58" i="42"/>
  <c r="S58" i="42"/>
  <c r="K72" i="42"/>
  <c r="M72" i="42"/>
  <c r="O72" i="42"/>
  <c r="Q72" i="42"/>
  <c r="S72" i="42"/>
  <c r="K88" i="42"/>
  <c r="M88" i="42"/>
  <c r="O88" i="42"/>
  <c r="Q88" i="42"/>
  <c r="S88" i="42"/>
  <c r="M22" i="53"/>
  <c r="K22" i="53"/>
  <c r="J32" i="53"/>
  <c r="L32" i="53"/>
  <c r="N32" i="53"/>
  <c r="P32" i="53"/>
  <c r="R32" i="53"/>
  <c r="J40" i="53"/>
  <c r="L40" i="53"/>
  <c r="N40" i="53"/>
  <c r="K32" i="53"/>
  <c r="M32" i="53"/>
  <c r="O32" i="53"/>
  <c r="Q32" i="53"/>
  <c r="S32" i="53"/>
  <c r="K45" i="2"/>
  <c r="M45" i="2"/>
  <c r="Q58" i="2"/>
  <c r="M58" i="2"/>
  <c r="O45" i="2"/>
  <c r="K58" i="2"/>
  <c r="O58" i="2"/>
  <c r="S58" i="2"/>
  <c r="L58" i="2"/>
  <c r="L45" i="2"/>
  <c r="L107" i="2"/>
  <c r="L71" i="2"/>
  <c r="N58" i="2"/>
  <c r="N45" i="2"/>
  <c r="N107" i="2"/>
  <c r="N71" i="2"/>
  <c r="P58" i="2"/>
  <c r="P107" i="2"/>
  <c r="R58" i="2"/>
  <c r="R107" i="2"/>
  <c r="T58" i="2"/>
  <c r="T107" i="2"/>
  <c r="J58" i="2"/>
  <c r="J107" i="2"/>
  <c r="J71" i="2"/>
  <c r="J45" i="2"/>
  <c r="M71" i="2"/>
  <c r="K71" i="2"/>
  <c r="W32" i="53"/>
  <c r="W107" i="2"/>
  <c r="C50" i="42"/>
  <c r="F50" i="42"/>
  <c r="E50" i="42"/>
  <c r="C41" i="42"/>
  <c r="F47" i="42"/>
  <c r="E47" i="42"/>
  <c r="F44" i="42"/>
  <c r="E44" i="42"/>
  <c r="F41" i="42"/>
  <c r="E41" i="42"/>
  <c r="F38" i="42"/>
  <c r="E38" i="42"/>
  <c r="E84" i="42"/>
  <c r="E102" i="42"/>
  <c r="F17" i="42"/>
  <c r="F15" i="42"/>
  <c r="F54" i="42"/>
  <c r="F52" i="42"/>
  <c r="C75" i="42"/>
  <c r="C76" i="42"/>
  <c r="C77" i="42"/>
  <c r="C78" i="42"/>
  <c r="C79" i="42"/>
  <c r="C80" i="42"/>
  <c r="C81" i="42"/>
  <c r="C82" i="42"/>
  <c r="C90" i="42"/>
  <c r="C91" i="42"/>
  <c r="C92" i="42"/>
  <c r="F13" i="44"/>
  <c r="E54" i="42"/>
  <c r="F33" i="42"/>
  <c r="E52" i="42"/>
  <c r="F13" i="42"/>
  <c r="E13" i="42"/>
  <c r="E15" i="42"/>
  <c r="E13" i="44"/>
  <c r="E101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4" i="42"/>
  <c r="E33" i="42"/>
  <c r="B2" i="55"/>
  <c r="S11" i="54"/>
  <c r="S14" i="54"/>
  <c r="G15" i="16"/>
  <c r="B1" i="55"/>
  <c r="E12" i="2"/>
  <c r="O65" i="42"/>
  <c r="J63" i="42"/>
  <c r="J65" i="42"/>
  <c r="K63" i="42"/>
  <c r="K65" i="42"/>
  <c r="L63" i="42"/>
  <c r="L65" i="42"/>
  <c r="M63" i="42"/>
  <c r="M65" i="42"/>
  <c r="N63" i="42"/>
  <c r="N65" i="42"/>
  <c r="C74" i="42"/>
  <c r="P65" i="42"/>
  <c r="Q65" i="42"/>
  <c r="R65" i="42"/>
  <c r="S65" i="42"/>
  <c r="C76" i="2"/>
  <c r="C77" i="2"/>
  <c r="C78" i="2"/>
  <c r="C79" i="2"/>
  <c r="C80" i="2"/>
  <c r="C75" i="2"/>
  <c r="S7" i="54"/>
  <c r="S10" i="54"/>
  <c r="S12" i="54"/>
  <c r="S13" i="54"/>
  <c r="D12" i="16"/>
  <c r="D13" i="16"/>
  <c r="D14" i="16"/>
  <c r="D15" i="16"/>
  <c r="C10" i="16"/>
  <c r="D10" i="16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105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S1" i="54"/>
  <c r="G10" i="16"/>
  <c r="J68" i="42" a="1"/>
  <c r="J68" i="42"/>
  <c r="M68" i="42" a="1"/>
  <c r="M68" i="42"/>
  <c r="L68" i="42" a="1"/>
  <c r="L68" i="42"/>
  <c r="K68" i="42" a="1"/>
  <c r="K68" i="42"/>
  <c r="N68" i="42" a="1"/>
  <c r="N68" i="42"/>
  <c r="C25" i="2" a="1"/>
  <c r="C16" i="2" a="1"/>
  <c r="C25" i="2"/>
  <c r="C27" i="2"/>
  <c r="C29" i="2"/>
  <c r="C26" i="2"/>
  <c r="C28" i="2"/>
  <c r="C30" i="2"/>
  <c r="C16" i="2"/>
  <c r="C18" i="2"/>
  <c r="C20" i="2"/>
  <c r="C17" i="2"/>
  <c r="C19" i="2"/>
  <c r="C21" i="2"/>
  <c r="O21" i="2"/>
  <c r="M19" i="2"/>
  <c r="N20" i="2"/>
  <c r="J16" i="2"/>
  <c r="K17" i="2"/>
  <c r="L18" i="2"/>
  <c r="D21" i="2"/>
  <c r="E21" i="2"/>
  <c r="D17" i="2"/>
  <c r="E17" i="2"/>
  <c r="E18" i="2"/>
  <c r="D18" i="2"/>
  <c r="E30" i="2"/>
  <c r="D30" i="2"/>
  <c r="S30" i="2"/>
  <c r="R30" i="2"/>
  <c r="Q30" i="2"/>
  <c r="T30" i="2"/>
  <c r="E26" i="2"/>
  <c r="D26" i="2"/>
  <c r="S26" i="2"/>
  <c r="R26" i="2"/>
  <c r="Q26" i="2"/>
  <c r="T26" i="2"/>
  <c r="D19" i="2"/>
  <c r="E19" i="2"/>
  <c r="E20" i="2"/>
  <c r="D20" i="2"/>
  <c r="E16" i="2"/>
  <c r="D16" i="2"/>
  <c r="E28" i="2"/>
  <c r="D28" i="2"/>
  <c r="Q28" i="2"/>
  <c r="T28" i="2"/>
  <c r="S28" i="2"/>
  <c r="R28" i="2"/>
  <c r="E29" i="2"/>
  <c r="D29" i="2"/>
  <c r="S29" i="2"/>
  <c r="R29" i="2"/>
  <c r="P29" i="2"/>
  <c r="Q29" i="2"/>
  <c r="T29" i="2"/>
  <c r="D25" i="2"/>
  <c r="E25" i="2"/>
  <c r="Q25" i="2"/>
  <c r="T25" i="2"/>
  <c r="S25" i="2"/>
  <c r="R25" i="2"/>
  <c r="E27" i="2"/>
  <c r="D27" i="2"/>
  <c r="Q27" i="2"/>
  <c r="T27" i="2"/>
  <c r="S27" i="2"/>
  <c r="R27" i="2"/>
  <c r="P30" i="2"/>
  <c r="P28" i="2"/>
  <c r="P26" i="2"/>
  <c r="P27" i="2"/>
  <c r="P25" i="2"/>
  <c r="L31" i="42"/>
  <c r="J31" i="42"/>
  <c r="J16" i="44"/>
  <c r="N15" i="44"/>
  <c r="L15" i="44"/>
  <c r="J14" i="44"/>
  <c r="J15" i="44"/>
  <c r="K16" i="44"/>
  <c r="N16" i="44"/>
  <c r="L16" i="44"/>
  <c r="K14" i="44"/>
  <c r="M16" i="44"/>
  <c r="L14" i="44"/>
  <c r="M15" i="44"/>
  <c r="N14" i="44"/>
  <c r="M14" i="44"/>
  <c r="O33" i="42"/>
  <c r="K15" i="44"/>
  <c r="J35" i="42"/>
  <c r="J33" i="42"/>
  <c r="L35" i="42"/>
  <c r="M35" i="42"/>
  <c r="L33" i="42"/>
  <c r="J100" i="42"/>
  <c r="J13" i="44"/>
  <c r="J101" i="42"/>
  <c r="J102" i="42"/>
  <c r="K100" i="42"/>
  <c r="K13" i="44"/>
  <c r="K101" i="42"/>
  <c r="K102" i="42"/>
  <c r="L101" i="42"/>
  <c r="L102" i="42"/>
  <c r="L100" i="42"/>
  <c r="L13" i="44"/>
  <c r="M100" i="42"/>
  <c r="M13" i="44"/>
  <c r="M101" i="42"/>
  <c r="M102" i="42"/>
  <c r="M16" i="42"/>
  <c r="L14" i="42"/>
  <c r="O31" i="42"/>
  <c r="M31" i="42"/>
  <c r="M33" i="42"/>
  <c r="N101" i="42"/>
  <c r="N102" i="42"/>
  <c r="N100" i="42"/>
  <c r="N13" i="44"/>
  <c r="P22" i="53"/>
  <c r="R22" i="53"/>
  <c r="S22" i="53"/>
  <c r="J34" i="58" l="1"/>
  <c r="R60" i="58"/>
  <c r="O13" i="42"/>
  <c r="O26" i="42" s="1"/>
  <c r="P10" i="58"/>
  <c r="P28" i="42" s="1"/>
  <c r="E19" i="42"/>
  <c r="Q10" i="58"/>
  <c r="Q28" i="42" s="1"/>
  <c r="L28" i="42"/>
  <c r="S28" i="42"/>
  <c r="S20" i="42"/>
  <c r="K10" i="58"/>
  <c r="K28" i="42" s="1"/>
  <c r="N34" i="58"/>
  <c r="Q13" i="42"/>
  <c r="Q26" i="42" s="1"/>
  <c r="F23" i="42"/>
  <c r="E24" i="58"/>
  <c r="F16" i="42"/>
  <c r="M10" i="58"/>
  <c r="M28" i="42" s="1"/>
  <c r="P20" i="42"/>
  <c r="R13" i="42"/>
  <c r="R26" i="42" s="1"/>
  <c r="E23" i="42"/>
  <c r="F14" i="42"/>
  <c r="R10" i="58"/>
  <c r="R28" i="42" s="1"/>
  <c r="F23" i="58"/>
  <c r="F24" i="58"/>
  <c r="F19" i="58"/>
  <c r="J58" i="58"/>
  <c r="O63" i="42"/>
  <c r="Q63" i="42"/>
  <c r="Q22" i="53"/>
  <c r="O22" i="53"/>
  <c r="W56" i="58"/>
  <c r="R75" i="2"/>
  <c r="W29" i="58"/>
  <c r="S45" i="2"/>
  <c r="R63" i="42"/>
  <c r="R20" i="42"/>
  <c r="M29" i="58"/>
  <c r="M21" i="42" s="1"/>
  <c r="Q45" i="2"/>
  <c r="P63" i="42"/>
  <c r="S13" i="42"/>
  <c r="S26" i="42" s="1"/>
  <c r="S63" i="42"/>
  <c r="P13" i="42"/>
  <c r="P26" i="42" s="1"/>
  <c r="G63" i="55"/>
  <c r="P77" i="2"/>
  <c r="P75" i="2"/>
  <c r="T75" i="2"/>
  <c r="S76" i="2"/>
  <c r="R76" i="2"/>
  <c r="Q75" i="2"/>
  <c r="R71" i="2"/>
  <c r="P45" i="2"/>
  <c r="P76" i="2"/>
  <c r="W58" i="2"/>
  <c r="T77" i="2"/>
  <c r="J91" i="2" a="1"/>
  <c r="J91" i="2" s="1"/>
  <c r="S71" i="2"/>
  <c r="K91" i="2" a="1"/>
  <c r="K91" i="2" s="1"/>
  <c r="S75" i="2"/>
  <c r="S77" i="2"/>
  <c r="Q76" i="2"/>
  <c r="R77" i="2"/>
  <c r="T45" i="2"/>
  <c r="L91" i="2" a="1"/>
  <c r="L91" i="2" s="1"/>
  <c r="T71" i="2"/>
  <c r="Q77" i="2"/>
  <c r="T76" i="2"/>
  <c r="O71" i="2"/>
  <c r="Q71" i="2"/>
  <c r="R45" i="2"/>
  <c r="P71" i="2"/>
  <c r="T52" i="55"/>
  <c r="G56" i="55"/>
  <c r="G52" i="55"/>
  <c r="G60" i="55"/>
  <c r="T60" i="55"/>
  <c r="T68" i="55"/>
  <c r="G68" i="55"/>
  <c r="G77" i="55"/>
  <c r="T77" i="55"/>
  <c r="G50" i="55"/>
  <c r="T46" i="55"/>
  <c r="G46" i="55"/>
  <c r="G54" i="55"/>
  <c r="T54" i="55"/>
  <c r="G66" i="55"/>
  <c r="K12" i="2" s="1"/>
  <c r="G62" i="55"/>
  <c r="J12" i="2" s="1"/>
  <c r="J25" i="2" s="1"/>
  <c r="T62" i="55"/>
  <c r="T73" i="55"/>
  <c r="G73" i="55"/>
  <c r="T70" i="55"/>
  <c r="G70" i="55"/>
  <c r="L12" i="2" s="1"/>
  <c r="L27" i="2" s="1"/>
  <c r="G64" i="55"/>
  <c r="G79" i="55"/>
  <c r="T79" i="55"/>
  <c r="G83" i="55"/>
  <c r="T75" i="55"/>
  <c r="G75" i="55"/>
  <c r="K56" i="58"/>
  <c r="K58" i="58" s="1"/>
  <c r="T72" i="55"/>
  <c r="G72" i="55"/>
  <c r="T57" i="55"/>
  <c r="O20" i="42"/>
  <c r="Q20" i="42"/>
  <c r="G57" i="55"/>
  <c r="G65" i="55"/>
  <c r="W22" i="53" l="1"/>
  <c r="S1" i="58"/>
  <c r="G12" i="16" s="1"/>
  <c r="P99" i="2"/>
  <c r="S96" i="2"/>
  <c r="P96" i="2"/>
  <c r="P97" i="2"/>
  <c r="P98" i="2"/>
  <c r="R98" i="2"/>
  <c r="P95" i="2"/>
  <c r="Q98" i="2"/>
  <c r="Q96" i="2"/>
  <c r="S99" i="2"/>
  <c r="S97" i="2"/>
  <c r="S98" i="2"/>
  <c r="S95" i="2"/>
  <c r="T97" i="2"/>
  <c r="W45" i="2"/>
  <c r="R99" i="2"/>
  <c r="W91" i="2"/>
  <c r="R95" i="2"/>
  <c r="R96" i="2"/>
  <c r="R97" i="2"/>
  <c r="W71" i="2"/>
  <c r="T95" i="2"/>
  <c r="T98" i="2"/>
  <c r="T99" i="2"/>
  <c r="Q99" i="2"/>
  <c r="Q95" i="2"/>
  <c r="T96" i="2"/>
  <c r="Q97" i="2"/>
  <c r="T76" i="55"/>
  <c r="G76" i="55"/>
  <c r="J17" i="2"/>
  <c r="J26" i="2" s="1"/>
  <c r="K26" i="2"/>
  <c r="T81" i="55"/>
  <c r="G81" i="55"/>
  <c r="K16" i="2"/>
  <c r="L17" i="2"/>
  <c r="K18" i="2"/>
  <c r="T74" i="55"/>
  <c r="G74" i="55"/>
  <c r="M12" i="2" s="1"/>
  <c r="O61" i="42" l="1"/>
  <c r="O67" i="42" s="1"/>
  <c r="O68" i="42" s="1" a="1"/>
  <c r="O68" i="42" s="1"/>
  <c r="R61" i="42"/>
  <c r="R67" i="42" s="1"/>
  <c r="T1" i="2"/>
  <c r="G13" i="16" s="1"/>
  <c r="P61" i="42"/>
  <c r="P67" i="42" s="1"/>
  <c r="Q61" i="42"/>
  <c r="Q67" i="42" s="1"/>
  <c r="S61" i="42"/>
  <c r="S67" i="42" s="1"/>
  <c r="G84" i="55"/>
  <c r="G80" i="55"/>
  <c r="T80" i="55"/>
  <c r="M18" i="2"/>
  <c r="L19" i="2"/>
  <c r="M28" i="2"/>
  <c r="L16" i="2"/>
  <c r="K25" i="2"/>
  <c r="G78" i="55"/>
  <c r="N12" i="2" s="1"/>
  <c r="T78" i="55"/>
  <c r="K27" i="2"/>
  <c r="J18" i="2"/>
  <c r="J27" i="2" s="1"/>
  <c r="L26" i="2"/>
  <c r="M17" i="2"/>
  <c r="P68" i="42" l="1" a="1"/>
  <c r="P68" i="42" s="1"/>
  <c r="Q68" i="42" a="1"/>
  <c r="Q68" i="42" s="1"/>
  <c r="S68" i="42" a="1"/>
  <c r="S68" i="42" s="1"/>
  <c r="R68" i="42" a="1"/>
  <c r="R68" i="42" s="1"/>
  <c r="M20" i="2"/>
  <c r="N29" i="2"/>
  <c r="N19" i="2"/>
  <c r="T82" i="55"/>
  <c r="T1" i="55" s="1"/>
  <c r="G11" i="16" s="1"/>
  <c r="G82" i="55"/>
  <c r="O12" i="2" s="1"/>
  <c r="K19" i="2"/>
  <c r="L28" i="2"/>
  <c r="L25" i="2"/>
  <c r="M16" i="2"/>
  <c r="M27" i="2"/>
  <c r="N18" i="2"/>
  <c r="N17" i="2"/>
  <c r="M26" i="2"/>
  <c r="O17" i="2" l="1"/>
  <c r="O26" i="2" s="1"/>
  <c r="N26" i="2"/>
  <c r="J19" i="2"/>
  <c r="J28" i="2" s="1"/>
  <c r="K28" i="2"/>
  <c r="N27" i="2"/>
  <c r="O18" i="2"/>
  <c r="N16" i="2"/>
  <c r="M25" i="2"/>
  <c r="N28" i="2"/>
  <c r="O19" i="2"/>
  <c r="O20" i="2"/>
  <c r="N21" i="2"/>
  <c r="O30" i="2"/>
  <c r="L20" i="2"/>
  <c r="M29" i="2"/>
  <c r="O28" i="2" l="1"/>
  <c r="O74" i="42"/>
  <c r="P74" i="42"/>
  <c r="Q74" i="42"/>
  <c r="R74" i="42"/>
  <c r="S74" i="42"/>
  <c r="N30" i="2"/>
  <c r="M21" i="2"/>
  <c r="O16" i="2"/>
  <c r="N25" i="2"/>
  <c r="L29" i="2"/>
  <c r="K20" i="2"/>
  <c r="N20" i="42"/>
  <c r="N13" i="42"/>
  <c r="N26" i="42" s="1"/>
  <c r="K41" i="42"/>
  <c r="O41" i="42"/>
  <c r="R41" i="42"/>
  <c r="J41" i="42"/>
  <c r="L41" i="42"/>
  <c r="Q41" i="42"/>
  <c r="P41" i="42"/>
  <c r="O29" i="2"/>
  <c r="S41" i="42"/>
  <c r="M41" i="42"/>
  <c r="P81" i="42"/>
  <c r="O80" i="42"/>
  <c r="J76" i="42"/>
  <c r="J90" i="42"/>
  <c r="P78" i="42"/>
  <c r="K79" i="42"/>
  <c r="M80" i="42"/>
  <c r="R91" i="42"/>
  <c r="R15" i="44" s="1"/>
  <c r="M77" i="42"/>
  <c r="O75" i="42"/>
  <c r="R80" i="42"/>
  <c r="M76" i="42"/>
  <c r="M82" i="42"/>
  <c r="R38" i="42"/>
  <c r="L50" i="42"/>
  <c r="P47" i="42"/>
  <c r="N44" i="42"/>
  <c r="O44" i="42"/>
  <c r="N50" i="42"/>
  <c r="J47" i="42"/>
  <c r="R79" i="42"/>
  <c r="P79" i="42"/>
  <c r="K76" i="42"/>
  <c r="R75" i="42"/>
  <c r="N82" i="42"/>
  <c r="M78" i="42"/>
  <c r="J92" i="42"/>
  <c r="O92" i="42"/>
  <c r="O16" i="44" s="1"/>
  <c r="M74" i="42"/>
  <c r="M79" i="42"/>
  <c r="Q90" i="42"/>
  <c r="S81" i="42"/>
  <c r="Q81" i="42"/>
  <c r="Q82" i="42"/>
  <c r="M75" i="42"/>
  <c r="P38" i="42"/>
  <c r="K50" i="42"/>
  <c r="R44" i="42"/>
  <c r="M47" i="42"/>
  <c r="N29" i="42"/>
  <c r="M29" i="42"/>
  <c r="R29" i="42"/>
  <c r="K47" i="42"/>
  <c r="S77" i="42"/>
  <c r="Q76" i="42"/>
  <c r="O82" i="42"/>
  <c r="L82" i="42"/>
  <c r="M90" i="42"/>
  <c r="Q91" i="42"/>
  <c r="Q15" i="44" s="1"/>
  <c r="S92" i="42"/>
  <c r="S16" i="44" s="1"/>
  <c r="L76" i="42"/>
  <c r="L81" i="42"/>
  <c r="Q92" i="42"/>
  <c r="Q16" i="44" s="1"/>
  <c r="J79" i="42"/>
  <c r="N76" i="42"/>
  <c r="N91" i="42"/>
  <c r="L77" i="42"/>
  <c r="P82" i="42"/>
  <c r="J38" i="42"/>
  <c r="M50" i="42"/>
  <c r="J50" i="42"/>
  <c r="Q79" i="42"/>
  <c r="O79" i="42"/>
  <c r="J77" i="42"/>
  <c r="S90" i="42"/>
  <c r="L91" i="42"/>
  <c r="Q80" i="42"/>
  <c r="N80" i="42"/>
  <c r="J91" i="42"/>
  <c r="S82" i="42"/>
  <c r="L80" i="42"/>
  <c r="L79" i="42"/>
  <c r="R82" i="42"/>
  <c r="J80" i="42"/>
  <c r="P90" i="42"/>
  <c r="J75" i="42"/>
  <c r="M38" i="42"/>
  <c r="N38" i="42"/>
  <c r="R50" i="42"/>
  <c r="Q47" i="42"/>
  <c r="J44" i="42"/>
  <c r="Q44" i="42"/>
  <c r="Q29" i="42"/>
  <c r="S47" i="42"/>
  <c r="R77" i="42"/>
  <c r="P76" i="42"/>
  <c r="S76" i="42"/>
  <c r="N90" i="42"/>
  <c r="J29" i="42"/>
  <c r="Q78" i="42"/>
  <c r="K77" i="42"/>
  <c r="Q75" i="42"/>
  <c r="O78" i="42"/>
  <c r="L78" i="42"/>
  <c r="L74" i="42"/>
  <c r="P92" i="42"/>
  <c r="P16" i="44" s="1"/>
  <c r="K78" i="42"/>
  <c r="J74" i="42"/>
  <c r="S78" i="42"/>
  <c r="O38" i="42"/>
  <c r="K38" i="42"/>
  <c r="O29" i="42"/>
  <c r="L44" i="42"/>
  <c r="O47" i="42"/>
  <c r="Q50" i="42"/>
  <c r="P29" i="42"/>
  <c r="M44" i="42"/>
  <c r="R78" i="42"/>
  <c r="J78" i="42"/>
  <c r="N74" i="42"/>
  <c r="L90" i="42"/>
  <c r="N77" i="42"/>
  <c r="N79" i="42"/>
  <c r="O90" i="42"/>
  <c r="P75" i="42"/>
  <c r="K74" i="42"/>
  <c r="K75" i="42"/>
  <c r="N75" i="42"/>
  <c r="P80" i="42"/>
  <c r="Q38" i="42"/>
  <c r="O27" i="2"/>
  <c r="P44" i="42"/>
  <c r="S50" i="42"/>
  <c r="S44" i="42"/>
  <c r="K44" i="42"/>
  <c r="M91" i="42"/>
  <c r="K82" i="42"/>
  <c r="K80" i="42"/>
  <c r="S29" i="42"/>
  <c r="R76" i="42"/>
  <c r="L92" i="42"/>
  <c r="R90" i="42"/>
  <c r="J81" i="42"/>
  <c r="R47" i="42"/>
  <c r="N92" i="42"/>
  <c r="S91" i="42"/>
  <c r="S15" i="44" s="1"/>
  <c r="O91" i="42"/>
  <c r="O15" i="44" s="1"/>
  <c r="P77" i="42"/>
  <c r="K90" i="42"/>
  <c r="R92" i="42"/>
  <c r="R16" i="44" s="1"/>
  <c r="O81" i="42"/>
  <c r="K92" i="42"/>
  <c r="P91" i="42"/>
  <c r="P15" i="44" s="1"/>
  <c r="S80" i="42"/>
  <c r="S38" i="42"/>
  <c r="O76" i="42"/>
  <c r="O77" i="42"/>
  <c r="M81" i="42"/>
  <c r="N78" i="42"/>
  <c r="R81" i="42"/>
  <c r="L38" i="42"/>
  <c r="L29" i="42"/>
  <c r="N47" i="42"/>
  <c r="S79" i="42"/>
  <c r="N81" i="42"/>
  <c r="K81" i="42"/>
  <c r="M92" i="42"/>
  <c r="L47" i="42"/>
  <c r="O50" i="42"/>
  <c r="P50" i="42"/>
  <c r="Q77" i="42"/>
  <c r="L75" i="42"/>
  <c r="K91" i="42"/>
  <c r="J82" i="42"/>
  <c r="S75" i="42"/>
  <c r="K29" i="42"/>
  <c r="J84" i="42" l="1"/>
  <c r="M84" i="42"/>
  <c r="S52" i="42"/>
  <c r="S54" i="42" s="1"/>
  <c r="P94" i="42"/>
  <c r="P14" i="44"/>
  <c r="Q52" i="42"/>
  <c r="Q54" i="42" s="1"/>
  <c r="J52" i="42"/>
  <c r="J54" i="42" s="1"/>
  <c r="P52" i="42"/>
  <c r="P54" i="42" s="1"/>
  <c r="J94" i="42"/>
  <c r="J20" i="2"/>
  <c r="J29" i="2" s="1"/>
  <c r="K29" i="2"/>
  <c r="S84" i="42"/>
  <c r="L52" i="42"/>
  <c r="L54" i="42" s="1"/>
  <c r="L94" i="42"/>
  <c r="N94" i="42"/>
  <c r="S14" i="44"/>
  <c r="S94" i="42"/>
  <c r="N84" i="42"/>
  <c r="L84" i="42"/>
  <c r="O84" i="42"/>
  <c r="M94" i="42"/>
  <c r="R14" i="44"/>
  <c r="R94" i="42"/>
  <c r="K84" i="42"/>
  <c r="K52" i="42"/>
  <c r="K54" i="42" s="1"/>
  <c r="M30" i="2"/>
  <c r="L21" i="2"/>
  <c r="K94" i="42"/>
  <c r="Q84" i="42"/>
  <c r="O52" i="42"/>
  <c r="O54" i="42" s="1"/>
  <c r="M52" i="42"/>
  <c r="M54" i="42" s="1"/>
  <c r="R84" i="42"/>
  <c r="Q94" i="42"/>
  <c r="Q14" i="44"/>
  <c r="Q24" i="42"/>
  <c r="L17" i="42"/>
  <c r="O17" i="42"/>
  <c r="O25" i="2"/>
  <c r="S15" i="42"/>
  <c r="P17" i="42"/>
  <c r="L24" i="42"/>
  <c r="K17" i="42"/>
  <c r="O15" i="42"/>
  <c r="R17" i="42"/>
  <c r="P15" i="42"/>
  <c r="P24" i="42"/>
  <c r="J22" i="42"/>
  <c r="S24" i="42"/>
  <c r="Q15" i="42"/>
  <c r="O22" i="42"/>
  <c r="R15" i="42"/>
  <c r="S17" i="42"/>
  <c r="R22" i="42"/>
  <c r="O24" i="42"/>
  <c r="N17" i="42"/>
  <c r="Q22" i="42"/>
  <c r="R24" i="42"/>
  <c r="P22" i="42"/>
  <c r="S22" i="42"/>
  <c r="Q17" i="42"/>
  <c r="J17" i="42"/>
  <c r="M24" i="42"/>
  <c r="J24" i="42"/>
  <c r="K15" i="42"/>
  <c r="L22" i="42"/>
  <c r="L15" i="42"/>
  <c r="M22" i="42"/>
  <c r="J15" i="42"/>
  <c r="N22" i="42"/>
  <c r="N24" i="42"/>
  <c r="K22" i="42"/>
  <c r="M15" i="42"/>
  <c r="N15" i="42"/>
  <c r="K24" i="42"/>
  <c r="M17" i="42"/>
  <c r="M20" i="42"/>
  <c r="O14" i="44"/>
  <c r="O94" i="42"/>
  <c r="P84" i="42"/>
  <c r="R52" i="42"/>
  <c r="R54" i="42" s="1"/>
  <c r="N31" i="42" l="1"/>
  <c r="L20" i="42"/>
  <c r="L13" i="42"/>
  <c r="L26" i="42" s="1"/>
  <c r="K21" i="2"/>
  <c r="L30" i="2"/>
  <c r="K13" i="42" l="1"/>
  <c r="K26" i="42" s="1"/>
  <c r="K20" i="42"/>
  <c r="K30" i="2"/>
  <c r="J21" i="2"/>
  <c r="J30" i="2" s="1"/>
  <c r="J13" i="42" l="1"/>
  <c r="J26" i="42" s="1"/>
  <c r="J20" i="42"/>
  <c r="N35" i="42" s="1"/>
  <c r="L47" i="58" l="1"/>
  <c r="L58" i="58" s="1"/>
  <c r="M47" i="58" l="1"/>
  <c r="M58" i="58" s="1"/>
  <c r="M12" i="42" l="1"/>
  <c r="M13" i="42" s="1"/>
  <c r="M26" i="42" s="1"/>
  <c r="N33" i="42" l="1"/>
  <c r="N40" i="42" l="1"/>
  <c r="N41" i="42" s="1"/>
  <c r="N52" i="42" l="1"/>
  <c r="N54" i="42" l="1"/>
  <c r="O101" i="42" s="1"/>
  <c r="S100" i="42"/>
  <c r="S13" i="44" s="1"/>
  <c r="R100" i="42"/>
  <c r="R13" i="44" s="1"/>
  <c r="S101" i="42" l="1"/>
  <c r="Q101" i="42"/>
  <c r="Q100" i="42"/>
  <c r="Q13" i="44" s="1"/>
  <c r="O100" i="42"/>
  <c r="O13" i="44" s="1"/>
  <c r="P101" i="42"/>
  <c r="P100" i="42"/>
  <c r="P13" i="44" s="1"/>
  <c r="R101" i="42"/>
  <c r="O40" i="53" l="1"/>
  <c r="O102" i="42" l="1"/>
  <c r="P38" i="53" l="1"/>
  <c r="R38" i="53" l="1"/>
  <c r="P102" i="42"/>
  <c r="P40" i="53"/>
  <c r="Q38" i="53"/>
  <c r="Q102" i="42" l="1"/>
  <c r="Q40" i="53"/>
  <c r="S38" i="53"/>
  <c r="R40" i="53"/>
  <c r="R102" i="42"/>
  <c r="S102" i="42" l="1"/>
  <c r="S40" i="53"/>
  <c r="W40" i="53" s="1"/>
  <c r="S1" i="53" s="1"/>
  <c r="G14" i="16" s="1"/>
  <c r="S1" i="16" s="1"/>
  <c r="V1" i="44" l="1"/>
  <c r="W1" i="55"/>
  <c r="W1" i="2"/>
  <c r="V1" i="42"/>
  <c r="V1" i="4"/>
  <c r="V1" i="53"/>
  <c r="V1" i="58"/>
  <c r="V1" i="54"/>
</calcChain>
</file>

<file path=xl/sharedStrings.xml><?xml version="1.0" encoding="utf-8"?>
<sst xmlns="http://schemas.openxmlformats.org/spreadsheetml/2006/main" count="701" uniqueCount="210">
  <si>
    <t>AER opex model v1.8</t>
  </si>
  <si>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</si>
  <si>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</si>
  <si>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</si>
  <si>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</si>
  <si>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</si>
  <si>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</si>
  <si>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</t>
  </si>
  <si>
    <t>Inputs inflation data.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</si>
  <si>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</si>
  <si>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</si>
  <si>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Input | Rate of change</t>
  </si>
  <si>
    <t>Inputs the cost escalation weights, cost escalation forecast, and inflation actuals and forecast. Sheet used when the rate of change is applied from the final year.</t>
  </si>
  <si>
    <t>Input | 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</si>
  <si>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</si>
  <si>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Calc | Opex Forecast</t>
  </si>
  <si>
    <t>Calculates the opex forecast. Sheet used when the rate of change is applied from the final year.</t>
  </si>
  <si>
    <t>Output | Models</t>
  </si>
  <si>
    <t>Outputs the forecasts needed as a post tax revenue model inputs. Sheet used when the rate of change is applied from the final year.</t>
  </si>
  <si>
    <t>Lookup | Tables</t>
  </si>
  <si>
    <t>Includes the lookup tables used within this opex model.</t>
  </si>
  <si>
    <t>Check | List</t>
  </si>
  <si>
    <t>Shows checks on the calculations within the model</t>
  </si>
  <si>
    <t>End</t>
  </si>
  <si>
    <t>Back to Index</t>
  </si>
  <si>
    <t>Key:</t>
  </si>
  <si>
    <t>Input</t>
  </si>
  <si>
    <t>External Link</t>
  </si>
  <si>
    <t>Internal Link</t>
  </si>
  <si>
    <t>Worksheet check:</t>
  </si>
  <si>
    <t>Overall Check:</t>
  </si>
  <si>
    <t>Input | General inputs</t>
  </si>
  <si>
    <t>Inputs</t>
  </si>
  <si>
    <t>Source</t>
  </si>
  <si>
    <t>Value</t>
  </si>
  <si>
    <t>NSP name</t>
  </si>
  <si>
    <t>NSP</t>
  </si>
  <si>
    <t>Energex</t>
  </si>
  <si>
    <t>Decision stage</t>
  </si>
  <si>
    <t>AER</t>
  </si>
  <si>
    <t>draft</t>
  </si>
  <si>
    <t>Year ending</t>
  </si>
  <si>
    <t>Previous regulatory control period, first year</t>
  </si>
  <si>
    <t>Forecast base year</t>
  </si>
  <si>
    <t>Previous regulatory control period, last year</t>
  </si>
  <si>
    <t>Forecast regulatory control period, first year</t>
  </si>
  <si>
    <t>Forecast regulatory control period, last year</t>
  </si>
  <si>
    <t>Trend from base or final year</t>
  </si>
  <si>
    <t>Base</t>
  </si>
  <si>
    <t>Index value, new base</t>
  </si>
  <si>
    <t>Percentage Change from Corresponding Quarter of Previous Year</t>
  </si>
  <si>
    <t>ABS</t>
  </si>
  <si>
    <t>Calculated</t>
  </si>
  <si>
    <t>Unit</t>
  </si>
  <si>
    <t>index</t>
  </si>
  <si>
    <t>Percent</t>
  </si>
  <si>
    <t>Basis</t>
  </si>
  <si>
    <t>Input | Opex allowances</t>
  </si>
  <si>
    <t>Cost category</t>
  </si>
  <si>
    <t>Notes</t>
  </si>
  <si>
    <t>Total opex</t>
  </si>
  <si>
    <t>$millions</t>
  </si>
  <si>
    <t>AER PTRM in the previous regulatory period.</t>
  </si>
  <si>
    <t>Allowances related to category specific forecasts</t>
  </si>
  <si>
    <t>Debt raising costs</t>
  </si>
  <si>
    <t>These inputs should be entered as positive values.</t>
  </si>
  <si>
    <t>Network support costs (for TNSPs)</t>
  </si>
  <si>
    <t>Total opex, categories forecast specifically</t>
  </si>
  <si>
    <t>Actual</t>
  </si>
  <si>
    <t>Estimate</t>
  </si>
  <si>
    <t>RIN</t>
  </si>
  <si>
    <t>nominal</t>
  </si>
  <si>
    <t>Annual RIN for each year and/or reset RIN.</t>
  </si>
  <si>
    <t>Categories of opex to be excluded from forecast opex (excluding category specific forecasts)</t>
  </si>
  <si>
    <t>Movement in Provision - Opex</t>
  </si>
  <si>
    <t>These inputs should be entered as reported.</t>
  </si>
  <si>
    <t>DMIA/DMIS</t>
  </si>
  <si>
    <t>Total opex to be trended</t>
  </si>
  <si>
    <t>Expenditure related to category specific forecasts</t>
  </si>
  <si>
    <t>Input | Adjustments</t>
  </si>
  <si>
    <t>Adjustment</t>
  </si>
  <si>
    <t>ESO Levy Removal</t>
  </si>
  <si>
    <t>External</t>
  </si>
  <si>
    <t>Property Leases Removal (SCS Opex portion only)</t>
  </si>
  <si>
    <t>Adjustment 3</t>
  </si>
  <si>
    <t>Adjustment 4</t>
  </si>
  <si>
    <t>Adjustment 5</t>
  </si>
  <si>
    <t>Non-recurrent efficiency gain in the base year</t>
  </si>
  <si>
    <t>Efficiency adjustment</t>
  </si>
  <si>
    <t>Per cent</t>
  </si>
  <si>
    <t>Inflation</t>
  </si>
  <si>
    <t>calculated</t>
  </si>
  <si>
    <t>CPI indexes (real to real)</t>
  </si>
  <si>
    <t>CPI indexes (nominal to real)</t>
  </si>
  <si>
    <t>Input | Forecast price change</t>
  </si>
  <si>
    <t>Forecast price change</t>
  </si>
  <si>
    <t>WPI – Oxford Economics</t>
  </si>
  <si>
    <t>external</t>
  </si>
  <si>
    <t>WPI – KPMG</t>
  </si>
  <si>
    <t>WPI - average of Oxford Economics and KPMG</t>
  </si>
  <si>
    <t>Superannuation guarantee increases</t>
  </si>
  <si>
    <t>WPI - average + super guarantee increases</t>
  </si>
  <si>
    <t>CPI</t>
  </si>
  <si>
    <t>Check</t>
  </si>
  <si>
    <t>Ok/Check</t>
  </si>
  <si>
    <t>n/a</t>
  </si>
  <si>
    <t>Weights</t>
  </si>
  <si>
    <t>Input | Forecast output growth</t>
  </si>
  <si>
    <t>Output measure</t>
  </si>
  <si>
    <t>Customer numbers (#)</t>
  </si>
  <si>
    <t>number</t>
  </si>
  <si>
    <t>Circuit Length (km)</t>
  </si>
  <si>
    <t>Ratcheted Maximum Demand (MW)</t>
  </si>
  <si>
    <t>Growth rate</t>
  </si>
  <si>
    <t>Output weights</t>
  </si>
  <si>
    <t>SFA CD</t>
  </si>
  <si>
    <t>LSE CD</t>
  </si>
  <si>
    <t>LSE TLG</t>
  </si>
  <si>
    <t>SFA TLG</t>
  </si>
  <si>
    <t>Forecast output growth</t>
  </si>
  <si>
    <t>Input | Forecast productivity</t>
  </si>
  <si>
    <t>Partial factor productivity</t>
  </si>
  <si>
    <t>Input |Step changes</t>
  </si>
  <si>
    <t>Step change</t>
  </si>
  <si>
    <t>Smart Meter Data Storage</t>
  </si>
  <si>
    <t>Input | Category specifc forecasts</t>
  </si>
  <si>
    <t>Category specific forecasts</t>
  </si>
  <si>
    <t>Input | Debt raising costs</t>
  </si>
  <si>
    <t>Debt Raising Costs</t>
  </si>
  <si>
    <t>PTRM</t>
  </si>
  <si>
    <t>Calc | Estimated final year expenditure</t>
  </si>
  <si>
    <t>Reported opex, total</t>
  </si>
  <si>
    <t>Inputs|Reported opex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</si>
  <si>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</si>
  <si>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</si>
  <si>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</si>
  <si>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</si>
  <si>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</si>
  <si>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Reported base year opex</t>
  </si>
  <si>
    <t>Add back non-recurrent efficiency gains in the base year</t>
  </si>
  <si>
    <t>Add estimated change in opex between the base year and the final year</t>
  </si>
  <si>
    <t>Estimated final year opex</t>
  </si>
  <si>
    <t>Remove estimated final year opex for categories forecast specifically</t>
  </si>
  <si>
    <t>Adjusted final year opex</t>
  </si>
  <si>
    <t>Calc | Rate of change</t>
  </si>
  <si>
    <t>Rate of change</t>
  </si>
  <si>
    <t>Forecast output change</t>
  </si>
  <si>
    <t>Forecast productivity change</t>
  </si>
  <si>
    <t>Forecast rate of change, year-on-year</t>
  </si>
  <si>
    <t>Forecast rate of change, cumulative</t>
  </si>
  <si>
    <t>Calc | Step changes</t>
  </si>
  <si>
    <t>Step changes</t>
  </si>
  <si>
    <t>Total step changes</t>
  </si>
  <si>
    <t>Calc | Category specific forecasts</t>
  </si>
  <si>
    <t>Total category specific forecasts</t>
  </si>
  <si>
    <t>Calc | Total forecast operating expenditure</t>
  </si>
  <si>
    <t>Total forecast opex, excluding category specific forecasts</t>
  </si>
  <si>
    <t>Total forecast opex, excluding debt raising costs</t>
  </si>
  <si>
    <t>Total forecast opex, including debt raising costs</t>
  </si>
  <si>
    <t>Inputs for Post Tax Revenue Model</t>
  </si>
  <si>
    <t>Note. The dollar base should be consistent with the post tax revenue model</t>
  </si>
  <si>
    <t>Operating expenditure</t>
  </si>
  <si>
    <t>Calc | Opex forecast</t>
  </si>
  <si>
    <t>Unit Denominations</t>
  </si>
  <si>
    <t>Ref</t>
  </si>
  <si>
    <t>Dollars</t>
  </si>
  <si>
    <t>$dollars</t>
  </si>
  <si>
    <t>Thousands</t>
  </si>
  <si>
    <t>$000</t>
  </si>
  <si>
    <t>Millions</t>
  </si>
  <si>
    <t>unit</t>
  </si>
  <si>
    <t>Number</t>
  </si>
  <si>
    <t>Factor</t>
  </si>
  <si>
    <t>factor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</si>
  <si>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</si>
  <si>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</si>
  <si>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</si>
  <si>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</si>
  <si>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</si>
  <si>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</si>
  <si>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</si>
  <si>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</si>
  <si>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</si>
  <si>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</si>
  <si>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</si>
  <si>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</si>
  <si>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</si>
  <si>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</si>
  <si>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</si>
  <si>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</si>
  <si>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</si>
  <si>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Regulatory years</t>
  </si>
  <si>
    <t>Year</t>
  </si>
  <si>
    <t>Previous period year 0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</si>
  <si>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</si>
  <si>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</si>
  <si>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</si>
  <si>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</si>
  <si>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</si>
  <si>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</si>
  <si>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</si>
  <si>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</si>
  <si>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</si>
  <si>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</si>
  <si>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Option 1</t>
  </si>
  <si>
    <t>Option 2</t>
  </si>
  <si>
    <t>Final</t>
  </si>
  <si>
    <t>Check List</t>
  </si>
  <si>
    <t>Sheet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</si>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</sst>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_-* ##\ ##0.00_-;\-* ##\ ##0.00_-;_-* &quot;-&quot;??_-;_-@_-"/>
    <numFmt numFmtId="204" formatCode="mmmm"/>
    <numFmt numFmtId="205" formatCode="mmm\ yyyy"/>
    <numFmt numFmtId="206" formatCode="0.00_ ;\-0.00\ "/>
    <numFmt numFmtId="207" formatCode="0_ ;\-0\ "/>
    <numFmt numFmtId="208" formatCode="0.00%;\(0.00%\);\-"/>
    <numFmt numFmtId="209" formatCode="0.000%"/>
    <numFmt numFmtId="210" formatCode="#,##0.00;\(#,##0.00\);\-"/>
  </numFmts>
  <fonts count="8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64">
    <xf numFmtId="0" fontId="0" fillId="0" borderId="0"/>
    <xf numFmtId="170" fontId="3" fillId="7" borderId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171" fontId="12" fillId="0" borderId="5">
      <alignment horizontal="right" vertical="center"/>
      <protection locked="0"/>
    </xf>
    <xf numFmtId="167" fontId="10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2" fillId="0" borderId="0"/>
    <xf numFmtId="178" fontId="12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3" fillId="0" borderId="0"/>
    <xf numFmtId="164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 applyNumberFormat="0" applyFill="0" applyBorder="0" applyAlignment="0"/>
    <xf numFmtId="165" fontId="19" fillId="4" borderId="0" applyNumberFormat="0" applyFont="0" applyBorder="0" applyAlignment="0">
      <alignment horizontal="right"/>
    </xf>
    <xf numFmtId="165" fontId="19" fillId="4" borderId="0" applyNumberFormat="0" applyFont="0" applyBorder="0" applyAlignment="0">
      <alignment horizontal="right"/>
    </xf>
    <xf numFmtId="0" fontId="27" fillId="0" borderId="0" applyNumberFormat="0" applyFill="0" applyBorder="0" applyAlignment="0">
      <protection locked="0"/>
    </xf>
    <xf numFmtId="0" fontId="28" fillId="14" borderId="11" applyNumberFormat="0" applyAlignment="0" applyProtection="0"/>
    <xf numFmtId="0" fontId="29" fillId="31" borderId="12" applyNumberFormat="0" applyAlignment="0" applyProtection="0"/>
    <xf numFmtId="165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3" fontId="3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180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35" fillId="0" borderId="0"/>
    <xf numFmtId="0" fontId="36" fillId="0" borderId="0"/>
    <xf numFmtId="0" fontId="37" fillId="35" borderId="0" applyNumberFormat="0" applyBorder="0" applyAlignment="0" applyProtection="0"/>
    <xf numFmtId="0" fontId="21" fillId="0" borderId="0" applyFill="0" applyBorder="0">
      <alignment vertical="center"/>
    </xf>
    <xf numFmtId="0" fontId="38" fillId="0" borderId="13" applyNumberFormat="0" applyFill="0" applyAlignment="0" applyProtection="0"/>
    <xf numFmtId="0" fontId="21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14" applyNumberFormat="0" applyFill="0" applyAlignment="0" applyProtection="0"/>
    <xf numFmtId="0" fontId="39" fillId="0" borderId="0" applyFill="0" applyBorder="0">
      <alignment vertical="center"/>
    </xf>
    <xf numFmtId="0" fontId="9" fillId="0" borderId="0" applyFill="0" applyBorder="0">
      <alignment vertical="center"/>
    </xf>
    <xf numFmtId="0" fontId="41" fillId="0" borderId="15" applyNumberFormat="0" applyFill="0" applyAlignment="0" applyProtection="0"/>
    <xf numFmtId="0" fontId="9" fillId="0" borderId="0" applyFill="0" applyBorder="0">
      <alignment vertical="center"/>
    </xf>
    <xf numFmtId="0" fontId="12" fillId="0" borderId="0" applyFill="0" applyBorder="0">
      <alignment vertical="center"/>
    </xf>
    <xf numFmtId="0" fontId="41" fillId="0" borderId="0" applyNumberFormat="0" applyFill="0" applyBorder="0" applyAlignment="0" applyProtection="0"/>
    <xf numFmtId="0" fontId="12" fillId="0" borderId="0" applyFill="0" applyBorder="0">
      <alignment vertical="center"/>
    </xf>
    <xf numFmtId="182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0" fontId="46" fillId="12" borderId="11" applyNumberFormat="0" applyAlignment="0" applyProtection="0"/>
    <xf numFmtId="165" fontId="19" fillId="36" borderId="0" applyFont="0" applyBorder="0" applyAlignment="0">
      <alignment horizontal="right"/>
      <protection locked="0"/>
    </xf>
    <xf numFmtId="165" fontId="19" fillId="36" borderId="0" applyFont="0" applyBorder="0" applyAlignment="0">
      <alignment horizontal="right"/>
      <protection locked="0"/>
    </xf>
    <xf numFmtId="183" fontId="19" fillId="6" borderId="0" applyFont="0" applyBorder="0">
      <alignment horizontal="right"/>
      <protection locked="0"/>
    </xf>
    <xf numFmtId="183" fontId="19" fillId="6" borderId="0" applyFont="0" applyBorder="0">
      <alignment horizontal="right"/>
      <protection locked="0"/>
    </xf>
    <xf numFmtId="165" fontId="19" fillId="10" borderId="0" applyFont="0" applyBorder="0">
      <alignment horizontal="right"/>
      <protection locked="0"/>
    </xf>
    <xf numFmtId="165" fontId="19" fillId="10" borderId="0" applyFont="0" applyBorder="0">
      <alignment horizontal="right"/>
      <protection locked="0"/>
    </xf>
    <xf numFmtId="0" fontId="12" fillId="4" borderId="0"/>
    <xf numFmtId="0" fontId="47" fillId="0" borderId="16" applyNumberFormat="0" applyFill="0" applyAlignment="0" applyProtection="0"/>
    <xf numFmtId="184" fontId="48" fillId="0" borderId="0"/>
    <xf numFmtId="0" fontId="49" fillId="0" borderId="0" applyFill="0" applyBorder="0">
      <alignment horizontal="left" vertical="center"/>
    </xf>
    <xf numFmtId="0" fontId="50" fillId="15" borderId="0" applyNumberFormat="0" applyBorder="0" applyAlignment="0" applyProtection="0"/>
    <xf numFmtId="185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4" fillId="0" borderId="0"/>
    <xf numFmtId="0" fontId="19" fillId="3" borderId="0"/>
    <xf numFmtId="0" fontId="52" fillId="0" borderId="0"/>
    <xf numFmtId="0" fontId="19" fillId="0" borderId="0"/>
    <xf numFmtId="0" fontId="19" fillId="0" borderId="0"/>
    <xf numFmtId="0" fontId="19" fillId="13" borderId="17" applyNumberFormat="0" applyFont="0" applyAlignment="0" applyProtection="0"/>
    <xf numFmtId="0" fontId="53" fillId="14" borderId="18" applyNumberFormat="0" applyAlignment="0" applyProtection="0"/>
    <xf numFmtId="186" fontId="19" fillId="0" borderId="0" applyFill="0" applyBorder="0"/>
    <xf numFmtId="186" fontId="19" fillId="0" borderId="0" applyFill="0" applyBorder="0"/>
    <xf numFmtId="186" fontId="19" fillId="0" borderId="0" applyFill="0" applyBorder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2" fontId="54" fillId="0" borderId="0"/>
    <xf numFmtId="0" fontId="9" fillId="0" borderId="0" applyFill="0" applyBorder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87" fontId="55" fillId="0" borderId="19"/>
    <xf numFmtId="0" fontId="56" fillId="0" borderId="20">
      <alignment horizontal="center"/>
    </xf>
    <xf numFmtId="3" fontId="30" fillId="0" borderId="0" applyFont="0" applyFill="0" applyBorder="0" applyAlignment="0" applyProtection="0"/>
    <xf numFmtId="0" fontId="30" fillId="37" borderId="0" applyNumberFormat="0" applyFont="0" applyBorder="0" applyAlignment="0" applyProtection="0"/>
    <xf numFmtId="188" fontId="19" fillId="0" borderId="0"/>
    <xf numFmtId="188" fontId="19" fillId="0" borderId="0"/>
    <xf numFmtId="188" fontId="19" fillId="0" borderId="0"/>
    <xf numFmtId="189" fontId="12" fillId="0" borderId="0" applyFill="0" applyBorder="0">
      <alignment horizontal="right" vertical="center"/>
    </xf>
    <xf numFmtId="190" fontId="12" fillId="0" borderId="0" applyFill="0" applyBorder="0">
      <alignment horizontal="right" vertical="center"/>
    </xf>
    <xf numFmtId="191" fontId="12" fillId="0" borderId="0" applyFill="0" applyBorder="0">
      <alignment horizontal="right" vertical="center"/>
    </xf>
    <xf numFmtId="0" fontId="19" fillId="13" borderId="0" applyNumberFormat="0" applyFont="0" applyBorder="0" applyAlignment="0" applyProtection="0"/>
    <xf numFmtId="0" fontId="19" fillId="13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9" fillId="0" borderId="0"/>
    <xf numFmtId="0" fontId="58" fillId="0" borderId="0"/>
    <xf numFmtId="15" fontId="19" fillId="0" borderId="0"/>
    <xf numFmtId="15" fontId="19" fillId="0" borderId="0"/>
    <xf numFmtId="15" fontId="19" fillId="0" borderId="0"/>
    <xf numFmtId="10" fontId="19" fillId="0" borderId="0"/>
    <xf numFmtId="10" fontId="19" fillId="0" borderId="0"/>
    <xf numFmtId="10" fontId="19" fillId="0" borderId="0"/>
    <xf numFmtId="0" fontId="59" fillId="9" borderId="7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10" applyFill="0" applyBorder="0" applyProtection="0">
      <alignment horizontal="left" vertical="top"/>
    </xf>
    <xf numFmtId="49" fontId="19" fillId="0" borderId="0" applyFont="0" applyFill="0" applyBorder="0" applyAlignment="0" applyProtection="0"/>
    <xf numFmtId="0" fontId="62" fillId="0" borderId="0"/>
    <xf numFmtId="49" fontId="19" fillId="0" borderId="0" applyFont="0" applyFill="0" applyBorder="0" applyAlignment="0" applyProtection="0"/>
    <xf numFmtId="0" fontId="63" fillId="0" borderId="0"/>
    <xf numFmtId="0" fontId="63" fillId="0" borderId="0"/>
    <xf numFmtId="0" fontId="62" fillId="0" borderId="0"/>
    <xf numFmtId="184" fontId="64" fillId="0" borderId="0"/>
    <xf numFmtId="0" fontId="57" fillId="0" borderId="0" applyNumberFormat="0" applyFill="0" applyBorder="0" applyAlignment="0" applyProtection="0"/>
    <xf numFmtId="0" fontId="65" fillId="0" borderId="0" applyFill="0" applyBorder="0">
      <alignment horizontal="left" vertical="center"/>
      <protection locked="0"/>
    </xf>
    <xf numFmtId="0" fontId="62" fillId="0" borderId="0"/>
    <xf numFmtId="0" fontId="66" fillId="0" borderId="0" applyFill="0" applyBorder="0">
      <alignment horizontal="left" vertical="center"/>
      <protection locked="0"/>
    </xf>
    <xf numFmtId="0" fontId="33" fillId="0" borderId="21" applyNumberFormat="0" applyFill="0" applyAlignment="0" applyProtection="0"/>
    <xf numFmtId="0" fontId="67" fillId="0" borderId="0" applyNumberFormat="0" applyFill="0" applyBorder="0" applyAlignment="0" applyProtection="0"/>
    <xf numFmtId="192" fontId="19" fillId="0" borderId="7" applyBorder="0" applyProtection="0">
      <alignment horizontal="right"/>
    </xf>
    <xf numFmtId="192" fontId="19" fillId="0" borderId="7" applyBorder="0" applyProtection="0">
      <alignment horizontal="right"/>
    </xf>
    <xf numFmtId="192" fontId="19" fillId="0" borderId="7" applyBorder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3" fillId="42" borderId="0"/>
    <xf numFmtId="202" fontId="74" fillId="0" borderId="23">
      <alignment horizontal="center"/>
    </xf>
    <xf numFmtId="0" fontId="75" fillId="43" borderId="6">
      <alignment horizontal="center" vertical="center"/>
    </xf>
    <xf numFmtId="0" fontId="19" fillId="44" borderId="11"/>
    <xf numFmtId="0" fontId="76" fillId="0" borderId="0" applyFill="0" applyBorder="0"/>
    <xf numFmtId="0" fontId="77" fillId="0" borderId="0" applyNumberFormat="0" applyFill="0"/>
    <xf numFmtId="0" fontId="78" fillId="0" borderId="0" applyFill="0"/>
    <xf numFmtId="0" fontId="79" fillId="0" borderId="0" applyFill="0"/>
    <xf numFmtId="0" fontId="80" fillId="0" borderId="0" applyFill="0"/>
    <xf numFmtId="0" fontId="73" fillId="45" borderId="0"/>
    <xf numFmtId="0" fontId="19" fillId="38" borderId="24" applyNumberFormat="0" applyFont="0" applyAlignment="0"/>
    <xf numFmtId="0" fontId="81" fillId="7" borderId="25" applyNumberFormat="0"/>
    <xf numFmtId="0" fontId="82" fillId="46" borderId="0"/>
    <xf numFmtId="0" fontId="83" fillId="46" borderId="0" applyNumberFormat="0"/>
    <xf numFmtId="0" fontId="84" fillId="46" borderId="0"/>
    <xf numFmtId="0" fontId="85" fillId="47" borderId="6" applyNumberFormat="0">
      <alignment horizontal="center" vertical="center"/>
    </xf>
    <xf numFmtId="0" fontId="86" fillId="48" borderId="11" applyNumberFormat="0" applyAlignment="0">
      <alignment horizontal="right"/>
    </xf>
    <xf numFmtId="0" fontId="21" fillId="38" borderId="24" applyNumberFormat="0" applyAlignment="0"/>
    <xf numFmtId="0" fontId="74" fillId="0" borderId="0" applyNumberFormat="0" applyFill="0" applyBorder="0"/>
    <xf numFmtId="0" fontId="87" fillId="49" borderId="24" applyNumberFormat="0">
      <protection locked="0"/>
    </xf>
  </cellStyleXfs>
  <cellXfs count="17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1" xfId="0" applyFont="1" applyFill="1" applyBorder="1"/>
    <xf numFmtId="168" fontId="3" fillId="3" borderId="0" xfId="0" applyNumberFormat="1" applyFont="1" applyFill="1"/>
    <xf numFmtId="168" fontId="4" fillId="0" borderId="0" xfId="0" applyNumberFormat="1" applyFont="1"/>
    <xf numFmtId="168" fontId="3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/>
    <xf numFmtId="0" fontId="3" fillId="5" borderId="0" xfId="0" applyFont="1" applyFill="1"/>
    <xf numFmtId="0" fontId="3" fillId="6" borderId="0" xfId="0" applyFont="1" applyFill="1"/>
    <xf numFmtId="168" fontId="9" fillId="0" borderId="0" xfId="0" applyNumberFormat="1" applyFont="1"/>
    <xf numFmtId="168" fontId="5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left" indent="1"/>
    </xf>
    <xf numFmtId="168" fontId="4" fillId="0" borderId="0" xfId="0" applyNumberFormat="1" applyFont="1" applyAlignment="1">
      <alignment horizontal="center"/>
    </xf>
    <xf numFmtId="168" fontId="0" fillId="0" borderId="0" xfId="0" applyNumberFormat="1"/>
    <xf numFmtId="167" fontId="9" fillId="0" borderId="6" xfId="0" applyNumberFormat="1" applyFont="1" applyBorder="1" applyAlignment="1">
      <alignment horizontal="center"/>
    </xf>
    <xf numFmtId="168" fontId="14" fillId="0" borderId="0" xfId="3" applyNumberFormat="1" applyFont="1" applyAlignment="1" applyProtection="1"/>
    <xf numFmtId="168" fontId="4" fillId="3" borderId="0" xfId="0" applyNumberFormat="1" applyFont="1" applyFill="1"/>
    <xf numFmtId="168" fontId="15" fillId="0" borderId="0" xfId="0" applyNumberFormat="1" applyFont="1" applyAlignment="1">
      <alignment horizontal="center"/>
    </xf>
    <xf numFmtId="173" fontId="12" fillId="0" borderId="0" xfId="5" applyNumberFormat="1" applyBorder="1" applyAlignment="1" applyProtection="1">
      <alignment horizontal="center" vertical="center"/>
    </xf>
    <xf numFmtId="174" fontId="9" fillId="0" borderId="0" xfId="5" applyNumberFormat="1" applyFont="1" applyBorder="1" applyAlignment="1" applyProtection="1">
      <alignment horizontal="center" vertical="center"/>
    </xf>
    <xf numFmtId="174" fontId="17" fillId="0" borderId="0" xfId="5" applyNumberFormat="1" applyFont="1" applyBorder="1" applyAlignment="1" applyProtection="1">
      <alignment horizontal="center" vertical="center"/>
    </xf>
    <xf numFmtId="175" fontId="3" fillId="0" borderId="0" xfId="0" applyNumberFormat="1" applyFont="1"/>
    <xf numFmtId="177" fontId="12" fillId="0" borderId="0" xfId="5" applyNumberFormat="1" applyBorder="1" applyAlignment="1" applyProtection="1">
      <alignment horizontal="center" vertical="center"/>
    </xf>
    <xf numFmtId="168" fontId="4" fillId="3" borderId="0" xfId="0" applyNumberFormat="1" applyFont="1" applyFill="1" applyAlignment="1">
      <alignment horizontal="center"/>
    </xf>
    <xf numFmtId="168" fontId="14" fillId="0" borderId="0" xfId="3" applyNumberFormat="1" applyFont="1" applyAlignment="1" applyProtection="1">
      <alignment horizontal="center"/>
    </xf>
    <xf numFmtId="0" fontId="68" fillId="38" borderId="0" xfId="0" applyFont="1" applyFill="1" applyAlignment="1">
      <alignment horizontal="left" vertical="center"/>
    </xf>
    <xf numFmtId="0" fontId="68" fillId="38" borderId="0" xfId="0" applyFont="1" applyFill="1" applyAlignment="1">
      <alignment horizontal="left" indent="9"/>
    </xf>
    <xf numFmtId="0" fontId="69" fillId="38" borderId="0" xfId="0" applyFont="1" applyFill="1"/>
    <xf numFmtId="0" fontId="0" fillId="38" borderId="0" xfId="0" applyFill="1"/>
    <xf numFmtId="0" fontId="0" fillId="38" borderId="0" xfId="0" applyFill="1" applyAlignment="1">
      <alignment horizontal="right"/>
    </xf>
    <xf numFmtId="167" fontId="20" fillId="38" borderId="0" xfId="0" applyNumberFormat="1" applyFont="1" applyFill="1" applyAlignment="1">
      <alignment horizontal="center"/>
    </xf>
    <xf numFmtId="0" fontId="70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1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6" fontId="21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0" fillId="39" borderId="4" xfId="0" applyFont="1" applyFill="1" applyBorder="1"/>
    <xf numFmtId="169" fontId="3" fillId="41" borderId="3" xfId="0" applyNumberFormat="1" applyFont="1" applyFill="1" applyBorder="1" applyAlignment="1" applyProtection="1">
      <alignment horizontal="center"/>
      <protection locked="0"/>
    </xf>
    <xf numFmtId="0" fontId="70" fillId="38" borderId="0" xfId="0" applyFont="1" applyFill="1" applyAlignment="1">
      <alignment horizontal="left"/>
    </xf>
    <xf numFmtId="0" fontId="70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3" fillId="40" borderId="0" xfId="0" applyFont="1" applyFill="1" applyAlignment="1">
      <alignment horizontal="center"/>
    </xf>
    <xf numFmtId="10" fontId="3" fillId="41" borderId="3" xfId="2" applyNumberFormat="1" applyFont="1" applyFill="1" applyBorder="1" applyAlignment="1" applyProtection="1">
      <alignment horizontal="center"/>
      <protection locked="0"/>
    </xf>
    <xf numFmtId="49" fontId="3" fillId="41" borderId="3" xfId="0" applyNumberFormat="1" applyFont="1" applyFill="1" applyBorder="1" applyAlignment="1" applyProtection="1">
      <alignment horizontal="left" indent="1"/>
      <protection locked="0"/>
    </xf>
    <xf numFmtId="168" fontId="15" fillId="0" borderId="0" xfId="0" applyNumberFormat="1" applyFont="1" applyAlignment="1">
      <alignment horizontal="center" wrapText="1"/>
    </xf>
    <xf numFmtId="193" fontId="3" fillId="41" borderId="3" xfId="0" applyNumberFormat="1" applyFont="1" applyFill="1" applyBorder="1" applyAlignment="1" applyProtection="1">
      <alignment horizontal="center"/>
      <protection locked="0"/>
    </xf>
    <xf numFmtId="197" fontId="3" fillId="0" borderId="0" xfId="0" applyNumberFormat="1" applyFont="1" applyAlignment="1">
      <alignment horizontal="left"/>
    </xf>
    <xf numFmtId="195" fontId="3" fillId="0" borderId="0" xfId="0" applyNumberFormat="1" applyFont="1"/>
    <xf numFmtId="168" fontId="4" fillId="0" borderId="0" xfId="0" applyNumberFormat="1" applyFont="1" applyAlignment="1">
      <alignment horizontal="center" wrapText="1"/>
    </xf>
    <xf numFmtId="168" fontId="16" fillId="40" borderId="9" xfId="0" applyNumberFormat="1" applyFont="1" applyFill="1" applyBorder="1" applyAlignment="1" applyProtection="1">
      <alignment horizontal="center"/>
      <protection locked="0"/>
    </xf>
    <xf numFmtId="0" fontId="70" fillId="38" borderId="1" xfId="0" applyFont="1" applyFill="1" applyBorder="1" applyAlignment="1">
      <alignment horizontal="left" indent="9"/>
    </xf>
    <xf numFmtId="0" fontId="20" fillId="38" borderId="2" xfId="0" applyFont="1" applyFill="1" applyBorder="1"/>
    <xf numFmtId="0" fontId="71" fillId="38" borderId="2" xfId="0" applyFont="1" applyFill="1" applyBorder="1"/>
    <xf numFmtId="0" fontId="71" fillId="39" borderId="4" xfId="0" applyFont="1" applyFill="1" applyBorder="1"/>
    <xf numFmtId="0" fontId="71" fillId="39" borderId="4" xfId="0" applyFont="1" applyFill="1" applyBorder="1" applyAlignment="1">
      <alignment horizontal="center"/>
    </xf>
    <xf numFmtId="0" fontId="16" fillId="39" borderId="4" xfId="0" applyFont="1" applyFill="1" applyBorder="1" applyAlignment="1">
      <alignment horizontal="center" vertical="center"/>
    </xf>
    <xf numFmtId="0" fontId="16" fillId="39" borderId="4" xfId="0" applyFont="1" applyFill="1" applyBorder="1" applyAlignment="1">
      <alignment vertical="center"/>
    </xf>
    <xf numFmtId="0" fontId="71" fillId="39" borderId="4" xfId="0" applyFont="1" applyFill="1" applyBorder="1" applyAlignment="1">
      <alignment wrapText="1"/>
    </xf>
    <xf numFmtId="166" fontId="16" fillId="39" borderId="4" xfId="0" applyNumberFormat="1" applyFont="1" applyFill="1" applyBorder="1" applyAlignment="1">
      <alignment horizontal="center" wrapText="1"/>
    </xf>
    <xf numFmtId="0" fontId="71" fillId="3" borderId="0" xfId="0" applyFont="1" applyFill="1" applyAlignment="1">
      <alignment wrapText="1"/>
    </xf>
    <xf numFmtId="0" fontId="71" fillId="3" borderId="0" xfId="0" applyFont="1" applyFill="1"/>
    <xf numFmtId="0" fontId="71" fillId="0" borderId="0" xfId="0" applyFont="1"/>
    <xf numFmtId="168" fontId="3" fillId="0" borderId="0" xfId="0" applyNumberFormat="1" applyFont="1" applyAlignment="1">
      <alignment horizontal="center"/>
    </xf>
    <xf numFmtId="168" fontId="14" fillId="0" borderId="0" xfId="3" applyNumberFormat="1" applyFont="1" applyFill="1" applyAlignment="1" applyProtection="1">
      <alignment horizontal="center"/>
    </xf>
    <xf numFmtId="198" fontId="3" fillId="0" borderId="0" xfId="0" applyNumberFormat="1" applyFont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168" fontId="5" fillId="0" borderId="8" xfId="0" applyNumberFormat="1" applyFont="1" applyBorder="1" applyAlignment="1">
      <alignment horizontal="left" indent="1"/>
    </xf>
    <xf numFmtId="168" fontId="4" fillId="0" borderId="8" xfId="0" applyNumberFormat="1" applyFont="1" applyBorder="1" applyAlignment="1">
      <alignment horizontal="center"/>
    </xf>
    <xf numFmtId="198" fontId="5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left"/>
    </xf>
    <xf numFmtId="10" fontId="3" fillId="0" borderId="0" xfId="2" applyNumberFormat="1" applyFont="1" applyAlignment="1" applyProtection="1">
      <alignment horizontal="center"/>
    </xf>
    <xf numFmtId="168" fontId="5" fillId="0" borderId="8" xfId="0" applyNumberFormat="1" applyFont="1" applyBorder="1"/>
    <xf numFmtId="176" fontId="3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left" indent="2"/>
    </xf>
    <xf numFmtId="168" fontId="15" fillId="0" borderId="8" xfId="0" applyNumberFormat="1" applyFont="1" applyBorder="1" applyAlignment="1">
      <alignment horizontal="center"/>
    </xf>
    <xf numFmtId="168" fontId="5" fillId="0" borderId="0" xfId="0" applyNumberFormat="1" applyFont="1" applyAlignment="1">
      <alignment horizontal="left" indent="1"/>
    </xf>
    <xf numFmtId="195" fontId="5" fillId="0" borderId="0" xfId="0" applyNumberFormat="1" applyFont="1" applyAlignment="1">
      <alignment horizontal="center"/>
    </xf>
    <xf numFmtId="201" fontId="3" fillId="0" borderId="0" xfId="0" applyNumberFormat="1" applyFont="1" applyAlignment="1">
      <alignment horizontal="center"/>
    </xf>
    <xf numFmtId="201" fontId="5" fillId="0" borderId="0" xfId="0" applyNumberFormat="1" applyFont="1" applyAlignment="1">
      <alignment horizontal="center"/>
    </xf>
    <xf numFmtId="199" fontId="9" fillId="0" borderId="4" xfId="5" applyNumberFormat="1" applyFont="1" applyBorder="1" applyAlignment="1" applyProtection="1">
      <alignment horizontal="center" vertical="center"/>
    </xf>
    <xf numFmtId="49" fontId="4" fillId="41" borderId="22" xfId="0" applyNumberFormat="1" applyFont="1" applyFill="1" applyBorder="1" applyAlignment="1" applyProtection="1">
      <alignment horizontal="center"/>
      <protection locked="0"/>
    </xf>
    <xf numFmtId="167" fontId="9" fillId="0" borderId="3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center"/>
    </xf>
    <xf numFmtId="0" fontId="7" fillId="38" borderId="2" xfId="0" applyFont="1" applyFill="1" applyBorder="1"/>
    <xf numFmtId="0" fontId="8" fillId="38" borderId="2" xfId="0" applyFont="1" applyFill="1" applyBorder="1" applyAlignment="1">
      <alignment horizontal="center"/>
    </xf>
    <xf numFmtId="0" fontId="8" fillId="38" borderId="2" xfId="0" applyFont="1" applyFill="1" applyBorder="1"/>
    <xf numFmtId="168" fontId="5" fillId="0" borderId="7" xfId="0" applyNumberFormat="1" applyFont="1" applyBorder="1"/>
    <xf numFmtId="168" fontId="3" fillId="0" borderId="7" xfId="0" applyNumberFormat="1" applyFont="1" applyBorder="1"/>
    <xf numFmtId="168" fontId="5" fillId="0" borderId="4" xfId="0" applyNumberFormat="1" applyFont="1" applyBorder="1" applyAlignment="1">
      <alignment horizontal="left"/>
    </xf>
    <xf numFmtId="168" fontId="4" fillId="0" borderId="4" xfId="0" applyNumberFormat="1" applyFont="1" applyBorder="1" applyAlignment="1">
      <alignment horizontal="center"/>
    </xf>
    <xf numFmtId="167" fontId="3" fillId="0" borderId="0" xfId="0" applyNumberFormat="1" applyFont="1"/>
    <xf numFmtId="10" fontId="3" fillId="0" borderId="0" xfId="2" applyNumberFormat="1" applyFont="1" applyBorder="1" applyAlignment="1" applyProtection="1">
      <alignment horizontal="center"/>
    </xf>
    <xf numFmtId="168" fontId="4" fillId="0" borderId="0" xfId="6" applyNumberFormat="1" applyFont="1" applyAlignment="1" applyProtection="1">
      <alignment horizontal="center"/>
    </xf>
    <xf numFmtId="172" fontId="12" fillId="0" borderId="0" xfId="2" applyNumberFormat="1" applyFont="1" applyFill="1" applyBorder="1" applyAlignment="1" applyProtection="1">
      <alignment horizontal="center" vertical="center"/>
    </xf>
    <xf numFmtId="176" fontId="3" fillId="0" borderId="0" xfId="0" applyNumberFormat="1" applyFont="1"/>
    <xf numFmtId="168" fontId="3" fillId="0" borderId="0" xfId="0" applyNumberFormat="1" applyFont="1" applyAlignment="1">
      <alignment horizontal="left"/>
    </xf>
    <xf numFmtId="194" fontId="3" fillId="8" borderId="3" xfId="0" applyNumberFormat="1" applyFont="1" applyFill="1" applyBorder="1" applyAlignment="1">
      <alignment horizontal="left" indent="1"/>
    </xf>
    <xf numFmtId="0" fontId="72" fillId="39" borderId="4" xfId="0" applyFont="1" applyFill="1" applyBorder="1"/>
    <xf numFmtId="196" fontId="4" fillId="41" borderId="3" xfId="2" applyNumberFormat="1" applyFont="1" applyFill="1" applyBorder="1" applyAlignment="1" applyProtection="1">
      <alignment horizontal="center"/>
      <protection locked="0"/>
    </xf>
    <xf numFmtId="200" fontId="5" fillId="0" borderId="0" xfId="0" applyNumberFormat="1" applyFont="1" applyAlignment="1">
      <alignment horizontal="center"/>
    </xf>
    <xf numFmtId="168" fontId="3" fillId="0" borderId="0" xfId="0" applyNumberFormat="1" applyFont="1" applyProtection="1">
      <protection locked="0"/>
    </xf>
    <xf numFmtId="203" fontId="5" fillId="0" borderId="0" xfId="0" applyNumberFormat="1" applyFont="1" applyAlignment="1">
      <alignment horizontal="center"/>
    </xf>
    <xf numFmtId="204" fontId="3" fillId="41" borderId="3" xfId="0" applyNumberFormat="1" applyFont="1" applyFill="1" applyBorder="1" applyAlignment="1" applyProtection="1">
      <alignment horizontal="center"/>
      <protection locked="0"/>
    </xf>
    <xf numFmtId="1" fontId="3" fillId="41" borderId="3" xfId="0" applyNumberFormat="1" applyFont="1" applyFill="1" applyBorder="1" applyAlignment="1" applyProtection="1">
      <alignment horizontal="center"/>
      <protection locked="0"/>
    </xf>
    <xf numFmtId="205" fontId="71" fillId="39" borderId="4" xfId="0" applyNumberFormat="1" applyFont="1" applyFill="1" applyBorder="1" applyAlignment="1">
      <alignment horizontal="center" wrapText="1"/>
    </xf>
    <xf numFmtId="205" fontId="88" fillId="38" borderId="2" xfId="0" applyNumberFormat="1" applyFont="1" applyFill="1" applyBorder="1" applyAlignment="1">
      <alignment horizontal="center"/>
    </xf>
    <xf numFmtId="205" fontId="71" fillId="38" borderId="2" xfId="0" applyNumberFormat="1" applyFont="1" applyFill="1" applyBorder="1" applyAlignment="1">
      <alignment horizontal="left"/>
    </xf>
    <xf numFmtId="205" fontId="5" fillId="0" borderId="7" xfId="0" applyNumberFormat="1" applyFont="1" applyBorder="1" applyAlignment="1">
      <alignment horizontal="center"/>
    </xf>
    <xf numFmtId="205" fontId="3" fillId="0" borderId="0" xfId="0" applyNumberFormat="1" applyFont="1" applyAlignment="1">
      <alignment horizontal="left" indent="1"/>
    </xf>
    <xf numFmtId="205" fontId="4" fillId="0" borderId="0" xfId="0" applyNumberFormat="1" applyFont="1" applyAlignment="1">
      <alignment horizontal="center"/>
    </xf>
    <xf numFmtId="205" fontId="4" fillId="41" borderId="22" xfId="0" applyNumberFormat="1" applyFont="1" applyFill="1" applyBorder="1" applyAlignment="1" applyProtection="1">
      <alignment horizontal="center"/>
      <protection locked="0"/>
    </xf>
    <xf numFmtId="205" fontId="5" fillId="0" borderId="0" xfId="0" applyNumberFormat="1" applyFont="1" applyAlignment="1">
      <alignment horizontal="center"/>
    </xf>
    <xf numFmtId="2" fontId="3" fillId="0" borderId="0" xfId="0" applyNumberFormat="1" applyFont="1" applyAlignment="1" applyProtection="1">
      <alignment horizontal="center"/>
      <protection locked="0"/>
    </xf>
    <xf numFmtId="168" fontId="11" fillId="0" borderId="0" xfId="3" applyNumberFormat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  <protection locked="0"/>
    </xf>
    <xf numFmtId="196" fontId="3" fillId="0" borderId="0" xfId="2" applyNumberFormat="1" applyFont="1" applyFill="1" applyBorder="1" applyAlignment="1" applyProtection="1">
      <alignment horizontal="center"/>
      <protection locked="0"/>
    </xf>
    <xf numFmtId="205" fontId="3" fillId="41" borderId="3" xfId="2" applyNumberFormat="1" applyFont="1" applyFill="1" applyBorder="1" applyAlignment="1" applyProtection="1">
      <alignment horizontal="center"/>
      <protection locked="0"/>
    </xf>
    <xf numFmtId="0" fontId="71" fillId="38" borderId="27" xfId="0" applyFont="1" applyFill="1" applyBorder="1"/>
    <xf numFmtId="205" fontId="15" fillId="0" borderId="0" xfId="0" applyNumberFormat="1" applyFont="1" applyAlignment="1">
      <alignment horizontal="center"/>
    </xf>
    <xf numFmtId="168" fontId="5" fillId="0" borderId="7" xfId="0" applyNumberFormat="1" applyFont="1" applyBorder="1" applyAlignment="1">
      <alignment horizontal="left" indent="1"/>
    </xf>
    <xf numFmtId="205" fontId="4" fillId="0" borderId="7" xfId="0" applyNumberFormat="1" applyFont="1" applyBorder="1" applyAlignment="1">
      <alignment horizontal="center"/>
    </xf>
    <xf numFmtId="206" fontId="3" fillId="0" borderId="0" xfId="2" applyNumberFormat="1" applyFont="1" applyFill="1" applyBorder="1" applyAlignment="1" applyProtection="1">
      <alignment horizontal="center"/>
    </xf>
    <xf numFmtId="0" fontId="11" fillId="38" borderId="0" xfId="3" applyFill="1" applyBorder="1" applyAlignment="1">
      <alignment horizontal="right"/>
    </xf>
    <xf numFmtId="0" fontId="71" fillId="38" borderId="2" xfId="0" applyFont="1" applyFill="1" applyBorder="1" applyAlignment="1">
      <alignment horizontal="center"/>
    </xf>
    <xf numFmtId="0" fontId="3" fillId="0" borderId="3" xfId="0" applyFont="1" applyBorder="1" applyAlignment="1" applyProtection="1">
      <alignment horizontal="center"/>
      <protection locked="0"/>
    </xf>
    <xf numFmtId="1" fontId="3" fillId="0" borderId="3" xfId="0" applyNumberFormat="1" applyFont="1" applyBorder="1" applyAlignment="1" applyProtection="1">
      <alignment horizontal="center"/>
      <protection locked="0"/>
    </xf>
    <xf numFmtId="205" fontId="3" fillId="0" borderId="3" xfId="0" applyNumberFormat="1" applyFont="1" applyBorder="1" applyAlignment="1" applyProtection="1">
      <alignment horizontal="center"/>
      <protection locked="0"/>
    </xf>
    <xf numFmtId="2" fontId="9" fillId="0" borderId="4" xfId="5" applyNumberFormat="1" applyFont="1" applyBorder="1" applyAlignment="1" applyProtection="1">
      <alignment horizontal="center" vertical="center"/>
    </xf>
    <xf numFmtId="0" fontId="11" fillId="38" borderId="0" xfId="3" applyFill="1" applyBorder="1" applyAlignment="1" applyProtection="1">
      <alignment horizontal="right"/>
    </xf>
    <xf numFmtId="195" fontId="3" fillId="0" borderId="0" xfId="0" applyNumberFormat="1" applyFont="1" applyProtection="1">
      <protection locked="0"/>
    </xf>
    <xf numFmtId="195" fontId="5" fillId="0" borderId="0" xfId="0" applyNumberFormat="1" applyFont="1" applyProtection="1">
      <protection locked="0"/>
    </xf>
    <xf numFmtId="49" fontId="4" fillId="0" borderId="22" xfId="0" applyNumberFormat="1" applyFont="1" applyBorder="1" applyAlignment="1">
      <alignment horizontal="center"/>
    </xf>
    <xf numFmtId="205" fontId="4" fillId="0" borderId="22" xfId="0" applyNumberFormat="1" applyFont="1" applyBorder="1" applyAlignment="1">
      <alignment horizontal="center"/>
    </xf>
    <xf numFmtId="10" fontId="3" fillId="0" borderId="0" xfId="2" applyNumberFormat="1" applyFont="1" applyFill="1" applyBorder="1" applyAlignment="1" applyProtection="1">
      <alignment horizontal="center"/>
    </xf>
    <xf numFmtId="182" fontId="3" fillId="0" borderId="0" xfId="2" applyNumberFormat="1" applyFont="1" applyAlignment="1" applyProtection="1">
      <alignment horizontal="center"/>
      <protection locked="0"/>
    </xf>
    <xf numFmtId="174" fontId="9" fillId="0" borderId="0" xfId="5" applyNumberFormat="1" applyFont="1" applyBorder="1" applyAlignment="1">
      <alignment horizontal="center" vertical="center"/>
      <protection locked="0"/>
    </xf>
    <xf numFmtId="168" fontId="12" fillId="0" borderId="0" xfId="5" applyNumberFormat="1" applyBorder="1" applyAlignment="1">
      <alignment horizontal="center" vertical="center"/>
      <protection locked="0"/>
    </xf>
    <xf numFmtId="168" fontId="3" fillId="0" borderId="0" xfId="0" applyNumberFormat="1" applyFont="1" applyAlignment="1" applyProtection="1">
      <alignment horizontal="center"/>
      <protection locked="0"/>
    </xf>
    <xf numFmtId="49" fontId="3" fillId="0" borderId="3" xfId="0" applyNumberFormat="1" applyFont="1" applyBorder="1" applyAlignment="1" applyProtection="1">
      <alignment horizontal="left" indent="1"/>
      <protection locked="0"/>
    </xf>
    <xf numFmtId="205" fontId="3" fillId="0" borderId="0" xfId="2" applyNumberFormat="1" applyFont="1" applyFill="1" applyBorder="1" applyAlignment="1" applyProtection="1">
      <alignment horizontal="center"/>
      <protection locked="0"/>
    </xf>
    <xf numFmtId="182" fontId="3" fillId="0" borderId="0" xfId="2" applyNumberFormat="1" applyFont="1" applyFill="1" applyBorder="1" applyAlignment="1" applyProtection="1">
      <alignment horizontal="center"/>
      <protection locked="0"/>
    </xf>
    <xf numFmtId="205" fontId="4" fillId="0" borderId="22" xfId="0" applyNumberFormat="1" applyFont="1" applyBorder="1" applyAlignment="1" applyProtection="1">
      <alignment horizontal="center"/>
      <protection locked="0"/>
    </xf>
    <xf numFmtId="168" fontId="4" fillId="0" borderId="0" xfId="0" applyNumberFormat="1" applyFont="1" applyAlignment="1" applyProtection="1">
      <alignment horizontal="center"/>
      <protection locked="0"/>
    </xf>
    <xf numFmtId="205" fontId="16" fillId="8" borderId="9" xfId="0" applyNumberFormat="1" applyFont="1" applyFill="1" applyBorder="1" applyAlignment="1" applyProtection="1">
      <alignment horizontal="center"/>
      <protection locked="0"/>
    </xf>
    <xf numFmtId="207" fontId="3" fillId="0" borderId="0" xfId="0" applyNumberFormat="1" applyFont="1" applyProtection="1">
      <protection locked="0"/>
    </xf>
    <xf numFmtId="10" fontId="12" fillId="0" borderId="0" xfId="2" applyNumberFormat="1" applyFont="1" applyFill="1" applyBorder="1" applyAlignment="1" applyProtection="1">
      <alignment horizontal="center" vertical="center"/>
    </xf>
    <xf numFmtId="10" fontId="3" fillId="0" borderId="0" xfId="2" applyNumberFormat="1" applyFont="1" applyProtection="1">
      <protection locked="0"/>
    </xf>
    <xf numFmtId="205" fontId="12" fillId="8" borderId="9" xfId="0" applyNumberFormat="1" applyFont="1" applyFill="1" applyBorder="1" applyAlignment="1" applyProtection="1">
      <alignment horizontal="center"/>
      <protection locked="0"/>
    </xf>
    <xf numFmtId="194" fontId="5" fillId="8" borderId="28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205" fontId="3" fillId="0" borderId="0" xfId="0" applyNumberFormat="1" applyFont="1" applyAlignment="1" applyProtection="1">
      <alignment horizontal="center"/>
      <protection locked="0"/>
    </xf>
    <xf numFmtId="168" fontId="4" fillId="41" borderId="3" xfId="0" applyNumberFormat="1" applyFont="1" applyFill="1" applyBorder="1" applyAlignment="1">
      <alignment horizontal="center"/>
    </xf>
    <xf numFmtId="205" fontId="4" fillId="41" borderId="3" xfId="0" applyNumberFormat="1" applyFont="1" applyFill="1" applyBorder="1" applyAlignment="1">
      <alignment horizontal="center"/>
    </xf>
    <xf numFmtId="0" fontId="69" fillId="38" borderId="0" xfId="3" applyFont="1" applyFill="1" applyBorder="1" applyAlignment="1" applyProtection="1"/>
    <xf numFmtId="0" fontId="3" fillId="41" borderId="3" xfId="0" applyFont="1" applyFill="1" applyBorder="1" applyAlignment="1" applyProtection="1">
      <alignment horizontal="left" indent="1"/>
      <protection locked="0"/>
    </xf>
    <xf numFmtId="168" fontId="17" fillId="50" borderId="0" xfId="0" applyNumberFormat="1" applyFont="1" applyFill="1" applyAlignment="1" applyProtection="1">
      <alignment horizontal="center"/>
      <protection locked="0"/>
    </xf>
    <xf numFmtId="10" fontId="17" fillId="41" borderId="3" xfId="2" applyNumberFormat="1" applyFont="1" applyFill="1" applyBorder="1" applyAlignment="1" applyProtection="1">
      <alignment horizontal="center"/>
      <protection locked="0"/>
    </xf>
    <xf numFmtId="2" fontId="17" fillId="0" borderId="0" xfId="0" applyNumberFormat="1" applyFont="1" applyAlignment="1" applyProtection="1">
      <alignment horizontal="center"/>
      <protection locked="0"/>
    </xf>
    <xf numFmtId="208" fontId="12" fillId="41" borderId="3" xfId="2" applyNumberFormat="1" applyFont="1" applyFill="1" applyBorder="1" applyAlignment="1" applyProtection="1">
      <alignment horizontal="center"/>
    </xf>
    <xf numFmtId="209" fontId="12" fillId="41" borderId="3" xfId="2" applyNumberFormat="1" applyFont="1" applyFill="1" applyBorder="1" applyAlignment="1" applyProtection="1">
      <alignment horizontal="center"/>
    </xf>
    <xf numFmtId="10" fontId="12" fillId="41" borderId="26" xfId="2" applyNumberFormat="1" applyFont="1" applyFill="1" applyBorder="1" applyAlignment="1" applyProtection="1">
      <alignment horizontal="center"/>
      <protection locked="0"/>
    </xf>
    <xf numFmtId="193" fontId="3" fillId="41" borderId="29" xfId="0" applyNumberFormat="1" applyFont="1" applyFill="1" applyBorder="1" applyAlignment="1" applyProtection="1">
      <alignment horizontal="center"/>
      <protection locked="0"/>
    </xf>
    <xf numFmtId="193" fontId="3" fillId="0" borderId="3" xfId="0" applyNumberFormat="1" applyFont="1" applyBorder="1" applyAlignment="1" applyProtection="1">
      <alignment horizontal="center"/>
      <protection locked="0"/>
    </xf>
    <xf numFmtId="10" fontId="3" fillId="0" borderId="0" xfId="2" applyNumberFormat="1" applyFont="1" applyFill="1" applyAlignment="1" applyProtection="1">
      <alignment horizontal="center"/>
    </xf>
    <xf numFmtId="193" fontId="3" fillId="0" borderId="30" xfId="0" applyNumberFormat="1" applyFont="1" applyBorder="1" applyAlignment="1" applyProtection="1">
      <alignment horizontal="center"/>
      <protection locked="0"/>
    </xf>
    <xf numFmtId="209" fontId="3" fillId="0" borderId="0" xfId="2" applyNumberFormat="1" applyFont="1" applyFill="1" applyBorder="1" applyAlignment="1" applyProtection="1">
      <alignment horizontal="center"/>
      <protection locked="0"/>
    </xf>
    <xf numFmtId="210" fontId="0" fillId="39" borderId="4" xfId="0" applyNumberFormat="1" applyFill="1" applyBorder="1" applyAlignment="1">
      <alignment wrapText="1"/>
    </xf>
    <xf numFmtId="198" fontId="12" fillId="0" borderId="0" xfId="0" applyNumberFormat="1" applyFont="1" applyAlignment="1">
      <alignment horizontal="center"/>
    </xf>
    <xf numFmtId="0" fontId="71" fillId="38" borderId="2" xfId="0" applyFont="1" applyFill="1" applyBorder="1" applyAlignment="1">
      <alignment horizontal="center"/>
    </xf>
  </cellXfs>
  <cellStyles count="264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ue" xfId="66" xr:uid="{00000000-0005-0000-0000-000039000000}"/>
    <cellStyle name="Calcs_Divider" xfId="244" xr:uid="{00000000-0005-0000-0000-00003A000000}"/>
    <cellStyle name="Calculation 2" xfId="67" xr:uid="{00000000-0005-0000-0000-00003B000000}"/>
    <cellStyle name="Check" xfId="245" xr:uid="{00000000-0005-0000-0000-00003C000000}"/>
    <cellStyle name="Check Cell 2" xfId="68" xr:uid="{00000000-0005-0000-0000-00003D000000}"/>
    <cellStyle name="Column_Heading_1" xfId="246" xr:uid="{00000000-0005-0000-0000-00003E000000}"/>
    <cellStyle name="Comma" xfId="6" builtinId="3"/>
    <cellStyle name="Comma [0]7Z_87C" xfId="69" xr:uid="{00000000-0005-0000-0000-000040000000}"/>
    <cellStyle name="Comma 0" xfId="70" xr:uid="{00000000-0005-0000-0000-000041000000}"/>
    <cellStyle name="Comma 1" xfId="71" xr:uid="{00000000-0005-0000-0000-000042000000}"/>
    <cellStyle name="Comma 1 2" xfId="72" xr:uid="{00000000-0005-0000-0000-000043000000}"/>
    <cellStyle name="Comma 2" xfId="8" xr:uid="{00000000-0005-0000-0000-000044000000}"/>
    <cellStyle name="Comma 2 2" xfId="73" xr:uid="{00000000-0005-0000-0000-000045000000}"/>
    <cellStyle name="Comma 2 3" xfId="74" xr:uid="{00000000-0005-0000-0000-000046000000}"/>
    <cellStyle name="Comma 2 3 2" xfId="75" xr:uid="{00000000-0005-0000-0000-000047000000}"/>
    <cellStyle name="Comma 2 4" xfId="76" xr:uid="{00000000-0005-0000-0000-000048000000}"/>
    <cellStyle name="Comma 2 5" xfId="77" xr:uid="{00000000-0005-0000-0000-000049000000}"/>
    <cellStyle name="Comma 3" xfId="78" xr:uid="{00000000-0005-0000-0000-00004A000000}"/>
    <cellStyle name="Comma 3 2" xfId="79" xr:uid="{00000000-0005-0000-0000-00004B000000}"/>
    <cellStyle name="Comma 3 3" xfId="80" xr:uid="{00000000-0005-0000-0000-00004C000000}"/>
    <cellStyle name="Comma 4" xfId="81" xr:uid="{00000000-0005-0000-0000-00004D000000}"/>
    <cellStyle name="Comma 5" xfId="82" xr:uid="{00000000-0005-0000-0000-00004E000000}"/>
    <cellStyle name="Comma 6" xfId="83" xr:uid="{00000000-0005-0000-0000-00004F000000}"/>
    <cellStyle name="Comma 7" xfId="84" xr:uid="{00000000-0005-0000-0000-000050000000}"/>
    <cellStyle name="Comma 8" xfId="85" xr:uid="{00000000-0005-0000-0000-000051000000}"/>
    <cellStyle name="Comma0" xfId="86" xr:uid="{00000000-0005-0000-0000-000052000000}"/>
    <cellStyle name="Currency 11" xfId="87" xr:uid="{00000000-0005-0000-0000-000053000000}"/>
    <cellStyle name="Currency 11 2" xfId="88" xr:uid="{00000000-0005-0000-0000-000054000000}"/>
    <cellStyle name="Currency 2" xfId="89" xr:uid="{00000000-0005-0000-0000-000055000000}"/>
    <cellStyle name="Currency 2 2" xfId="90" xr:uid="{00000000-0005-0000-0000-000056000000}"/>
    <cellStyle name="Currency 3" xfId="91" xr:uid="{00000000-0005-0000-0000-000057000000}"/>
    <cellStyle name="Currency 3 2" xfId="92" xr:uid="{00000000-0005-0000-0000-000058000000}"/>
    <cellStyle name="Currency 4" xfId="93" xr:uid="{00000000-0005-0000-0000-000059000000}"/>
    <cellStyle name="Currency 4 2" xfId="94" xr:uid="{00000000-0005-0000-0000-00005A000000}"/>
    <cellStyle name="Currency 5" xfId="243" xr:uid="{00000000-0005-0000-0000-00005B000000}"/>
    <cellStyle name="D4_B8B1_005004B79812_.wvu.PrintTitlest" xfId="95" xr:uid="{00000000-0005-0000-0000-00005C000000}"/>
    <cellStyle name="Date" xfId="96" xr:uid="{00000000-0005-0000-0000-00005D000000}"/>
    <cellStyle name="Date 2" xfId="97" xr:uid="{00000000-0005-0000-0000-00005E000000}"/>
    <cellStyle name="Emphasis 1" xfId="98" xr:uid="{00000000-0005-0000-0000-00005F000000}"/>
    <cellStyle name="Emphasis 2" xfId="99" xr:uid="{00000000-0005-0000-0000-000060000000}"/>
    <cellStyle name="Emphasis 3" xfId="100" xr:uid="{00000000-0005-0000-0000-000061000000}"/>
    <cellStyle name="Empty_Cell" xfId="247" xr:uid="{00000000-0005-0000-0000-000062000000}"/>
    <cellStyle name="Euro" xfId="101" xr:uid="{00000000-0005-0000-0000-000063000000}"/>
    <cellStyle name="Explanatory Text 2" xfId="102" xr:uid="{00000000-0005-0000-0000-000064000000}"/>
    <cellStyle name="Fixed" xfId="103" xr:uid="{00000000-0005-0000-0000-000065000000}"/>
    <cellStyle name="Fixed 2" xfId="104" xr:uid="{00000000-0005-0000-0000-000066000000}"/>
    <cellStyle name="Gilsans" xfId="105" xr:uid="{00000000-0005-0000-0000-000067000000}"/>
    <cellStyle name="Gilsansl" xfId="106" xr:uid="{00000000-0005-0000-0000-000068000000}"/>
    <cellStyle name="Good 2" xfId="107" xr:uid="{00000000-0005-0000-0000-000069000000}"/>
    <cellStyle name="Header1" xfId="248" xr:uid="{00000000-0005-0000-0000-00006A000000}"/>
    <cellStyle name="Header2" xfId="249" xr:uid="{00000000-0005-0000-0000-00006B000000}"/>
    <cellStyle name="Header3" xfId="250" xr:uid="{00000000-0005-0000-0000-00006C000000}"/>
    <cellStyle name="Header4" xfId="251" xr:uid="{00000000-0005-0000-0000-00006D000000}"/>
    <cellStyle name="Header5" xfId="252" xr:uid="{00000000-0005-0000-0000-00006E000000}"/>
    <cellStyle name="Heading 1 2" xfId="108" xr:uid="{00000000-0005-0000-0000-00006F000000}"/>
    <cellStyle name="Heading 1 2 2" xfId="109" xr:uid="{00000000-0005-0000-0000-000070000000}"/>
    <cellStyle name="Heading 1 3" xfId="110" xr:uid="{00000000-0005-0000-0000-000071000000}"/>
    <cellStyle name="Heading 2 2" xfId="111" xr:uid="{00000000-0005-0000-0000-000072000000}"/>
    <cellStyle name="Heading 2 2 2" xfId="112" xr:uid="{00000000-0005-0000-0000-000073000000}"/>
    <cellStyle name="Heading 2 3" xfId="113" xr:uid="{00000000-0005-0000-0000-000074000000}"/>
    <cellStyle name="Heading 3 2" xfId="114" xr:uid="{00000000-0005-0000-0000-000075000000}"/>
    <cellStyle name="Heading 3 2 2" xfId="115" xr:uid="{00000000-0005-0000-0000-000076000000}"/>
    <cellStyle name="Heading 3 3" xfId="116" xr:uid="{00000000-0005-0000-0000-000077000000}"/>
    <cellStyle name="Heading 4 2" xfId="117" xr:uid="{00000000-0005-0000-0000-000078000000}"/>
    <cellStyle name="Heading 4 2 2" xfId="118" xr:uid="{00000000-0005-0000-0000-000079000000}"/>
    <cellStyle name="Heading 4 3" xfId="119" xr:uid="{00000000-0005-0000-0000-00007A000000}"/>
    <cellStyle name="Heading(4)" xfId="120" xr:uid="{00000000-0005-0000-0000-00007B000000}"/>
    <cellStyle name="Hyperlink" xfId="3" builtinId="8"/>
    <cellStyle name="Hyperlink 2" xfId="121" xr:uid="{00000000-0005-0000-0000-00007D000000}"/>
    <cellStyle name="Hyperlink Arrow" xfId="122" xr:uid="{00000000-0005-0000-0000-00007E000000}"/>
    <cellStyle name="Hyperlink Text" xfId="123" xr:uid="{00000000-0005-0000-0000-00007F000000}"/>
    <cellStyle name="Input 2" xfId="124" xr:uid="{00000000-0005-0000-0000-000080000000}"/>
    <cellStyle name="Input|Date" xfId="1" xr:uid="{00000000-0005-0000-0000-000081000000}"/>
    <cellStyle name="Input1" xfId="125" xr:uid="{00000000-0005-0000-0000-000082000000}"/>
    <cellStyle name="Input1 2" xfId="126" xr:uid="{00000000-0005-0000-0000-000083000000}"/>
    <cellStyle name="Input2" xfId="127" xr:uid="{00000000-0005-0000-0000-000084000000}"/>
    <cellStyle name="Input2 2" xfId="128" xr:uid="{00000000-0005-0000-0000-000085000000}"/>
    <cellStyle name="Input3" xfId="129" xr:uid="{00000000-0005-0000-0000-000086000000}"/>
    <cellStyle name="Input3 2" xfId="130" xr:uid="{00000000-0005-0000-0000-000087000000}"/>
    <cellStyle name="Inputs_Divider" xfId="253" xr:uid="{00000000-0005-0000-0000-000088000000}"/>
    <cellStyle name="InSheet" xfId="254" xr:uid="{00000000-0005-0000-0000-000089000000}"/>
    <cellStyle name="Lines" xfId="131" xr:uid="{00000000-0005-0000-0000-00008A000000}"/>
    <cellStyle name="Linked Cell 2" xfId="132" xr:uid="{00000000-0005-0000-0000-00008B000000}"/>
    <cellStyle name="Mine" xfId="133" xr:uid="{00000000-0005-0000-0000-00008C000000}"/>
    <cellStyle name="Model Name" xfId="134" xr:uid="{00000000-0005-0000-0000-00008D000000}"/>
    <cellStyle name="Neutral 2" xfId="135" xr:uid="{00000000-0005-0000-0000-00008E000000}"/>
    <cellStyle name="Normal" xfId="0" builtinId="0"/>
    <cellStyle name="Normal - Style1" xfId="136" xr:uid="{00000000-0005-0000-0000-000090000000}"/>
    <cellStyle name="Normal 10" xfId="241" xr:uid="{00000000-0005-0000-0000-000091000000}"/>
    <cellStyle name="Normal 13" xfId="137" xr:uid="{00000000-0005-0000-0000-000092000000}"/>
    <cellStyle name="Normal 13 2" xfId="7" xr:uid="{00000000-0005-0000-0000-000093000000}"/>
    <cellStyle name="Normal 13_29(d) - Gas extensions -tariffs" xfId="138" xr:uid="{00000000-0005-0000-0000-000094000000}"/>
    <cellStyle name="Normal 15" xfId="139" xr:uid="{00000000-0005-0000-0000-000095000000}"/>
    <cellStyle name="Normal 16" xfId="140" xr:uid="{00000000-0005-0000-0000-000096000000}"/>
    <cellStyle name="Normal 2" xfId="141" xr:uid="{00000000-0005-0000-0000-000097000000}"/>
    <cellStyle name="Normal 2 2" xfId="142" xr:uid="{00000000-0005-0000-0000-000098000000}"/>
    <cellStyle name="Normal 2 2 2" xfId="143" xr:uid="{00000000-0005-0000-0000-000099000000}"/>
    <cellStyle name="Normal 2 3" xfId="144" xr:uid="{00000000-0005-0000-0000-00009A000000}"/>
    <cellStyle name="Normal 2 3 2" xfId="145" xr:uid="{00000000-0005-0000-0000-00009B000000}"/>
    <cellStyle name="Normal 2 3_29(d) - Gas extensions -tariffs" xfId="146" xr:uid="{00000000-0005-0000-0000-00009C000000}"/>
    <cellStyle name="Normal 2 4" xfId="147" xr:uid="{00000000-0005-0000-0000-00009D000000}"/>
    <cellStyle name="Normal 2 5" xfId="148" xr:uid="{00000000-0005-0000-0000-00009E000000}"/>
    <cellStyle name="Normal 2_29(d) - Gas extensions -tariffs" xfId="149" xr:uid="{00000000-0005-0000-0000-00009F000000}"/>
    <cellStyle name="Normal 3" xfId="150" xr:uid="{00000000-0005-0000-0000-0000A0000000}"/>
    <cellStyle name="Normal 3 2" xfId="151" xr:uid="{00000000-0005-0000-0000-0000A1000000}"/>
    <cellStyle name="Normal 3_29(d) - Gas extensions -tariffs" xfId="152" xr:uid="{00000000-0005-0000-0000-0000A2000000}"/>
    <cellStyle name="Normal 38" xfId="153" xr:uid="{00000000-0005-0000-0000-0000A3000000}"/>
    <cellStyle name="Normal 38 2" xfId="154" xr:uid="{00000000-0005-0000-0000-0000A4000000}"/>
    <cellStyle name="Normal 38_29(d) - Gas extensions -tariffs" xfId="155" xr:uid="{00000000-0005-0000-0000-0000A5000000}"/>
    <cellStyle name="Normal 4" xfId="156" xr:uid="{00000000-0005-0000-0000-0000A6000000}"/>
    <cellStyle name="Normal 4 2" xfId="157" xr:uid="{00000000-0005-0000-0000-0000A7000000}"/>
    <cellStyle name="Normal 4 3" xfId="158" xr:uid="{00000000-0005-0000-0000-0000A8000000}"/>
    <cellStyle name="Normal 4_29(d) - Gas extensions -tariffs" xfId="159" xr:uid="{00000000-0005-0000-0000-0000A9000000}"/>
    <cellStyle name="Normal 40" xfId="160" xr:uid="{00000000-0005-0000-0000-0000AA000000}"/>
    <cellStyle name="Normal 40 2" xfId="161" xr:uid="{00000000-0005-0000-0000-0000AB000000}"/>
    <cellStyle name="Normal 40_29(d) - Gas extensions -tariffs" xfId="162" xr:uid="{00000000-0005-0000-0000-0000AC000000}"/>
    <cellStyle name="Normal 5" xfId="163" xr:uid="{00000000-0005-0000-0000-0000AD000000}"/>
    <cellStyle name="Normal 5 2" xfId="164" xr:uid="{00000000-0005-0000-0000-0000AE000000}"/>
    <cellStyle name="Normal 6" xfId="165" xr:uid="{00000000-0005-0000-0000-0000AF000000}"/>
    <cellStyle name="Normal 6 2" xfId="166" xr:uid="{00000000-0005-0000-0000-0000B0000000}"/>
    <cellStyle name="Normal 7" xfId="9" xr:uid="{00000000-0005-0000-0000-0000B1000000}"/>
    <cellStyle name="Normal 7 2" xfId="167" xr:uid="{00000000-0005-0000-0000-0000B2000000}"/>
    <cellStyle name="Normal 8" xfId="168" xr:uid="{00000000-0005-0000-0000-0000B3000000}"/>
    <cellStyle name="Normal 9" xfId="169" xr:uid="{00000000-0005-0000-0000-0000B4000000}"/>
    <cellStyle name="Note 2" xfId="170" xr:uid="{00000000-0005-0000-0000-0000B5000000}"/>
    <cellStyle name="OffSheet" xfId="255" xr:uid="{00000000-0005-0000-0000-0000B6000000}"/>
    <cellStyle name="Output 2" xfId="171" xr:uid="{00000000-0005-0000-0000-0000B7000000}"/>
    <cellStyle name="Percent" xfId="2" builtinId="5"/>
    <cellStyle name="Percent [2]" xfId="172" xr:uid="{00000000-0005-0000-0000-0000B9000000}"/>
    <cellStyle name="Percent [2] 2" xfId="173" xr:uid="{00000000-0005-0000-0000-0000BA000000}"/>
    <cellStyle name="Percent [2]_29(d) - Gas extensions -tariffs" xfId="174" xr:uid="{00000000-0005-0000-0000-0000BB000000}"/>
    <cellStyle name="Percent 2" xfId="4" xr:uid="{00000000-0005-0000-0000-0000BC000000}"/>
    <cellStyle name="Percent 2 2" xfId="175" xr:uid="{00000000-0005-0000-0000-0000BD000000}"/>
    <cellStyle name="Percent 3" xfId="176" xr:uid="{00000000-0005-0000-0000-0000BE000000}"/>
    <cellStyle name="Percent 3 2" xfId="177" xr:uid="{00000000-0005-0000-0000-0000BF000000}"/>
    <cellStyle name="Percent 4" xfId="178" xr:uid="{00000000-0005-0000-0000-0000C0000000}"/>
    <cellStyle name="Percent 5" xfId="242" xr:uid="{00000000-0005-0000-0000-0000C1000000}"/>
    <cellStyle name="Percent 7" xfId="179" xr:uid="{00000000-0005-0000-0000-0000C2000000}"/>
    <cellStyle name="Percentage" xfId="180" xr:uid="{00000000-0005-0000-0000-0000C3000000}"/>
    <cellStyle name="Period Title" xfId="181" xr:uid="{00000000-0005-0000-0000-0000C4000000}"/>
    <cellStyle name="PSChar" xfId="182" xr:uid="{00000000-0005-0000-0000-0000C5000000}"/>
    <cellStyle name="PSDate" xfId="183" xr:uid="{00000000-0005-0000-0000-0000C6000000}"/>
    <cellStyle name="PSDec" xfId="184" xr:uid="{00000000-0005-0000-0000-0000C7000000}"/>
    <cellStyle name="PSDetail" xfId="185" xr:uid="{00000000-0005-0000-0000-0000C8000000}"/>
    <cellStyle name="PSHeading" xfId="186" xr:uid="{00000000-0005-0000-0000-0000C9000000}"/>
    <cellStyle name="PSInt" xfId="187" xr:uid="{00000000-0005-0000-0000-0000CA000000}"/>
    <cellStyle name="PSSpacer" xfId="188" xr:uid="{00000000-0005-0000-0000-0000CB000000}"/>
    <cellStyle name="Ratio" xfId="189" xr:uid="{00000000-0005-0000-0000-0000CC000000}"/>
    <cellStyle name="Ratio 2" xfId="190" xr:uid="{00000000-0005-0000-0000-0000CD000000}"/>
    <cellStyle name="Ratio_29(d) - Gas extensions -tariffs" xfId="191" xr:uid="{00000000-0005-0000-0000-0000CE000000}"/>
    <cellStyle name="Right Date" xfId="192" xr:uid="{00000000-0005-0000-0000-0000CF000000}"/>
    <cellStyle name="Right Number" xfId="193" xr:uid="{00000000-0005-0000-0000-0000D0000000}"/>
    <cellStyle name="Right Year" xfId="194" xr:uid="{00000000-0005-0000-0000-0000D1000000}"/>
    <cellStyle name="SAPError" xfId="195" xr:uid="{00000000-0005-0000-0000-0000D2000000}"/>
    <cellStyle name="SAPError 2" xfId="196" xr:uid="{00000000-0005-0000-0000-0000D3000000}"/>
    <cellStyle name="SAPKey" xfId="197" xr:uid="{00000000-0005-0000-0000-0000D4000000}"/>
    <cellStyle name="SAPKey 2" xfId="198" xr:uid="{00000000-0005-0000-0000-0000D5000000}"/>
    <cellStyle name="SAPLocked" xfId="199" xr:uid="{00000000-0005-0000-0000-0000D6000000}"/>
    <cellStyle name="SAPLocked 2" xfId="200" xr:uid="{00000000-0005-0000-0000-0000D7000000}"/>
    <cellStyle name="SAPOutput" xfId="201" xr:uid="{00000000-0005-0000-0000-0000D8000000}"/>
    <cellStyle name="SAPOutput 2" xfId="202" xr:uid="{00000000-0005-0000-0000-0000D9000000}"/>
    <cellStyle name="SAPSpace" xfId="203" xr:uid="{00000000-0005-0000-0000-0000DA000000}"/>
    <cellStyle name="SAPSpace 2" xfId="204" xr:uid="{00000000-0005-0000-0000-0000DB000000}"/>
    <cellStyle name="SAPText" xfId="205" xr:uid="{00000000-0005-0000-0000-0000DC000000}"/>
    <cellStyle name="SAPText 2" xfId="206" xr:uid="{00000000-0005-0000-0000-0000DD000000}"/>
    <cellStyle name="SAPUnLocked" xfId="207" xr:uid="{00000000-0005-0000-0000-0000DE000000}"/>
    <cellStyle name="SAPUnLocked 2" xfId="208" xr:uid="{00000000-0005-0000-0000-0000DF000000}"/>
    <cellStyle name="Sheet Title" xfId="209" xr:uid="{00000000-0005-0000-0000-0000E0000000}"/>
    <cellStyle name="SheetHeader1" xfId="256" xr:uid="{00000000-0005-0000-0000-0000E1000000}"/>
    <cellStyle name="SheetHeader2" xfId="257" xr:uid="{00000000-0005-0000-0000-0000E2000000}"/>
    <cellStyle name="SheetHeader3" xfId="258" xr:uid="{00000000-0005-0000-0000-0000E3000000}"/>
    <cellStyle name="Style 1" xfId="210" xr:uid="{00000000-0005-0000-0000-0000E4000000}"/>
    <cellStyle name="Style 1 2" xfId="211" xr:uid="{00000000-0005-0000-0000-0000E5000000}"/>
    <cellStyle name="Style 1_29(d) - Gas extensions -tariffs" xfId="212" xr:uid="{00000000-0005-0000-0000-0000E6000000}"/>
    <cellStyle name="Style2" xfId="213" xr:uid="{00000000-0005-0000-0000-0000E7000000}"/>
    <cellStyle name="Style3" xfId="214" xr:uid="{00000000-0005-0000-0000-0000E8000000}"/>
    <cellStyle name="Style4" xfId="215" xr:uid="{00000000-0005-0000-0000-0000E9000000}"/>
    <cellStyle name="Style4 2" xfId="216" xr:uid="{00000000-0005-0000-0000-0000EA000000}"/>
    <cellStyle name="Style4_29(d) - Gas extensions -tariffs" xfId="217" xr:uid="{00000000-0005-0000-0000-0000EB000000}"/>
    <cellStyle name="Style5" xfId="218" xr:uid="{00000000-0005-0000-0000-0000EC000000}"/>
    <cellStyle name="Style5 2" xfId="219" xr:uid="{00000000-0005-0000-0000-0000ED000000}"/>
    <cellStyle name="Style5_29(d) - Gas extensions -tariffs" xfId="220" xr:uid="{00000000-0005-0000-0000-0000EE000000}"/>
    <cellStyle name="Table Head Green" xfId="221" xr:uid="{00000000-0005-0000-0000-0000EF000000}"/>
    <cellStyle name="Table Head_pldt" xfId="222" xr:uid="{00000000-0005-0000-0000-0000F0000000}"/>
    <cellStyle name="Table Source" xfId="223" xr:uid="{00000000-0005-0000-0000-0000F1000000}"/>
    <cellStyle name="Table Units" xfId="224" xr:uid="{00000000-0005-0000-0000-0000F2000000}"/>
    <cellStyle name="Table_Heading" xfId="259" xr:uid="{00000000-0005-0000-0000-0000F3000000}"/>
    <cellStyle name="Technical_Input" xfId="260" xr:uid="{00000000-0005-0000-0000-0000F4000000}"/>
    <cellStyle name="Text" xfId="225" xr:uid="{00000000-0005-0000-0000-0000F5000000}"/>
    <cellStyle name="Text 2" xfId="226" xr:uid="{00000000-0005-0000-0000-0000F6000000}"/>
    <cellStyle name="Text 3" xfId="227" xr:uid="{00000000-0005-0000-0000-0000F7000000}"/>
    <cellStyle name="Text Head 1" xfId="228" xr:uid="{00000000-0005-0000-0000-0000F8000000}"/>
    <cellStyle name="Text Head 2" xfId="229" xr:uid="{00000000-0005-0000-0000-0000F9000000}"/>
    <cellStyle name="Text Indent 2" xfId="230" xr:uid="{00000000-0005-0000-0000-0000FA000000}"/>
    <cellStyle name="Theirs" xfId="231" xr:uid="{00000000-0005-0000-0000-0000FB000000}"/>
    <cellStyle name="Title 2" xfId="232" xr:uid="{00000000-0005-0000-0000-0000FC000000}"/>
    <cellStyle name="TOC 1" xfId="233" xr:uid="{00000000-0005-0000-0000-0000FD000000}"/>
    <cellStyle name="TOC 2" xfId="234" xr:uid="{00000000-0005-0000-0000-0000FE000000}"/>
    <cellStyle name="TOC 3" xfId="235" xr:uid="{00000000-0005-0000-0000-0000FF000000}"/>
    <cellStyle name="Total 2" xfId="236" xr:uid="{00000000-0005-0000-0000-000000010000}"/>
    <cellStyle name="Totals" xfId="261" xr:uid="{00000000-0005-0000-0000-000001010000}"/>
    <cellStyle name="unit" xfId="262" xr:uid="{00000000-0005-0000-0000-000002010000}"/>
    <cellStyle name="User_Input" xfId="263" xr:uid="{00000000-0005-0000-0000-000003010000}"/>
    <cellStyle name="Warning Text 2" xfId="237" xr:uid="{00000000-0005-0000-0000-000004010000}"/>
    <cellStyle name="year" xfId="238" xr:uid="{00000000-0005-0000-0000-000005010000}"/>
    <cellStyle name="year 2" xfId="239" xr:uid="{00000000-0005-0000-0000-000006010000}"/>
    <cellStyle name="year_29(d) - Gas extensions -tariffs" xfId="240" xr:uid="{00000000-0005-0000-0000-000007010000}"/>
  </cellStyles>
  <dxfs count="19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5F1"/>
      <color rgb="FFDAEEF3"/>
      <color rgb="FF006100"/>
      <color rgb="FFC6EFCE"/>
      <color rgb="FF9C0006"/>
      <color rgb="FFFFFF99"/>
      <color rgb="FFFFFFCC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GX%20PTRM%20Final%20AER%20vers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DMIAM"/>
      <sheetName val="Debt Raising Costs"/>
      <sheetName val="Equity raising costs"/>
      <sheetName val="Chart 1-Revenue"/>
      <sheetName val="Chart 2-Price path"/>
      <sheetName val="Chart 3-Building blo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40">
          <cell r="G340">
            <v>7.8133949690090327</v>
          </cell>
          <cell r="H340">
            <v>7.8492819787972303</v>
          </cell>
          <cell r="I340">
            <v>7.8850680771149397</v>
          </cell>
          <cell r="J340">
            <v>7.887688229016101</v>
          </cell>
          <cell r="K340">
            <v>7.8796327627300391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D39"/>
  <sheetViews>
    <sheetView showGridLines="0" workbookViewId="0">
      <selection activeCell="C14" sqref="C14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30" s="1" customFormat="1" ht="15.75" customHeight="1">
      <c r="A1" s="32"/>
      <c r="B1" s="29" t="s">
        <v>0</v>
      </c>
      <c r="C1" s="29"/>
      <c r="D1" s="32"/>
      <c r="E1" s="32"/>
      <c r="G1" s="2"/>
      <c r="H1" s="3"/>
      <c r="I1" s="4"/>
    </row>
    <row r="2" spans="1:30" s="5" customFormat="1" ht="13.5" customHeight="1" thickBot="1">
      <c r="A2" s="36"/>
      <c r="B2" s="35" t="s">
        <v>1</v>
      </c>
      <c r="C2" s="35"/>
      <c r="D2" s="36"/>
      <c r="E2" s="36"/>
    </row>
    <row r="3" spans="1:30" s="6" customFormat="1" ht="3" customHeight="1"/>
    <row r="4" spans="1:30" customFormat="1" ht="12.75">
      <c r="A4" s="37"/>
      <c r="B4" s="43" t="s">
        <v>2</v>
      </c>
      <c r="C4" s="37"/>
      <c r="D4" s="37"/>
      <c r="E4" s="37"/>
      <c r="F4" s="38"/>
      <c r="G4" s="38"/>
      <c r="H4" s="38"/>
      <c r="I4" s="38"/>
      <c r="J4" s="39"/>
      <c r="K4" s="40"/>
      <c r="L4" s="39"/>
      <c r="M4" s="40"/>
      <c r="N4" s="39"/>
      <c r="O4" s="39"/>
      <c r="P4" s="39"/>
      <c r="Q4" s="39"/>
      <c r="R4" s="39"/>
      <c r="S4" s="39"/>
      <c r="T4" s="39"/>
      <c r="U4" s="39"/>
      <c r="V4" s="40"/>
      <c r="W4" s="40"/>
      <c r="X4" s="41"/>
      <c r="Y4" s="41"/>
      <c r="Z4" s="41"/>
      <c r="AA4" s="41"/>
      <c r="AB4" s="41"/>
      <c r="AC4" s="42"/>
      <c r="AD4" s="42"/>
    </row>
    <row r="5" spans="1:30"/>
    <row r="6" spans="1:30">
      <c r="C6" s="9" t="s">
        <v>3</v>
      </c>
      <c r="D6" s="9" t="s">
        <v>4</v>
      </c>
    </row>
    <row r="7" spans="1:30">
      <c r="C7" s="19" t="s">
        <v>5</v>
      </c>
      <c r="D7" s="7" t="s">
        <v>6</v>
      </c>
    </row>
    <row r="8" spans="1:30">
      <c r="C8" s="19" t="s">
        <v>7</v>
      </c>
      <c r="D8" s="7" t="s">
        <v>8</v>
      </c>
    </row>
    <row r="9" spans="1:30">
      <c r="C9" s="19" t="s">
        <v>9</v>
      </c>
      <c r="D9" s="7" t="s">
        <v>10</v>
      </c>
    </row>
    <row r="10" spans="1:30">
      <c r="C10" s="19" t="s">
        <v>11</v>
      </c>
      <c r="D10" s="7" t="s">
        <v>12</v>
      </c>
    </row>
    <row r="11" spans="1:30">
      <c r="C11" s="19" t="s">
        <v>13</v>
      </c>
      <c r="D11" s="7" t="s">
        <v>14</v>
      </c>
    </row>
    <row r="12" spans="1:30">
      <c r="C12" s="19" t="s">
        <v>15</v>
      </c>
      <c r="D12" s="7" t="s">
        <v>16</v>
      </c>
    </row>
    <row r="13" spans="1:30">
      <c r="C13" s="19" t="s">
        <v>17</v>
      </c>
      <c r="D13" s="7" t="s">
        <v>18</v>
      </c>
    </row>
    <row r="14" spans="1:30">
      <c r="C14" s="19" t="s">
        <v>19</v>
      </c>
      <c r="D14" s="7" t="s">
        <v>20</v>
      </c>
    </row>
    <row r="15" spans="1:30">
      <c r="C15" s="19" t="s">
        <v>21</v>
      </c>
      <c r="D15" s="7" t="s">
        <v>22</v>
      </c>
    </row>
    <row r="16" spans="1:30" ht="12.75">
      <c r="C16" s="10"/>
      <c r="D16" s="7"/>
    </row>
    <row r="17" spans="1:30" customFormat="1" ht="12.75">
      <c r="A17" s="37"/>
      <c r="B17" s="43" t="s">
        <v>23</v>
      </c>
      <c r="C17" s="37"/>
      <c r="D17" s="37"/>
      <c r="E17" s="37"/>
      <c r="F17" s="38"/>
      <c r="G17" s="38"/>
      <c r="H17" s="38"/>
      <c r="I17" s="38"/>
      <c r="J17" s="39"/>
      <c r="K17" s="40"/>
      <c r="L17" s="39"/>
      <c r="M17" s="40"/>
      <c r="N17" s="39"/>
      <c r="O17" s="39"/>
      <c r="P17" s="39"/>
      <c r="Q17" s="39"/>
      <c r="R17" s="39"/>
      <c r="S17" s="39"/>
      <c r="T17" s="39"/>
      <c r="U17" s="39"/>
      <c r="V17" s="40"/>
      <c r="W17" s="40"/>
      <c r="X17" s="41"/>
      <c r="Y17" s="41"/>
      <c r="Z17" s="41"/>
      <c r="AA17" s="41"/>
      <c r="AB17" s="41"/>
      <c r="AC17" s="42"/>
      <c r="AD17" s="42"/>
    </row>
    <row r="18" spans="1:30" hidden="1">
      <c r="D18" s="7"/>
      <c r="F18" s="25"/>
    </row>
    <row r="19" spans="1:30" hidden="1">
      <c r="D19" s="7"/>
      <c r="F19" s="25"/>
    </row>
    <row r="20" spans="1:30" hidden="1">
      <c r="D20" s="7"/>
      <c r="F20" s="25"/>
    </row>
    <row r="21" spans="1:30" hidden="1">
      <c r="D21" s="7"/>
      <c r="F21" s="25"/>
    </row>
    <row r="22" spans="1:30" hidden="1">
      <c r="D22" s="7"/>
      <c r="F22" s="25"/>
    </row>
    <row r="23" spans="1:30" hidden="1">
      <c r="C23" s="7"/>
      <c r="D23" s="7"/>
      <c r="F23" s="25"/>
    </row>
    <row r="24" spans="1:30" hidden="1">
      <c r="C24" s="7"/>
      <c r="D24" s="7"/>
      <c r="F24" s="25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2.75" hidden="1">
      <c r="C31" s="10"/>
      <c r="D31" s="7"/>
    </row>
    <row r="33"/>
    <row r="34"/>
    <row r="35"/>
    <row r="36"/>
    <row r="37"/>
    <row r="38"/>
    <row r="39"/>
  </sheetData>
  <hyperlinks>
    <hyperlink ref="C12" location="'Calc|Opex forecast_final'!A1" display="Calc | Opex Forecast_final" xr:uid="{00000000-0004-0000-0000-000000000000}"/>
    <hyperlink ref="C7" location="'Input|General'!A1" display="Input | General" xr:uid="{00000000-0004-0000-0000-000001000000}"/>
    <hyperlink ref="C9" location="'Input|Reported opex'!A1" display="Input | Reported opex" xr:uid="{00000000-0004-0000-0000-000002000000}"/>
    <hyperlink ref="C10" location="'Input|Rate of change_final'!A1" display="Input | Rate of change_final" xr:uid="{00000000-0004-0000-0000-000003000000}"/>
    <hyperlink ref="C8" location="'Input|Inflation'!A1" display="Input | Inflation" xr:uid="{00000000-0004-0000-0000-000004000000}"/>
  </hyperlinks>
  <pageMargins left="0.7" right="0.7" top="0.75" bottom="0.75" header="0.3" footer="0.3"/>
  <pageSetup paperSize="9" orientation="portrait" verticalDpi="4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AD27"/>
  <sheetViews>
    <sheetView showGridLines="0" zoomScaleNormal="100" workbookViewId="0">
      <selection activeCell="O8" sqref="O8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1.1640625" style="16" customWidth="1"/>
    <col min="5" max="6" width="3.33203125" style="16" customWidth="1"/>
    <col min="7" max="7" width="16.1640625" style="16" bestFit="1" customWidth="1"/>
    <col min="8" max="9" width="3.33203125" style="16" customWidth="1"/>
    <col min="10" max="23" width="10.83203125" style="8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 v1.8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tr">
        <f>IF(COUNTA($S$5:$S$16)=COUNTIF($S5:$S17,"OK"),"OK","Check")</f>
        <v>OK</v>
      </c>
      <c r="U1" s="137" t="s">
        <v>30</v>
      </c>
      <c r="V1" s="34" t="str">
        <f>'Check|List'!$S$1</f>
        <v>Ok</v>
      </c>
    </row>
    <row r="2" spans="1:30" s="36" customFormat="1" ht="13.5" thickBot="1">
      <c r="B2" s="35" t="str">
        <f>Index!$C$7</f>
        <v>Input | General</v>
      </c>
      <c r="C2" s="35"/>
      <c r="D2" s="35"/>
      <c r="E2" s="35"/>
      <c r="F2" s="59"/>
      <c r="G2" s="59"/>
      <c r="H2" s="59"/>
      <c r="I2" s="59"/>
    </row>
    <row r="3" spans="1:30" s="6" customFormat="1" ht="3" customHeight="1">
      <c r="D3" s="27"/>
      <c r="E3" s="27"/>
      <c r="F3" s="27"/>
      <c r="G3" s="27"/>
      <c r="H3" s="27"/>
      <c r="I3" s="27"/>
    </row>
    <row r="4" spans="1:30" customFormat="1" ht="12.75">
      <c r="A4" s="37"/>
      <c r="B4" s="43" t="s">
        <v>31</v>
      </c>
      <c r="C4" s="37"/>
      <c r="D4" s="37"/>
      <c r="E4" s="37"/>
      <c r="F4" s="38"/>
      <c r="G4" s="38"/>
      <c r="H4" s="38"/>
      <c r="I4" s="38"/>
      <c r="J4" s="39"/>
      <c r="K4" s="40"/>
      <c r="L4" s="39"/>
      <c r="M4" s="40"/>
      <c r="N4" s="39"/>
      <c r="O4" s="39"/>
      <c r="P4" s="39"/>
      <c r="Q4" s="39"/>
      <c r="R4" s="39"/>
      <c r="S4" s="39"/>
      <c r="T4" s="39"/>
      <c r="U4" s="39"/>
      <c r="V4" s="40"/>
      <c r="W4" s="40"/>
      <c r="X4" s="41"/>
      <c r="Y4" s="41"/>
      <c r="Z4" s="41"/>
      <c r="AA4" s="41"/>
      <c r="AB4" s="41"/>
      <c r="AC4" s="42"/>
      <c r="AD4" s="42"/>
    </row>
    <row r="5" spans="1:30"/>
    <row r="6" spans="1:30">
      <c r="C6" s="13" t="s">
        <v>32</v>
      </c>
      <c r="D6" s="21" t="s">
        <v>33</v>
      </c>
      <c r="E6" s="21"/>
      <c r="F6" s="14"/>
      <c r="G6" s="14" t="s">
        <v>34</v>
      </c>
      <c r="H6" s="14"/>
      <c r="I6" s="8"/>
    </row>
    <row r="7" spans="1:30">
      <c r="C7" s="8" t="s">
        <v>35</v>
      </c>
      <c r="D7" s="16" t="s">
        <v>36</v>
      </c>
      <c r="E7" s="8"/>
      <c r="F7" s="8"/>
      <c r="G7" s="44" t="s">
        <v>37</v>
      </c>
      <c r="H7" s="8"/>
      <c r="I7" s="8"/>
      <c r="S7" s="90" t="str">
        <f>IF(COUNTBLANK($G7),"Check","Ok")</f>
        <v>Ok</v>
      </c>
    </row>
    <row r="8" spans="1:30">
      <c r="C8" s="8" t="s">
        <v>38</v>
      </c>
      <c r="D8" s="16" t="s">
        <v>39</v>
      </c>
      <c r="E8" s="8"/>
      <c r="F8" s="8"/>
      <c r="G8" s="44" t="s">
        <v>40</v>
      </c>
      <c r="H8" s="8"/>
      <c r="I8" s="8"/>
      <c r="S8" s="90" t="str">
        <f>IF(COUNTBLANK($G8),"Check","Ok")</f>
        <v>Ok</v>
      </c>
    </row>
    <row r="9" spans="1:30">
      <c r="C9" s="8" t="s">
        <v>41</v>
      </c>
      <c r="D9" s="16" t="s">
        <v>36</v>
      </c>
      <c r="E9" s="8"/>
      <c r="F9" s="8"/>
      <c r="G9" s="111">
        <v>36678</v>
      </c>
      <c r="H9" s="8"/>
      <c r="I9" s="8"/>
      <c r="S9" s="90" t="str">
        <f>IF(COUNTBLANK($G9),"Check","Ok")</f>
        <v>Ok</v>
      </c>
    </row>
    <row r="10" spans="1:30">
      <c r="C10" s="8" t="s">
        <v>42</v>
      </c>
      <c r="D10" s="16" t="s">
        <v>36</v>
      </c>
      <c r="E10" s="8"/>
      <c r="F10" s="8"/>
      <c r="G10" s="112">
        <v>2021</v>
      </c>
      <c r="H10" s="8"/>
      <c r="I10" s="8"/>
      <c r="S10" s="90" t="str">
        <f t="shared" ref="S10:S14" si="0">IF(COUNTBLANK($G10),"Check","Ok")</f>
        <v>Ok</v>
      </c>
    </row>
    <row r="11" spans="1:30">
      <c r="C11" s="8" t="s">
        <v>43</v>
      </c>
      <c r="D11" s="16" t="s">
        <v>36</v>
      </c>
      <c r="E11" s="8"/>
      <c r="F11" s="8"/>
      <c r="G11" s="112">
        <v>2024</v>
      </c>
      <c r="H11" s="8"/>
      <c r="I11" s="8"/>
      <c r="S11" s="90" t="str">
        <f t="shared" si="0"/>
        <v>Ok</v>
      </c>
    </row>
    <row r="12" spans="1:30">
      <c r="C12" s="8" t="s">
        <v>44</v>
      </c>
      <c r="D12" s="16" t="s">
        <v>36</v>
      </c>
      <c r="E12" s="8"/>
      <c r="F12" s="8"/>
      <c r="G12" s="112">
        <v>2025</v>
      </c>
      <c r="H12" s="8"/>
      <c r="I12" s="8"/>
      <c r="S12" s="90" t="str">
        <f t="shared" si="0"/>
        <v>Ok</v>
      </c>
    </row>
    <row r="13" spans="1:30">
      <c r="C13" s="8" t="s">
        <v>45</v>
      </c>
      <c r="D13" s="16" t="s">
        <v>36</v>
      </c>
      <c r="E13" s="8"/>
      <c r="F13" s="8"/>
      <c r="G13" s="112">
        <v>2026</v>
      </c>
      <c r="H13" s="8"/>
      <c r="I13" s="8"/>
      <c r="S13" s="90" t="str">
        <f t="shared" si="0"/>
        <v>Ok</v>
      </c>
    </row>
    <row r="14" spans="1:30">
      <c r="C14" s="8" t="s">
        <v>46</v>
      </c>
      <c r="D14" s="16" t="s">
        <v>36</v>
      </c>
      <c r="E14" s="8"/>
      <c r="F14" s="8"/>
      <c r="G14" s="112">
        <v>2030</v>
      </c>
      <c r="H14" s="8"/>
      <c r="I14" s="8"/>
      <c r="S14" s="90" t="str">
        <f t="shared" si="0"/>
        <v>Ok</v>
      </c>
    </row>
    <row r="15" spans="1:30">
      <c r="C15" s="8" t="s">
        <v>47</v>
      </c>
      <c r="D15" s="16" t="s">
        <v>39</v>
      </c>
      <c r="E15" s="8"/>
      <c r="F15" s="8"/>
      <c r="G15" s="112" t="s">
        <v>48</v>
      </c>
      <c r="H15" s="8"/>
      <c r="I15" s="8"/>
      <c r="S15" s="91"/>
    </row>
    <row r="16" spans="1:30">
      <c r="D16" s="8"/>
      <c r="E16" s="8"/>
      <c r="F16" s="8"/>
      <c r="G16" s="8"/>
      <c r="H16" s="8"/>
      <c r="I16" s="8"/>
    </row>
    <row r="17" spans="1:30" customFormat="1" ht="12.75">
      <c r="A17" s="37"/>
      <c r="B17" s="43" t="s">
        <v>23</v>
      </c>
      <c r="C17" s="37"/>
      <c r="D17" s="37"/>
      <c r="E17" s="37"/>
      <c r="F17" s="38"/>
      <c r="G17" s="38"/>
      <c r="H17" s="38"/>
      <c r="I17" s="38"/>
      <c r="J17" s="39"/>
      <c r="K17" s="40"/>
      <c r="L17" s="39"/>
      <c r="M17" s="40"/>
      <c r="N17" s="39"/>
      <c r="O17" s="39"/>
      <c r="P17" s="39"/>
      <c r="Q17" s="39"/>
      <c r="R17" s="39"/>
      <c r="S17" s="39"/>
      <c r="T17" s="39"/>
      <c r="U17" s="39"/>
      <c r="V17" s="40"/>
      <c r="W17" s="40"/>
      <c r="X17" s="41"/>
      <c r="Y17" s="41"/>
      <c r="Z17" s="41"/>
      <c r="AA17" s="41"/>
      <c r="AB17" s="41"/>
      <c r="AC17" s="42"/>
      <c r="AD17" s="42"/>
    </row>
    <row r="18" spans="1:30" hidden="1">
      <c r="G18" s="21"/>
      <c r="H18" s="21"/>
    </row>
    <row r="19" spans="1:30" hidden="1">
      <c r="G19" s="21"/>
      <c r="H19" s="21"/>
    </row>
    <row r="20" spans="1:30" hidden="1">
      <c r="G20" s="21"/>
      <c r="H20" s="21"/>
    </row>
    <row r="21" spans="1:30" hidden="1">
      <c r="G21" s="21"/>
      <c r="H21" s="21"/>
    </row>
    <row r="22" spans="1:30" hidden="1">
      <c r="G22" s="21"/>
      <c r="H22" s="21"/>
    </row>
    <row r="23" spans="1:30" hidden="1">
      <c r="G23" s="21"/>
      <c r="H23" s="21"/>
    </row>
    <row r="24" spans="1:30" hidden="1">
      <c r="G24" s="21"/>
      <c r="H24" s="21"/>
    </row>
    <row r="25" spans="1:30" hidden="1">
      <c r="G25" s="21"/>
      <c r="H25" s="21"/>
    </row>
    <row r="26" spans="1:30" hidden="1">
      <c r="G26" s="21"/>
      <c r="H26" s="21"/>
    </row>
    <row r="27" spans="1:30" hidden="1">
      <c r="G27" s="21"/>
      <c r="H27" s="21"/>
    </row>
  </sheetData>
  <dataConsolidate/>
  <conditionalFormatting sqref="W14:W16">
    <cfRule type="cellIs" dxfId="195" priority="13" operator="equal">
      <formula>"Check"</formula>
    </cfRule>
    <cfRule type="cellIs" dxfId="194" priority="14" operator="equal">
      <formula>"Ok"</formula>
    </cfRule>
  </conditionalFormatting>
  <conditionalFormatting sqref="V1">
    <cfRule type="cellIs" dxfId="193" priority="3" operator="equal">
      <formula>"Check"</formula>
    </cfRule>
    <cfRule type="cellIs" dxfId="192" priority="4" operator="equal">
      <formula>"Ok"</formula>
    </cfRule>
  </conditionalFormatting>
  <conditionalFormatting sqref="S7:S15">
    <cfRule type="cellIs" dxfId="191" priority="5" operator="equal">
      <formula>"Check"</formula>
    </cfRule>
    <cfRule type="cellIs" dxfId="190" priority="6" operator="equal">
      <formula>"Ok"</formula>
    </cfRule>
  </conditionalFormatting>
  <conditionalFormatting sqref="S1">
    <cfRule type="cellIs" dxfId="189" priority="1" operator="equal">
      <formula>"Check"</formula>
    </cfRule>
    <cfRule type="cellIs" dxfId="188" priority="2" operator="equal">
      <formula>"Ok"</formula>
    </cfRule>
  </conditionalFormatting>
  <dataValidations count="3">
    <dataValidation type="list" allowBlank="1" showInputMessage="1" showErrorMessage="1" sqref="F12:F13 I12:I16" xr:uid="{00000000-0002-0000-0100-000000000000}">
      <formula1>#REF!</formula1>
    </dataValidation>
    <dataValidation type="list" allowBlank="1" showInputMessage="1" showErrorMessage="1" sqref="F14:F16" xr:uid="{00000000-0002-0000-0100-000001000000}">
      <formula1>"Real 2010,Real 2011,Real 2012,Real 2013,Real 2014,Real 2015,Nominal"</formula1>
    </dataValidation>
    <dataValidation type="list" allowBlank="1" showInputMessage="1" showErrorMessage="1" sqref="G8" xr:uid="{00000000-0002-0000-0100-000003000000}">
      <formula1>"draft,final"</formula1>
    </dataValidation>
  </dataValidations>
  <hyperlinks>
    <hyperlink ref="J1" location="Index!A1" display="Back to Index" xr:uid="{00000000-0004-0000-0100-000000000000}"/>
    <hyperlink ref="U1" location="'Check|List'!A1" display="Overall Check:" xr:uid="{00000000-0004-0000-0100-000001000000}"/>
  </hyperlinks>
  <pageMargins left="0.7" right="0.7" top="0.75" bottom="0.75" header="0.3" footer="0.3"/>
  <pageSetup paperSize="9" orientation="portrait" verticalDpi="4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'Lookup|Tables'!$G$25:$G$36</xm:f>
          </x14:formula1>
          <xm:sqref>G9</xm:sqref>
        </x14:dataValidation>
        <x14:dataValidation type="list" allowBlank="1" showInputMessage="1" showErrorMessage="1" xr:uid="{00000000-0002-0000-0100-000005000000}">
          <x14:formula1>
            <xm:f>'Lookup|Tables'!$G$41:$G$60</xm:f>
          </x14:formula1>
          <xm:sqref>G10:G14</xm:sqref>
        </x14:dataValidation>
        <x14:dataValidation type="list" allowBlank="1" showInputMessage="1" showErrorMessage="1" xr:uid="{00000000-0002-0000-0100-000006000000}">
          <x14:formula1>
            <xm:f>'Lookup|Tables'!$G$80:$G$81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</sheetPr>
  <dimension ref="A1:AV96"/>
  <sheetViews>
    <sheetView showGridLines="0" tabSelected="1" topLeftCell="A57" workbookViewId="0">
      <selection activeCell="E74" sqref="E74"/>
    </sheetView>
  </sheetViews>
  <sheetFormatPr defaultColWidth="0" defaultRowHeight="11.25" customHeight="1" zero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7" width="15" style="16" customWidth="1"/>
    <col min="8" max="10" width="3.33203125" style="16" customWidth="1"/>
    <col min="11" max="24" width="10.83203125" style="8" customWidth="1"/>
    <col min="25" max="39" width="10.5" style="8" hidden="1" customWidth="1"/>
    <col min="40" max="16384" width="10.5" style="8" hidden="1"/>
  </cols>
  <sheetData>
    <row r="1" spans="1:31" s="32" customFormat="1" ht="15.75">
      <c r="B1" s="29" t="str">
        <f>Index!$B$1</f>
        <v>AER opex model v1.8</v>
      </c>
      <c r="C1" s="29"/>
      <c r="D1" s="29"/>
      <c r="E1" s="29"/>
      <c r="F1" s="29"/>
      <c r="G1" s="30"/>
      <c r="H1" s="30"/>
      <c r="I1" s="30"/>
      <c r="J1" s="30"/>
      <c r="K1" s="31" t="s">
        <v>24</v>
      </c>
      <c r="M1" s="33" t="s">
        <v>25</v>
      </c>
      <c r="N1" s="50" t="s">
        <v>26</v>
      </c>
      <c r="O1" s="11" t="s">
        <v>27</v>
      </c>
      <c r="P1" s="12" t="s">
        <v>28</v>
      </c>
      <c r="S1" s="33" t="s">
        <v>29</v>
      </c>
      <c r="T1" s="34" t="str">
        <f>IF(COUNTA($T$5:$T$85)=COUNTIF($T5:$T86,"OK"),"OK","Check")</f>
        <v>OK</v>
      </c>
      <c r="V1" s="137" t="s">
        <v>30</v>
      </c>
      <c r="W1" s="34" t="str">
        <f>'Check|List'!$S$1</f>
        <v>Ok</v>
      </c>
    </row>
    <row r="2" spans="1:31" s="36" customFormat="1" ht="13.5" thickBot="1">
      <c r="B2" s="35" t="str">
        <f>Index!$C$7</f>
        <v>Input | General</v>
      </c>
      <c r="C2" s="35"/>
      <c r="D2" s="35"/>
      <c r="E2" s="35"/>
      <c r="F2" s="35"/>
      <c r="G2" s="59"/>
      <c r="H2" s="59"/>
      <c r="I2" s="59"/>
      <c r="J2" s="59"/>
    </row>
    <row r="3" spans="1:31" s="6" customFormat="1" ht="3" customHeight="1">
      <c r="D3" s="27"/>
      <c r="E3" s="27"/>
      <c r="F3" s="27"/>
      <c r="G3" s="27"/>
      <c r="H3" s="27"/>
      <c r="I3" s="27"/>
      <c r="J3" s="27"/>
    </row>
    <row r="4" spans="1:31" customFormat="1" ht="12.75">
      <c r="A4" s="37"/>
      <c r="B4" s="43" t="s">
        <v>31</v>
      </c>
      <c r="C4" s="37"/>
      <c r="D4" s="37"/>
      <c r="E4" s="37"/>
      <c r="F4" s="37"/>
      <c r="G4" s="38"/>
      <c r="H4" s="38"/>
      <c r="I4" s="38"/>
      <c r="J4" s="38"/>
      <c r="K4" s="39"/>
      <c r="L4" s="40"/>
      <c r="M4" s="39"/>
      <c r="N4" s="40"/>
      <c r="O4" s="39"/>
      <c r="P4" s="39"/>
      <c r="Q4" s="39"/>
      <c r="R4" s="39"/>
      <c r="S4" s="39"/>
      <c r="T4" s="39"/>
      <c r="U4" s="39"/>
      <c r="V4" s="39"/>
      <c r="W4" s="40"/>
      <c r="X4" s="40"/>
      <c r="Y4" s="41"/>
      <c r="Z4" s="41"/>
      <c r="AA4" s="41"/>
      <c r="AB4" s="41"/>
      <c r="AC4" s="41"/>
      <c r="AD4" s="42"/>
      <c r="AE4" s="42"/>
    </row>
    <row r="5" spans="1:31" ht="11.25" customHeight="1"/>
    <row r="6" spans="1:31" ht="53.25">
      <c r="D6" s="53" t="s">
        <v>49</v>
      </c>
      <c r="E6" s="53" t="s">
        <v>50</v>
      </c>
      <c r="F6" s="53" t="s">
        <v>49</v>
      </c>
      <c r="G6" s="53" t="s">
        <v>50</v>
      </c>
      <c r="H6" s="53"/>
      <c r="I6" s="8"/>
      <c r="J6" s="8"/>
    </row>
    <row r="7" spans="1:31">
      <c r="C7" s="9" t="s">
        <v>33</v>
      </c>
      <c r="D7" s="57" t="s">
        <v>51</v>
      </c>
      <c r="E7" s="57" t="s">
        <v>52</v>
      </c>
      <c r="F7" s="57" t="s">
        <v>51</v>
      </c>
      <c r="G7" s="57" t="s">
        <v>52</v>
      </c>
      <c r="H7" s="57"/>
      <c r="I7" s="8"/>
      <c r="J7" s="8"/>
    </row>
    <row r="8" spans="1:31">
      <c r="C8" s="9" t="s">
        <v>53</v>
      </c>
      <c r="D8" s="57" t="s">
        <v>54</v>
      </c>
      <c r="E8" s="57" t="s">
        <v>55</v>
      </c>
      <c r="F8" s="57" t="s">
        <v>54</v>
      </c>
      <c r="G8" s="57" t="s">
        <v>55</v>
      </c>
      <c r="H8" s="57"/>
      <c r="I8" s="8"/>
      <c r="J8" s="8"/>
    </row>
    <row r="9" spans="1:31">
      <c r="C9" s="55">
        <v>39172</v>
      </c>
      <c r="D9" s="171">
        <v>155.6</v>
      </c>
      <c r="E9" s="8"/>
      <c r="F9" s="8"/>
      <c r="G9" s="8"/>
      <c r="H9" s="8"/>
      <c r="I9" s="8"/>
      <c r="J9" s="8"/>
      <c r="T9" s="90" t="str">
        <f>IF(C9&gt;EOMONTH(DATE('Input|General'!$G$12,MONTH('Input|General'!$G$9),1),0),"Ok",IF(ISBLANK($D9),"Check","Ok"))</f>
        <v>Ok</v>
      </c>
    </row>
    <row r="10" spans="1:31">
      <c r="C10" s="55">
        <v>39263</v>
      </c>
      <c r="D10" s="171">
        <v>157.5</v>
      </c>
      <c r="E10" s="8"/>
      <c r="F10" s="8"/>
      <c r="G10" s="8"/>
      <c r="H10" s="8"/>
      <c r="I10" s="8"/>
      <c r="J10" s="8"/>
      <c r="T10" s="90" t="str">
        <f>IF(C10&gt;EOMONTH(DATE('Input|General'!$G$12,MONTH('Input|General'!$G$9),1),0),"Ok",IF(ISBLANK($D10),"Check","Ok"))</f>
        <v>Ok</v>
      </c>
    </row>
    <row r="11" spans="1:31">
      <c r="C11" s="55">
        <v>39355</v>
      </c>
      <c r="D11" s="171">
        <v>158.6</v>
      </c>
      <c r="E11" s="8"/>
      <c r="F11" s="8"/>
      <c r="G11" s="8"/>
      <c r="H11" s="8"/>
      <c r="I11" s="8"/>
      <c r="J11" s="8"/>
      <c r="T11" s="90" t="str">
        <f>IF(C11&gt;EOMONTH(DATE('Input|General'!$G$12,MONTH('Input|General'!$G$9),1),0),"Ok",IF(ISBLANK($D11),"Check","Ok"))</f>
        <v>Ok</v>
      </c>
    </row>
    <row r="12" spans="1:31">
      <c r="C12" s="55">
        <v>39447</v>
      </c>
      <c r="D12" s="171">
        <v>160.1</v>
      </c>
      <c r="E12" s="8"/>
      <c r="F12" s="8"/>
      <c r="G12" s="56"/>
      <c r="H12" s="8"/>
      <c r="I12" s="8"/>
      <c r="J12" s="8"/>
      <c r="T12" s="90" t="str">
        <f>IF(C12&gt;EOMONTH(DATE('Input|General'!$G$12,MONTH('Input|General'!$G$9),1),0),"Ok",IF(ISBLANK($D12),"Check","Ok"))</f>
        <v>Ok</v>
      </c>
    </row>
    <row r="13" spans="1:31">
      <c r="C13" s="55">
        <v>39538</v>
      </c>
      <c r="D13" s="171">
        <v>162.19999999999999</v>
      </c>
      <c r="E13" s="172">
        <f>D13/D9-1</f>
        <v>4.2416452442159303E-2</v>
      </c>
      <c r="F13" s="8"/>
      <c r="G13" s="56"/>
      <c r="H13" s="8"/>
      <c r="I13" s="8"/>
      <c r="J13" s="8"/>
      <c r="T13" s="90" t="str">
        <f>IF(C13&gt;EOMONTH(DATE('Input|General'!$G$12,MONTH('Input|General'!$G$9),1),0),"Ok",IF(ISBLANK($D13),"Check","Ok"))</f>
        <v>Ok</v>
      </c>
    </row>
    <row r="14" spans="1:31">
      <c r="C14" s="55">
        <v>39629</v>
      </c>
      <c r="D14" s="171">
        <v>164.6</v>
      </c>
      <c r="E14" s="172">
        <f t="shared" ref="E14:E29" si="0">D14/D10-1</f>
        <v>4.5079365079365052E-2</v>
      </c>
      <c r="F14" s="8"/>
      <c r="G14" s="56"/>
      <c r="H14" s="8"/>
      <c r="I14" s="8"/>
      <c r="J14" s="8"/>
      <c r="T14" s="90" t="str">
        <f>IF(C14&gt;EOMONTH(DATE('Input|General'!$G$12,MONTH('Input|General'!$G$9),1),0),"Ok",IF(ISBLANK($D14),"Check","Ok"))</f>
        <v>Ok</v>
      </c>
    </row>
    <row r="15" spans="1:31">
      <c r="C15" s="55">
        <v>39721</v>
      </c>
      <c r="D15" s="171">
        <v>166.5</v>
      </c>
      <c r="E15" s="172">
        <f t="shared" si="0"/>
        <v>4.9810844892812067E-2</v>
      </c>
      <c r="F15" s="8"/>
      <c r="G15" s="56"/>
      <c r="H15" s="8"/>
      <c r="I15" s="8"/>
      <c r="J15" s="8"/>
      <c r="T15" s="90" t="str">
        <f>IF(C15&gt;EOMONTH(DATE('Input|General'!$G$12,MONTH('Input|General'!$G$9),1),0),"Ok",IF(ISBLANK($D15),"Check","Ok"))</f>
        <v>Ok</v>
      </c>
    </row>
    <row r="16" spans="1:31">
      <c r="C16" s="55">
        <v>39813</v>
      </c>
      <c r="D16" s="171">
        <v>166</v>
      </c>
      <c r="E16" s="172">
        <f t="shared" si="0"/>
        <v>3.6851967520299844E-2</v>
      </c>
      <c r="F16" s="8"/>
      <c r="G16" s="56"/>
      <c r="H16" s="8"/>
      <c r="I16" s="8"/>
      <c r="J16" s="8"/>
      <c r="T16" s="90" t="str">
        <f>IF(C16&gt;EOMONTH(DATE('Input|General'!$G$12,MONTH('Input|General'!$G$9),1),0),"Ok",IF(ISBLANK($D16),"Check","Ok"))</f>
        <v>Ok</v>
      </c>
    </row>
    <row r="17" spans="3:20">
      <c r="C17" s="55">
        <v>39903</v>
      </c>
      <c r="D17" s="171">
        <v>166.2</v>
      </c>
      <c r="E17" s="172">
        <f t="shared" si="0"/>
        <v>2.4660912453760897E-2</v>
      </c>
      <c r="F17" s="8"/>
      <c r="G17" s="56"/>
      <c r="H17" s="8"/>
      <c r="I17" s="8"/>
      <c r="J17" s="8"/>
      <c r="T17" s="90" t="str">
        <f>IF(C17&gt;EOMONTH(DATE('Input|General'!$G$12,MONTH('Input|General'!$G$9),1),0),"Ok",IF(ISBLANK($D17),"Check","Ok"))</f>
        <v>Ok</v>
      </c>
    </row>
    <row r="18" spans="3:20">
      <c r="C18" s="55">
        <v>39994</v>
      </c>
      <c r="D18" s="171">
        <v>167</v>
      </c>
      <c r="E18" s="172">
        <f t="shared" si="0"/>
        <v>1.4580801944106936E-2</v>
      </c>
      <c r="F18" s="8"/>
      <c r="G18" s="56"/>
      <c r="H18" s="8"/>
      <c r="I18" s="8"/>
      <c r="J18" s="8"/>
      <c r="T18" s="90" t="str">
        <f>IF(C18&gt;EOMONTH(DATE('Input|General'!$G$12,MONTH('Input|General'!$G$9),1),0),"Ok",IF(ISBLANK($D18),"Check","Ok"))</f>
        <v>Ok</v>
      </c>
    </row>
    <row r="19" spans="3:20">
      <c r="C19" s="55">
        <v>40086</v>
      </c>
      <c r="D19" s="171">
        <v>168.6</v>
      </c>
      <c r="E19" s="172">
        <f t="shared" si="0"/>
        <v>1.2612612612612484E-2</v>
      </c>
      <c r="F19" s="8"/>
      <c r="G19" s="56"/>
      <c r="H19" s="8"/>
      <c r="I19" s="8"/>
      <c r="J19" s="8"/>
      <c r="T19" s="90" t="str">
        <f>IF(C19&gt;EOMONTH(DATE('Input|General'!$G$12,MONTH('Input|General'!$G$9),1),0),"Ok",IF(ISBLANK($D19),"Check","Ok"))</f>
        <v>Ok</v>
      </c>
    </row>
    <row r="20" spans="3:20">
      <c r="C20" s="55">
        <v>40178</v>
      </c>
      <c r="D20" s="171">
        <v>169.5</v>
      </c>
      <c r="E20" s="172">
        <f t="shared" si="0"/>
        <v>2.108433734939763E-2</v>
      </c>
      <c r="F20" s="8"/>
      <c r="G20" s="56"/>
      <c r="H20" s="8"/>
      <c r="I20" s="8"/>
      <c r="J20" s="8"/>
      <c r="T20" s="90" t="str">
        <f>IF(C20&gt;EOMONTH(DATE('Input|General'!$G$12,MONTH('Input|General'!$G$9),1),0),"Ok",IF(ISBLANK($D20),"Check","Ok"))</f>
        <v>Ok</v>
      </c>
    </row>
    <row r="21" spans="3:20">
      <c r="C21" s="55">
        <v>40268</v>
      </c>
      <c r="D21" s="171">
        <v>171</v>
      </c>
      <c r="E21" s="172">
        <f t="shared" si="0"/>
        <v>2.8880866425992746E-2</v>
      </c>
      <c r="F21" s="171">
        <v>95.2</v>
      </c>
      <c r="G21" s="56"/>
      <c r="H21" s="138"/>
      <c r="I21" s="8"/>
      <c r="J21" s="8"/>
      <c r="T21" s="90" t="str">
        <f>IF(C21&gt;EOMONTH(DATE('Input|General'!$G$12,MONTH('Input|General'!$G$9),1),0),"Ok",IF(ISBLANK($F21),"Check","Ok"))</f>
        <v>Ok</v>
      </c>
    </row>
    <row r="22" spans="3:20">
      <c r="C22" s="55">
        <v>40359</v>
      </c>
      <c r="D22" s="171">
        <v>172.1</v>
      </c>
      <c r="E22" s="172">
        <f t="shared" si="0"/>
        <v>3.0538922155688653E-2</v>
      </c>
      <c r="F22" s="171">
        <v>95.8</v>
      </c>
      <c r="G22" s="56"/>
      <c r="H22" s="138"/>
      <c r="I22" s="8"/>
      <c r="J22" s="8"/>
      <c r="T22" s="90" t="str">
        <f>IF(C22&gt;EOMONTH(DATE('Input|General'!$G$12,MONTH('Input|General'!$G$9),1),0),"Ok",IF(ISBLANK($F22),"Check","Ok"))</f>
        <v>Ok</v>
      </c>
    </row>
    <row r="23" spans="3:20">
      <c r="C23" s="55">
        <v>40451</v>
      </c>
      <c r="D23" s="171">
        <v>173.3</v>
      </c>
      <c r="E23" s="172">
        <f t="shared" si="0"/>
        <v>2.7876631079478242E-2</v>
      </c>
      <c r="F23" s="171">
        <v>96.5</v>
      </c>
      <c r="G23" s="56"/>
      <c r="H23" s="138"/>
      <c r="I23" s="8"/>
      <c r="J23" s="8"/>
      <c r="T23" s="90" t="str">
        <f>IF(C23&gt;EOMONTH(DATE('Input|General'!$G$12,MONTH('Input|General'!$G$9),1),0),"Ok",IF(ISBLANK($F23),"Check","Ok"))</f>
        <v>Ok</v>
      </c>
    </row>
    <row r="24" spans="3:20">
      <c r="C24" s="55">
        <v>40543</v>
      </c>
      <c r="D24" s="171">
        <v>174</v>
      </c>
      <c r="E24" s="172">
        <f t="shared" si="0"/>
        <v>2.6548672566371723E-2</v>
      </c>
      <c r="F24" s="171">
        <v>96.9</v>
      </c>
      <c r="G24" s="56"/>
      <c r="H24" s="138"/>
      <c r="I24" s="8"/>
      <c r="J24" s="8"/>
      <c r="T24" s="90" t="str">
        <f>IF(C24&gt;EOMONTH(DATE('Input|General'!$G$12,MONTH('Input|General'!$G$9),1),0),"Ok",IF(ISBLANK($F24),"Check","Ok"))</f>
        <v>Ok</v>
      </c>
    </row>
    <row r="25" spans="3:20">
      <c r="C25" s="55">
        <v>40633</v>
      </c>
      <c r="D25" s="171">
        <v>176.7</v>
      </c>
      <c r="E25" s="172">
        <f t="shared" si="0"/>
        <v>3.3333333333333215E-2</v>
      </c>
      <c r="F25" s="171">
        <v>98.3</v>
      </c>
      <c r="G25" s="79">
        <f>IF(ISBLANK(F25),"",F25/F21-1)</f>
        <v>3.2563025210083918E-2</v>
      </c>
      <c r="H25" s="138"/>
      <c r="I25" s="8"/>
      <c r="J25" s="8"/>
      <c r="T25" s="90" t="str">
        <f>IF(C25&gt;EOMONTH(DATE('Input|General'!$G$12,MONTH('Input|General'!$G$9),1),0),"Ok",IF(ISBLANK($F25),"Check","Ok"))</f>
        <v>Ok</v>
      </c>
    </row>
    <row r="26" spans="3:20">
      <c r="C26" s="55">
        <v>40724</v>
      </c>
      <c r="D26" s="171">
        <v>178.3</v>
      </c>
      <c r="E26" s="172">
        <f t="shared" si="0"/>
        <v>3.6025566531086683E-2</v>
      </c>
      <c r="F26" s="171">
        <v>99.2</v>
      </c>
      <c r="G26" s="79">
        <f t="shared" ref="G26:G84" si="1">IF(ISBLANK(F26),"",F26/F22-1)</f>
        <v>3.5490605427975108E-2</v>
      </c>
      <c r="H26" s="138"/>
      <c r="I26" s="8"/>
      <c r="J26" s="8"/>
      <c r="T26" s="90" t="str">
        <f>IF(C26&gt;EOMONTH(DATE('Input|General'!$G$12,MONTH('Input|General'!$G$9),1),0),"Ok",IF(ISBLANK($F26),"Check","Ok"))</f>
        <v>Ok</v>
      </c>
    </row>
    <row r="27" spans="3:20">
      <c r="C27" s="55">
        <v>40816</v>
      </c>
      <c r="D27" s="171">
        <v>179.4</v>
      </c>
      <c r="E27" s="172">
        <f t="shared" si="0"/>
        <v>3.5199076745527913E-2</v>
      </c>
      <c r="F27" s="171">
        <v>99.8</v>
      </c>
      <c r="G27" s="79">
        <f t="shared" si="1"/>
        <v>3.4196891191709877E-2</v>
      </c>
      <c r="H27" s="138"/>
      <c r="I27" s="8"/>
      <c r="J27" s="8"/>
      <c r="T27" s="90" t="str">
        <f>IF(C27&gt;EOMONTH(DATE('Input|General'!$G$12,MONTH('Input|General'!$G$9),1),0),"Ok",IF(ISBLANK($F27),"Check","Ok"))</f>
        <v>Ok</v>
      </c>
    </row>
    <row r="28" spans="3:20">
      <c r="C28" s="55">
        <v>40908</v>
      </c>
      <c r="D28" s="171">
        <v>179.4</v>
      </c>
      <c r="E28" s="172">
        <f t="shared" si="0"/>
        <v>3.1034482758620641E-2</v>
      </c>
      <c r="F28" s="171">
        <v>99.8</v>
      </c>
      <c r="G28" s="79">
        <f t="shared" si="1"/>
        <v>2.9927760577915352E-2</v>
      </c>
      <c r="H28" s="138"/>
      <c r="I28" s="8"/>
      <c r="J28" s="8"/>
      <c r="T28" s="90" t="str">
        <f>IF(C28&gt;EOMONTH(DATE('Input|General'!$G$12,MONTH('Input|General'!$G$9),1),0),"Ok",IF(ISBLANK($F28),"Check","Ok"))</f>
        <v>Ok</v>
      </c>
    </row>
    <row r="29" spans="3:20">
      <c r="C29" s="55">
        <v>40999</v>
      </c>
      <c r="D29" s="171">
        <v>179.5</v>
      </c>
      <c r="E29" s="172">
        <f t="shared" si="0"/>
        <v>1.5846066779853007E-2</v>
      </c>
      <c r="F29" s="171">
        <v>99.9</v>
      </c>
      <c r="G29" s="79">
        <f t="shared" si="1"/>
        <v>1.6276703967446737E-2</v>
      </c>
      <c r="H29" s="138"/>
      <c r="I29" s="8"/>
      <c r="J29" s="8"/>
      <c r="T29" s="90" t="str">
        <f>IF(C29&gt;EOMONTH(DATE('Input|General'!$G$12,MONTH('Input|General'!$G$9),1),0),"Ok",IF(ISBLANK($F29),"Check","Ok"))</f>
        <v>Ok</v>
      </c>
    </row>
    <row r="30" spans="3:20">
      <c r="C30" s="55">
        <v>41090</v>
      </c>
      <c r="D30" s="8"/>
      <c r="E30" s="8"/>
      <c r="F30" s="171">
        <v>100.4</v>
      </c>
      <c r="G30" s="79">
        <f t="shared" si="1"/>
        <v>1.2096774193548487E-2</v>
      </c>
      <c r="H30" s="138"/>
      <c r="I30" s="8"/>
      <c r="J30" s="8"/>
      <c r="T30" s="90" t="str">
        <f>IF(C30&gt;EOMONTH(DATE('Input|General'!$G$12,MONTH('Input|General'!$G$9),1),0),"Ok",IF(ISBLANK($F30),"Check","Ok"))</f>
        <v>Ok</v>
      </c>
    </row>
    <row r="31" spans="3:20">
      <c r="C31" s="55">
        <v>41182</v>
      </c>
      <c r="D31" s="8"/>
      <c r="E31" s="8"/>
      <c r="F31" s="171">
        <v>101.8</v>
      </c>
      <c r="G31" s="79">
        <f t="shared" si="1"/>
        <v>2.0040080160320661E-2</v>
      </c>
      <c r="H31" s="138"/>
      <c r="I31" s="8"/>
      <c r="J31" s="8"/>
      <c r="T31" s="90" t="str">
        <f>IF(C31&gt;EOMONTH(DATE('Input|General'!$G$12,MONTH('Input|General'!$G$9),1),0),"Ok",IF(ISBLANK($F31),"Check","Ok"))</f>
        <v>Ok</v>
      </c>
    </row>
    <row r="32" spans="3:20">
      <c r="C32" s="55">
        <v>41274</v>
      </c>
      <c r="D32" s="8"/>
      <c r="E32" s="8"/>
      <c r="F32" s="171">
        <v>102</v>
      </c>
      <c r="G32" s="79">
        <f t="shared" si="1"/>
        <v>2.2044088176352838E-2</v>
      </c>
      <c r="H32" s="138"/>
      <c r="I32" s="8"/>
      <c r="J32" s="8"/>
      <c r="T32" s="90" t="str">
        <f>IF(C32&gt;EOMONTH(DATE('Input|General'!$G$12,MONTH('Input|General'!$G$9),1),0),"Ok",IF(ISBLANK($F32),"Check","Ok"))</f>
        <v>Ok</v>
      </c>
    </row>
    <row r="33" spans="3:20">
      <c r="C33" s="55">
        <v>41364</v>
      </c>
      <c r="D33" s="8"/>
      <c r="E33" s="8"/>
      <c r="F33" s="171">
        <v>102.4</v>
      </c>
      <c r="G33" s="79">
        <f t="shared" si="1"/>
        <v>2.5025025025025016E-2</v>
      </c>
      <c r="H33" s="138"/>
      <c r="I33" s="8"/>
      <c r="J33" s="8"/>
      <c r="T33" s="90" t="str">
        <f>IF(C33&gt;EOMONTH(DATE('Input|General'!$G$12,MONTH('Input|General'!$G$9),1),0),"Ok",IF(ISBLANK($F33),"Check","Ok"))</f>
        <v>Ok</v>
      </c>
    </row>
    <row r="34" spans="3:20">
      <c r="C34" s="55">
        <v>41455</v>
      </c>
      <c r="D34" s="8"/>
      <c r="E34" s="8"/>
      <c r="F34" s="171">
        <v>102.8</v>
      </c>
      <c r="G34" s="79">
        <f t="shared" si="1"/>
        <v>2.3904382470119501E-2</v>
      </c>
      <c r="H34" s="138"/>
      <c r="I34" s="8"/>
      <c r="J34" s="8"/>
      <c r="T34" s="90" t="str">
        <f>IF(C34&gt;EOMONTH(DATE('Input|General'!$G$12,MONTH('Input|General'!$G$9),1),0),"Ok",IF(ISBLANK($F34),"Check","Ok"))</f>
        <v>Ok</v>
      </c>
    </row>
    <row r="35" spans="3:20">
      <c r="C35" s="55">
        <v>41547</v>
      </c>
      <c r="D35" s="8"/>
      <c r="E35" s="8"/>
      <c r="F35" s="171">
        <v>104</v>
      </c>
      <c r="G35" s="79">
        <f t="shared" si="1"/>
        <v>2.16110019646365E-2</v>
      </c>
      <c r="H35" s="138"/>
      <c r="I35" s="8"/>
      <c r="J35" s="8"/>
      <c r="T35" s="90" t="str">
        <f>IF(C35&gt;EOMONTH(DATE('Input|General'!$G$12,MONTH('Input|General'!$G$9),1),0),"Ok",IF(ISBLANK($F35),"Check","Ok"))</f>
        <v>Ok</v>
      </c>
    </row>
    <row r="36" spans="3:20">
      <c r="C36" s="55">
        <v>41639</v>
      </c>
      <c r="D36" s="8"/>
      <c r="E36" s="8"/>
      <c r="F36" s="171">
        <v>104.8</v>
      </c>
      <c r="G36" s="79">
        <f t="shared" si="1"/>
        <v>2.7450980392156765E-2</v>
      </c>
      <c r="H36" s="138"/>
      <c r="I36" s="8"/>
      <c r="J36" s="8"/>
      <c r="T36" s="90" t="str">
        <f>IF(C36&gt;EOMONTH(DATE('Input|General'!$G$12,MONTH('Input|General'!$G$9),1),0),"Ok",IF(ISBLANK($F36),"Check","Ok"))</f>
        <v>Ok</v>
      </c>
    </row>
    <row r="37" spans="3:20">
      <c r="C37" s="55">
        <v>41729</v>
      </c>
      <c r="D37" s="8"/>
      <c r="E37" s="8"/>
      <c r="F37" s="171">
        <v>105.4</v>
      </c>
      <c r="G37" s="79">
        <f t="shared" si="1"/>
        <v>2.9296875E-2</v>
      </c>
      <c r="H37" s="138"/>
      <c r="I37" s="8"/>
      <c r="J37" s="8"/>
      <c r="T37" s="90" t="str">
        <f>IF(C37&gt;EOMONTH(DATE('Input|General'!$G$12,MONTH('Input|General'!$G$9),1),0),"Ok",IF(ISBLANK($F37),"Check","Ok"))</f>
        <v>Ok</v>
      </c>
    </row>
    <row r="38" spans="3:20">
      <c r="C38" s="55">
        <v>41820</v>
      </c>
      <c r="D38" s="8"/>
      <c r="E38" s="8"/>
      <c r="F38" s="171">
        <v>105.9</v>
      </c>
      <c r="G38" s="79">
        <f t="shared" si="1"/>
        <v>3.0155642023346418E-2</v>
      </c>
      <c r="H38" s="138"/>
      <c r="I38" s="8"/>
      <c r="J38" s="8"/>
      <c r="T38" s="90" t="str">
        <f>IF(C38&gt;EOMONTH(DATE('Input|General'!$G$12,MONTH('Input|General'!$G$9),1),0),"Ok",IF(ISBLANK($F38),"Check","Ok"))</f>
        <v>Ok</v>
      </c>
    </row>
    <row r="39" spans="3:20">
      <c r="C39" s="55">
        <v>41912</v>
      </c>
      <c r="D39" s="8"/>
      <c r="E39" s="8"/>
      <c r="F39" s="171">
        <v>106.4</v>
      </c>
      <c r="G39" s="79">
        <f t="shared" si="1"/>
        <v>2.3076923076923217E-2</v>
      </c>
      <c r="H39" s="138"/>
      <c r="I39" s="8"/>
      <c r="J39" s="8"/>
      <c r="T39" s="90" t="str">
        <f>IF(C39&gt;EOMONTH(DATE('Input|General'!$G$12,MONTH('Input|General'!$G$9),1),0),"Ok",IF(ISBLANK($F39),"Check","Ok"))</f>
        <v>Ok</v>
      </c>
    </row>
    <row r="40" spans="3:20">
      <c r="C40" s="55">
        <v>42004</v>
      </c>
      <c r="D40" s="8"/>
      <c r="E40" s="8"/>
      <c r="F40" s="171">
        <v>106.6</v>
      </c>
      <c r="G40" s="79">
        <f t="shared" si="1"/>
        <v>1.7175572519083859E-2</v>
      </c>
      <c r="H40" s="138"/>
      <c r="I40" s="8"/>
      <c r="J40" s="8"/>
      <c r="T40" s="90" t="str">
        <f>IF(C40&gt;EOMONTH(DATE('Input|General'!$G$12,MONTH('Input|General'!$G$9),1),0),"Ok",IF(ISBLANK($F40),"Check","Ok"))</f>
        <v>Ok</v>
      </c>
    </row>
    <row r="41" spans="3:20">
      <c r="C41" s="55">
        <v>42094</v>
      </c>
      <c r="D41" s="8"/>
      <c r="E41" s="8"/>
      <c r="F41" s="171">
        <v>106.8</v>
      </c>
      <c r="G41" s="79">
        <f t="shared" si="1"/>
        <v>1.3282732447817747E-2</v>
      </c>
      <c r="H41" s="138"/>
      <c r="I41" s="8"/>
      <c r="J41" s="8"/>
      <c r="T41" s="90" t="str">
        <f>IF(C41&gt;EOMONTH(DATE('Input|General'!$G$12,MONTH('Input|General'!$G$9),1),0),"Ok",IF(ISBLANK($F41),"Check","Ok"))</f>
        <v>Ok</v>
      </c>
    </row>
    <row r="42" spans="3:20">
      <c r="C42" s="55">
        <v>42185</v>
      </c>
      <c r="D42" s="8"/>
      <c r="E42" s="8"/>
      <c r="F42" s="171">
        <v>107.5</v>
      </c>
      <c r="G42" s="79">
        <f t="shared" si="1"/>
        <v>1.5108593012275628E-2</v>
      </c>
      <c r="H42" s="138"/>
      <c r="I42" s="8"/>
      <c r="J42" s="8"/>
      <c r="T42" s="90" t="str">
        <f>IF(C42&gt;EOMONTH(DATE('Input|General'!$G$12,MONTH('Input|General'!$G$9),1),0),"Ok",IF(ISBLANK($F42),"Check","Ok"))</f>
        <v>Ok</v>
      </c>
    </row>
    <row r="43" spans="3:20">
      <c r="C43" s="55">
        <v>42277</v>
      </c>
      <c r="D43" s="8"/>
      <c r="E43" s="8"/>
      <c r="F43" s="171">
        <v>108</v>
      </c>
      <c r="G43" s="79">
        <f t="shared" si="1"/>
        <v>1.5037593984962294E-2</v>
      </c>
      <c r="H43" s="138"/>
      <c r="I43" s="8"/>
      <c r="J43" s="8"/>
      <c r="T43" s="90" t="str">
        <f>IF(C43&gt;EOMONTH(DATE('Input|General'!$G$12,MONTH('Input|General'!$G$9),1),0),"Ok",IF(ISBLANK($F43),"Check","Ok"))</f>
        <v>Ok</v>
      </c>
    </row>
    <row r="44" spans="3:20">
      <c r="C44" s="55">
        <v>42369</v>
      </c>
      <c r="D44" s="8"/>
      <c r="E44" s="8"/>
      <c r="F44" s="173">
        <v>108.4</v>
      </c>
      <c r="G44" s="79">
        <f t="shared" si="1"/>
        <v>1.6885553470919357E-2</v>
      </c>
      <c r="H44" s="138"/>
      <c r="I44" s="8"/>
      <c r="J44" s="8"/>
      <c r="T44" s="90" t="str">
        <f>IF(C44&gt;EOMONTH(DATE('Input|General'!$G$12,MONTH('Input|General'!$G$9),1),0),"Ok",IF(ISBLANK($F44),"Check","Ok"))</f>
        <v>Ok</v>
      </c>
    </row>
    <row r="45" spans="3:20">
      <c r="C45" s="55">
        <v>42460</v>
      </c>
      <c r="D45" s="8"/>
      <c r="E45" s="8"/>
      <c r="F45" s="170">
        <v>108.2</v>
      </c>
      <c r="G45" s="79">
        <f t="shared" si="1"/>
        <v>1.3108614232209881E-2</v>
      </c>
      <c r="H45" s="138"/>
      <c r="I45" s="8"/>
      <c r="J45" s="8"/>
      <c r="T45" s="90" t="str">
        <f>IF(C45&gt;EOMONTH(DATE('Input|General'!$G$12,MONTH('Input|General'!$G$9),1),0),"Ok",IF(ISBLANK($F45),"Check","Ok"))</f>
        <v>Ok</v>
      </c>
    </row>
    <row r="46" spans="3:20">
      <c r="C46" s="55">
        <v>42551</v>
      </c>
      <c r="D46" s="8"/>
      <c r="E46" s="8"/>
      <c r="F46" s="54">
        <v>108.6</v>
      </c>
      <c r="G46" s="79">
        <f t="shared" si="1"/>
        <v>1.0232558139534831E-2</v>
      </c>
      <c r="H46" s="138"/>
      <c r="I46" s="8"/>
      <c r="J46" s="8"/>
      <c r="T46" s="90" t="str">
        <f>IF(C46&gt;EOMONTH(DATE('Input|General'!$G$12,MONTH('Input|General'!$G$9),1),0),"Ok",IF(ISBLANK($F46),"Check","Ok"))</f>
        <v>Ok</v>
      </c>
    </row>
    <row r="47" spans="3:20">
      <c r="C47" s="55">
        <v>42643</v>
      </c>
      <c r="D47" s="8"/>
      <c r="E47" s="8"/>
      <c r="F47" s="54">
        <v>109.4</v>
      </c>
      <c r="G47" s="79">
        <f t="shared" si="1"/>
        <v>1.2962962962963065E-2</v>
      </c>
      <c r="H47" s="138"/>
      <c r="I47" s="8"/>
      <c r="J47" s="8"/>
      <c r="T47" s="90" t="str">
        <f>IF(C47&gt;EOMONTH(DATE('Input|General'!$G$12,MONTH('Input|General'!$G$9),1),0),"Ok",IF(ISBLANK($F47),"Check","Ok"))</f>
        <v>Ok</v>
      </c>
    </row>
    <row r="48" spans="3:20">
      <c r="C48" s="55">
        <v>42735</v>
      </c>
      <c r="D48" s="8"/>
      <c r="E48" s="8"/>
      <c r="F48" s="54">
        <v>110</v>
      </c>
      <c r="G48" s="79">
        <f t="shared" si="1"/>
        <v>1.4760147601476037E-2</v>
      </c>
      <c r="H48" s="138"/>
      <c r="I48" s="8"/>
      <c r="J48" s="8"/>
      <c r="T48" s="90" t="str">
        <f>IF(C48&gt;EOMONTH(DATE('Input|General'!$G$12,MONTH('Input|General'!$G$9),1),0),"Ok",IF(ISBLANK($F48),"Check","Ok"))</f>
        <v>Ok</v>
      </c>
    </row>
    <row r="49" spans="3:20">
      <c r="C49" s="55">
        <v>42825</v>
      </c>
      <c r="D49" s="8"/>
      <c r="E49" s="8"/>
      <c r="F49" s="54">
        <v>110.5</v>
      </c>
      <c r="G49" s="79">
        <f t="shared" si="1"/>
        <v>2.1256931608133023E-2</v>
      </c>
      <c r="H49" s="138"/>
      <c r="I49" s="8"/>
      <c r="J49" s="8"/>
      <c r="T49" s="90" t="str">
        <f>IF(C49&gt;EOMONTH(DATE('Input|General'!$G$12,MONTH('Input|General'!$G$9),1),0),"Ok",IF(ISBLANK($F49),"Check","Ok"))</f>
        <v>Ok</v>
      </c>
    </row>
    <row r="50" spans="3:20">
      <c r="C50" s="55">
        <v>42916</v>
      </c>
      <c r="D50" s="8"/>
      <c r="E50" s="8"/>
      <c r="F50" s="54">
        <v>110.7</v>
      </c>
      <c r="G50" s="79">
        <f t="shared" si="1"/>
        <v>1.9337016574585641E-2</v>
      </c>
      <c r="H50" s="139"/>
      <c r="I50" s="8"/>
      <c r="J50" s="8"/>
      <c r="T50" s="90" t="str">
        <f>IF(C50&gt;EOMONTH(DATE('Input|General'!$G$12,MONTH('Input|General'!$G$9),1),0),"Ok",IF(ISBLANK($F50),"Check","Ok"))</f>
        <v>Ok</v>
      </c>
    </row>
    <row r="51" spans="3:20">
      <c r="C51" s="55">
        <v>43008</v>
      </c>
      <c r="D51" s="8"/>
      <c r="E51" s="8"/>
      <c r="F51" s="54">
        <v>111.4</v>
      </c>
      <c r="G51" s="79">
        <f t="shared" si="1"/>
        <v>1.8281535648994485E-2</v>
      </c>
      <c r="H51" s="138"/>
      <c r="I51" s="8"/>
      <c r="J51" s="8"/>
      <c r="T51" s="90" t="str">
        <f>IF(C51&gt;EOMONTH(DATE('Input|General'!$G$12,MONTH('Input|General'!$G$9),1),0),"Ok",IF(ISBLANK($F51),"Check","Ok"))</f>
        <v>Ok</v>
      </c>
    </row>
    <row r="52" spans="3:20">
      <c r="C52" s="55">
        <v>43100</v>
      </c>
      <c r="D52" s="8"/>
      <c r="E52" s="8"/>
      <c r="F52" s="54">
        <v>112.1</v>
      </c>
      <c r="G52" s="79">
        <f t="shared" si="1"/>
        <v>1.9090909090909047E-2</v>
      </c>
      <c r="H52" s="138"/>
      <c r="I52" s="8"/>
      <c r="J52" s="8"/>
      <c r="T52" s="90" t="str">
        <f>IF(C52&gt;EOMONTH(DATE('Input|General'!$G$12,MONTH('Input|General'!$G$9),1),0),"Ok",IF(ISBLANK($F52),"Check","Ok"))</f>
        <v>Ok</v>
      </c>
    </row>
    <row r="53" spans="3:20">
      <c r="C53" s="55">
        <v>43190</v>
      </c>
      <c r="D53" s="8"/>
      <c r="E53" s="8"/>
      <c r="F53" s="54">
        <v>112.6</v>
      </c>
      <c r="G53" s="79">
        <f t="shared" si="1"/>
        <v>1.9004524886877761E-2</v>
      </c>
      <c r="H53" s="138"/>
      <c r="I53" s="8"/>
      <c r="J53" s="8"/>
      <c r="T53" s="90" t="str">
        <f>IF(C53&gt;EOMONTH(DATE('Input|General'!$G$12,MONTH('Input|General'!$G$9),1),0),"Ok",IF(ISBLANK($F53),"Check","Ok"))</f>
        <v>Ok</v>
      </c>
    </row>
    <row r="54" spans="3:20">
      <c r="C54" s="55">
        <v>43281</v>
      </c>
      <c r="D54" s="8"/>
      <c r="E54" s="8"/>
      <c r="F54" s="54">
        <v>113</v>
      </c>
      <c r="G54" s="79">
        <f t="shared" si="1"/>
        <v>2.0776874435411097E-2</v>
      </c>
      <c r="H54" s="138"/>
      <c r="I54" s="8"/>
      <c r="J54" s="8"/>
      <c r="T54" s="90" t="str">
        <f>IF(C54&gt;EOMONTH(DATE('Input|General'!$G$12,MONTH('Input|General'!$G$9),1),0),"Ok",IF(ISBLANK($F54),"Check","Ok"))</f>
        <v>Ok</v>
      </c>
    </row>
    <row r="55" spans="3:20">
      <c r="C55" s="55">
        <v>43373</v>
      </c>
      <c r="D55" s="8"/>
      <c r="E55" s="8"/>
      <c r="F55" s="54">
        <v>113.5</v>
      </c>
      <c r="G55" s="79">
        <f t="shared" si="1"/>
        <v>1.8850987432674993E-2</v>
      </c>
      <c r="H55" s="138"/>
      <c r="I55" s="8"/>
      <c r="J55" s="8"/>
      <c r="T55" s="90" t="str">
        <f>IF(C55&gt;EOMONTH(DATE('Input|General'!$G$12,MONTH('Input|General'!$G$9),1),0),"Ok",IF(ISBLANK($F55),"Check","Ok"))</f>
        <v>Ok</v>
      </c>
    </row>
    <row r="56" spans="3:20">
      <c r="C56" s="55">
        <v>43465</v>
      </c>
      <c r="D56" s="8"/>
      <c r="E56" s="8"/>
      <c r="F56" s="54">
        <v>114.1</v>
      </c>
      <c r="G56" s="79">
        <f t="shared" si="1"/>
        <v>1.7841213202497874E-2</v>
      </c>
      <c r="H56" s="138"/>
      <c r="I56" s="8"/>
      <c r="J56" s="8"/>
      <c r="T56" s="90" t="str">
        <f>IF(C56&gt;EOMONTH(DATE('Input|General'!$G$12,MONTH('Input|General'!$G$9),1),0),"Ok",IF(ISBLANK($F56),"Check","Ok"))</f>
        <v>Ok</v>
      </c>
    </row>
    <row r="57" spans="3:20">
      <c r="C57" s="55">
        <v>43555</v>
      </c>
      <c r="D57" s="8"/>
      <c r="E57" s="8"/>
      <c r="F57" s="54">
        <v>114.1</v>
      </c>
      <c r="G57" s="79">
        <f t="shared" si="1"/>
        <v>1.3321492007104752E-2</v>
      </c>
      <c r="H57" s="138"/>
      <c r="I57" s="8"/>
      <c r="J57" s="8"/>
      <c r="T57" s="90" t="str">
        <f>IF(C57&gt;EOMONTH(DATE('Input|General'!$G$12,MONTH('Input|General'!$G$9),1),0),"Ok",IF(ISBLANK($F57),"Check","Ok"))</f>
        <v>Ok</v>
      </c>
    </row>
    <row r="58" spans="3:20">
      <c r="C58" s="55">
        <v>43646</v>
      </c>
      <c r="D58" s="8"/>
      <c r="E58" s="8"/>
      <c r="F58" s="54">
        <v>114.8</v>
      </c>
      <c r="G58" s="79">
        <f t="shared" si="1"/>
        <v>1.5929203539823078E-2</v>
      </c>
      <c r="H58" s="138"/>
      <c r="I58" s="8"/>
      <c r="J58" s="8"/>
      <c r="T58" s="90" t="str">
        <f>IF(C58&gt;EOMONTH(DATE('Input|General'!$G$12,MONTH('Input|General'!$G$9),1),0),"Ok",IF(ISBLANK($F58),"Check","Ok"))</f>
        <v>Ok</v>
      </c>
    </row>
    <row r="59" spans="3:20">
      <c r="C59" s="55">
        <v>43738</v>
      </c>
      <c r="D59" s="8"/>
      <c r="E59" s="8"/>
      <c r="F59" s="54">
        <v>115.4</v>
      </c>
      <c r="G59" s="79">
        <f t="shared" si="1"/>
        <v>1.6740088105726914E-2</v>
      </c>
      <c r="H59" s="138"/>
      <c r="I59" s="109"/>
      <c r="J59" s="8"/>
      <c r="T59" s="90" t="str">
        <f>IF(C59&gt;EOMONTH(DATE('Input|General'!$G$12,MONTH('Input|General'!$G$9),1),0),"Ok",IF(ISBLANK($F59),"Check","Ok"))</f>
        <v>Ok</v>
      </c>
    </row>
    <row r="60" spans="3:20">
      <c r="C60" s="55">
        <v>43830</v>
      </c>
      <c r="D60" s="8"/>
      <c r="E60" s="8"/>
      <c r="F60" s="54">
        <v>116.2</v>
      </c>
      <c r="G60" s="79">
        <f t="shared" si="1"/>
        <v>1.8404907975460238E-2</v>
      </c>
      <c r="H60" s="138"/>
      <c r="I60" s="109"/>
      <c r="J60" s="8"/>
      <c r="T60" s="90" t="str">
        <f>IF(C60&gt;EOMONTH(DATE('Input|General'!$G$12,MONTH('Input|General'!$G$9),1),0),"Ok",IF(ISBLANK($F60),"Check","Ok"))</f>
        <v>Ok</v>
      </c>
    </row>
    <row r="61" spans="3:20">
      <c r="C61" s="55">
        <v>43921</v>
      </c>
      <c r="D61" s="8"/>
      <c r="E61" s="8"/>
      <c r="F61" s="54">
        <v>116.6</v>
      </c>
      <c r="G61" s="79">
        <f t="shared" si="1"/>
        <v>2.1910604732690686E-2</v>
      </c>
      <c r="H61" s="138"/>
      <c r="I61" s="109"/>
      <c r="J61" s="8"/>
      <c r="T61" s="90" t="str">
        <f>IF(C61&gt;EOMONTH(DATE('Input|General'!$G$12,MONTH('Input|General'!$G$9),1),0),"Ok",IF(ISBLANK($F61),"Check","Ok"))</f>
        <v>Ok</v>
      </c>
    </row>
    <row r="62" spans="3:20">
      <c r="C62" s="55">
        <v>44012</v>
      </c>
      <c r="D62" s="8"/>
      <c r="E62" s="8"/>
      <c r="F62" s="54">
        <v>114.4</v>
      </c>
      <c r="G62" s="79">
        <f t="shared" si="1"/>
        <v>-3.4843205574912606E-3</v>
      </c>
      <c r="H62" s="138"/>
      <c r="I62" s="138"/>
      <c r="J62" s="8"/>
      <c r="T62" s="90" t="str">
        <f>IF(C62&gt;EOMONTH(DATE('Input|General'!$G$12,MONTH('Input|General'!$G$9),1),0),"Ok",IF(ISBLANK($F62),"Check","Ok"))</f>
        <v>Ok</v>
      </c>
    </row>
    <row r="63" spans="3:20">
      <c r="C63" s="55">
        <v>44104</v>
      </c>
      <c r="D63" s="8"/>
      <c r="E63" s="8"/>
      <c r="F63" s="54">
        <v>116.2</v>
      </c>
      <c r="G63" s="79">
        <f t="shared" si="1"/>
        <v>6.9324090121316573E-3</v>
      </c>
      <c r="H63" s="138"/>
      <c r="I63" s="8"/>
      <c r="J63" s="8"/>
      <c r="T63" s="90" t="str">
        <f>IF(C63&gt;EOMONTH(DATE('Input|General'!$G$12,MONTH('Input|General'!$G$9),1),0),"Ok",IF(ISBLANK($F63),"Check","Ok"))</f>
        <v>Ok</v>
      </c>
    </row>
    <row r="64" spans="3:20">
      <c r="C64" s="55">
        <v>44196</v>
      </c>
      <c r="D64" s="8"/>
      <c r="E64" s="8"/>
      <c r="F64" s="54">
        <v>117.2</v>
      </c>
      <c r="G64" s="79">
        <f t="shared" si="1"/>
        <v>8.6058519793459354E-3</v>
      </c>
      <c r="H64" s="138"/>
      <c r="I64" s="8"/>
      <c r="J64" s="8"/>
      <c r="T64" s="90" t="str">
        <f>IF(C64&gt;EOMONTH(DATE('Input|General'!$G$12,MONTH('Input|General'!$G$9),1),0),"Ok",IF(ISBLANK($F64),"Check","Ok"))</f>
        <v>Ok</v>
      </c>
    </row>
    <row r="65" spans="3:20">
      <c r="C65" s="55">
        <v>44286</v>
      </c>
      <c r="D65" s="8"/>
      <c r="E65" s="8"/>
      <c r="F65" s="54">
        <v>117.9</v>
      </c>
      <c r="G65" s="79">
        <f t="shared" si="1"/>
        <v>1.1149228130360234E-2</v>
      </c>
      <c r="H65" s="138"/>
      <c r="I65" s="8"/>
      <c r="J65" s="8"/>
      <c r="T65" s="90" t="str">
        <f>IF(C65&gt;EOMONTH(DATE('Input|General'!$G$12,MONTH('Input|General'!$G$9),1),0),"Ok",IF(ISBLANK($F65),"Check","Ok"))</f>
        <v>Ok</v>
      </c>
    </row>
    <row r="66" spans="3:20">
      <c r="C66" s="55">
        <v>44377</v>
      </c>
      <c r="D66" s="8"/>
      <c r="E66" s="8"/>
      <c r="F66" s="54">
        <v>118.8</v>
      </c>
      <c r="G66" s="79">
        <f t="shared" si="1"/>
        <v>3.8461538461538325E-2</v>
      </c>
      <c r="H66" s="138"/>
      <c r="I66" s="8"/>
      <c r="J66" s="8"/>
      <c r="T66" s="90" t="str">
        <f>IF(C66&gt;EOMONTH(DATE('Input|General'!$G$12,MONTH('Input|General'!$G$9),1),0),"Ok",IF(ISBLANK($F66),"Check","Ok"))</f>
        <v>Ok</v>
      </c>
    </row>
    <row r="67" spans="3:20">
      <c r="C67" s="55">
        <v>44469</v>
      </c>
      <c r="D67" s="8"/>
      <c r="E67" s="8"/>
      <c r="F67" s="54">
        <v>119.7</v>
      </c>
      <c r="G67" s="79">
        <f t="shared" si="1"/>
        <v>3.0120481927710774E-2</v>
      </c>
      <c r="H67" s="138"/>
      <c r="I67" s="8"/>
      <c r="J67" s="8"/>
      <c r="T67" s="90" t="str">
        <f>IF(C67&gt;EOMONTH(DATE('Input|General'!$G$12,MONTH('Input|General'!$G$9),1),0),"Ok",IF(ISBLANK($F67),"Check","Ok"))</f>
        <v>Ok</v>
      </c>
    </row>
    <row r="68" spans="3:20">
      <c r="C68" s="55">
        <v>44561</v>
      </c>
      <c r="D68" s="8"/>
      <c r="E68" s="8"/>
      <c r="F68" s="54">
        <v>121.3</v>
      </c>
      <c r="G68" s="79">
        <f t="shared" si="1"/>
        <v>3.4982935153583528E-2</v>
      </c>
      <c r="H68" s="138"/>
      <c r="I68" s="8"/>
      <c r="J68" s="8"/>
      <c r="T68" s="90" t="str">
        <f>IF(C68&gt;EOMONTH(DATE('Input|General'!$G$12,MONTH('Input|General'!$G$9),1),0),"Ok",IF(ISBLANK($F68),"Check","Ok"))</f>
        <v>Ok</v>
      </c>
    </row>
    <row r="69" spans="3:20">
      <c r="C69" s="55">
        <v>44651</v>
      </c>
      <c r="D69" s="8"/>
      <c r="E69" s="8"/>
      <c r="F69" s="54">
        <v>123.9</v>
      </c>
      <c r="G69" s="79">
        <f t="shared" si="1"/>
        <v>5.0890585241730291E-2</v>
      </c>
      <c r="H69" s="138"/>
      <c r="I69" s="8"/>
      <c r="J69" s="8"/>
      <c r="T69" s="90" t="str">
        <f>IF(C69&gt;EOMONTH(DATE('Input|General'!$G$12,MONTH('Input|General'!$G$9),1),0),"Ok",IF(ISBLANK($F69),"Check","Ok"))</f>
        <v>Ok</v>
      </c>
    </row>
    <row r="70" spans="3:20">
      <c r="C70" s="55">
        <v>44742</v>
      </c>
      <c r="D70" s="8"/>
      <c r="E70" s="8"/>
      <c r="F70" s="54">
        <v>126.1</v>
      </c>
      <c r="G70" s="79">
        <f t="shared" si="1"/>
        <v>6.1447811447811418E-2</v>
      </c>
      <c r="H70" s="138"/>
      <c r="I70" s="8"/>
      <c r="J70" s="8"/>
      <c r="T70" s="90" t="str">
        <f>IF(C70&gt;EOMONTH(DATE('Input|General'!$G$12,MONTH('Input|General'!$G$9),1),0),"Ok",IF(ISBLANK($F70),"Check","Ok"))</f>
        <v>Ok</v>
      </c>
    </row>
    <row r="71" spans="3:20">
      <c r="C71" s="55">
        <v>44834</v>
      </c>
      <c r="D71" s="8"/>
      <c r="E71" s="8"/>
      <c r="F71" s="54">
        <v>128.4</v>
      </c>
      <c r="G71" s="79">
        <f t="shared" si="1"/>
        <v>7.268170426065157E-2</v>
      </c>
      <c r="H71" s="138"/>
      <c r="I71" s="8"/>
      <c r="J71" s="8"/>
      <c r="T71" s="90" t="str">
        <f>IF(C71&gt;EOMONTH(DATE('Input|General'!$G$12,MONTH('Input|General'!$G$9),1),0),"Ok",IF(ISBLANK($F71),"Check","Ok"))</f>
        <v>Ok</v>
      </c>
    </row>
    <row r="72" spans="3:20">
      <c r="C72" s="55">
        <v>44926</v>
      </c>
      <c r="D72" s="8"/>
      <c r="E72" s="8"/>
      <c r="F72" s="54">
        <v>130.80000000000001</v>
      </c>
      <c r="G72" s="79">
        <f t="shared" si="1"/>
        <v>7.8318219291014124E-2</v>
      </c>
      <c r="H72" s="138"/>
      <c r="I72" s="8"/>
      <c r="J72" s="8"/>
      <c r="T72" s="90" t="str">
        <f>IF(C72&gt;EOMONTH(DATE('Input|General'!$G$12,MONTH('Input|General'!$G$9),1),0),"Ok",IF(ISBLANK($F72),"Check","Ok"))</f>
        <v>Ok</v>
      </c>
    </row>
    <row r="73" spans="3:20">
      <c r="C73" s="55">
        <v>45016</v>
      </c>
      <c r="D73" s="8"/>
      <c r="E73" s="8"/>
      <c r="F73" s="54">
        <v>132.6</v>
      </c>
      <c r="G73" s="79">
        <f t="shared" si="1"/>
        <v>7.0217917675544639E-2</v>
      </c>
      <c r="H73" s="138"/>
      <c r="I73" s="8"/>
      <c r="J73" s="8"/>
      <c r="T73" s="90" t="str">
        <f>IF(C73&gt;EOMONTH(DATE('Input|General'!$G$12,MONTH('Input|General'!$G$9),1),0),"Ok",IF(ISBLANK($F73),"Check","Ok"))</f>
        <v>Ok</v>
      </c>
    </row>
    <row r="74" spans="3:20">
      <c r="C74" s="55">
        <v>45107</v>
      </c>
      <c r="D74" s="8"/>
      <c r="E74" s="8"/>
      <c r="F74" s="54">
        <v>133.69999999999999</v>
      </c>
      <c r="G74" s="79">
        <f t="shared" si="1"/>
        <v>6.0269627279936566E-2</v>
      </c>
      <c r="H74" s="138"/>
      <c r="I74" s="8"/>
      <c r="J74" s="8"/>
      <c r="T74" s="90" t="str">
        <f>IF(C74&gt;EOMONTH(DATE('Input|General'!$G$12,MONTH('Input|General'!$G$9),1),0),"Ok",IF(ISBLANK($F74),"Check","Ok"))</f>
        <v>Ok</v>
      </c>
    </row>
    <row r="75" spans="3:20">
      <c r="C75" s="55">
        <v>45199</v>
      </c>
      <c r="D75" s="8"/>
      <c r="E75" s="8"/>
      <c r="F75" s="54">
        <v>135.30000000000001</v>
      </c>
      <c r="G75" s="79">
        <f t="shared" si="1"/>
        <v>5.3738317757009435E-2</v>
      </c>
      <c r="H75" s="138"/>
      <c r="I75" s="8"/>
      <c r="J75" s="8"/>
      <c r="T75" s="90" t="str">
        <f>IF(C75&gt;EOMONTH(DATE('Input|General'!$G$12,MONTH('Input|General'!$G$9),1),0),"Ok",IF(ISBLANK($F75),"Check","Ok"))</f>
        <v>Ok</v>
      </c>
    </row>
    <row r="76" spans="3:20">
      <c r="C76" s="55">
        <v>45291</v>
      </c>
      <c r="D76" s="8"/>
      <c r="E76" s="8"/>
      <c r="F76" s="54">
        <v>136.1628</v>
      </c>
      <c r="G76" s="79">
        <f t="shared" si="1"/>
        <v>4.0999999999999925E-2</v>
      </c>
      <c r="H76" s="138"/>
      <c r="I76" s="8"/>
      <c r="J76" s="8"/>
      <c r="T76" s="90" t="str">
        <f>IF(C76&gt;EOMONTH(DATE('Input|General'!$G$12,MONTH('Input|General'!$G$9),1),0),"Ok",IF(ISBLANK($F76),"Check","Ok"))</f>
        <v>Ok</v>
      </c>
    </row>
    <row r="77" spans="3:20">
      <c r="C77" s="55">
        <v>45382</v>
      </c>
      <c r="D77" s="8"/>
      <c r="E77" s="8"/>
      <c r="F77" s="54">
        <v>137.70509999999999</v>
      </c>
      <c r="G77" s="79">
        <f t="shared" si="1"/>
        <v>3.8499999999999979E-2</v>
      </c>
      <c r="H77" s="138"/>
      <c r="I77" s="8"/>
      <c r="J77" s="8"/>
      <c r="T77" s="90" t="str">
        <f>IF(C77&gt;EOMONTH(DATE('Input|General'!$G$12,MONTH('Input|General'!$G$9),1),0),"Ok",IF(ISBLANK($F77),"Check","Ok"))</f>
        <v>Ok</v>
      </c>
    </row>
    <row r="78" spans="3:20">
      <c r="C78" s="55">
        <v>45473</v>
      </c>
      <c r="D78" s="8"/>
      <c r="E78" s="8"/>
      <c r="F78" s="54">
        <v>138.51319999999998</v>
      </c>
      <c r="G78" s="79">
        <f t="shared" si="1"/>
        <v>3.6000000000000032E-2</v>
      </c>
      <c r="H78" s="138"/>
      <c r="I78" s="8"/>
      <c r="J78" s="8"/>
      <c r="T78" s="90" t="str">
        <f>IF(C78&gt;EOMONTH(DATE('Input|General'!$G$12,MONTH('Input|General'!$G$9),1),0),"Ok",IF(ISBLANK($F78),"Check","Ok"))</f>
        <v>Ok</v>
      </c>
    </row>
    <row r="79" spans="3:20">
      <c r="C79" s="55">
        <v>45565</v>
      </c>
      <c r="D79" s="8"/>
      <c r="E79" s="8"/>
      <c r="F79" s="54">
        <v>139.96785</v>
      </c>
      <c r="G79" s="79">
        <f t="shared" si="1"/>
        <v>3.4499999999999975E-2</v>
      </c>
      <c r="H79" s="138"/>
      <c r="I79" s="8"/>
      <c r="J79" s="8"/>
      <c r="T79" s="90" t="str">
        <f>IF(C79&gt;EOMONTH(DATE('Input|General'!$G$12,MONTH('Input|General'!$G$9),1),0),"Ok",IF(ISBLANK($F79),"Check","Ok"))</f>
        <v>Ok</v>
      </c>
    </row>
    <row r="80" spans="3:20">
      <c r="C80" s="55">
        <v>45657</v>
      </c>
      <c r="D80" s="8"/>
      <c r="E80" s="8"/>
      <c r="F80" s="54">
        <v>140.6561724</v>
      </c>
      <c r="G80" s="79">
        <f t="shared" si="1"/>
        <v>3.2999999999999918E-2</v>
      </c>
      <c r="H80" s="138"/>
      <c r="I80" s="8"/>
      <c r="J80" s="8"/>
      <c r="T80" s="90" t="str">
        <f>IF(C80&gt;EOMONTH(DATE('Input|General'!$G$12,MONTH('Input|General'!$G$9),1),0),"Ok",IF(ISBLANK($F80),"Check","Ok"))</f>
        <v>Ok</v>
      </c>
    </row>
    <row r="81" spans="1:48">
      <c r="C81" s="55">
        <v>45747</v>
      </c>
      <c r="D81" s="8"/>
      <c r="E81" s="8"/>
      <c r="F81" s="54">
        <v>142.11166319999998</v>
      </c>
      <c r="G81" s="79">
        <f t="shared" si="1"/>
        <v>3.2000000000000028E-2</v>
      </c>
      <c r="H81" s="138"/>
      <c r="I81" s="8"/>
      <c r="J81" s="8"/>
      <c r="T81" s="90" t="str">
        <f>IF(C81&gt;EOMONTH(DATE('Input|General'!$G$12,MONTH('Input|General'!$G$9),1),0),"Ok",IF(ISBLANK($F81),"Check","Ok"))</f>
        <v>Ok</v>
      </c>
    </row>
    <row r="82" spans="1:48">
      <c r="C82" s="55">
        <v>45838</v>
      </c>
      <c r="D82" s="8"/>
      <c r="E82" s="8"/>
      <c r="F82" s="54">
        <v>142.80710919999999</v>
      </c>
      <c r="G82" s="79">
        <f t="shared" si="1"/>
        <v>3.0999999999999917E-2</v>
      </c>
      <c r="H82" s="138"/>
      <c r="I82" s="8"/>
      <c r="J82" s="8"/>
      <c r="T82" s="90" t="str">
        <f>IF(C82&gt;EOMONTH(DATE('Input|General'!$G$12,MONTH('Input|General'!$G$9),1),0),"Ok",IF(ISBLANK($F82),"Check","Ok"))</f>
        <v>Ok</v>
      </c>
    </row>
    <row r="83" spans="1:48">
      <c r="C83" s="55">
        <v>45930</v>
      </c>
      <c r="D83" s="8"/>
      <c r="E83" s="8"/>
      <c r="F83" s="54">
        <v>144.09674839967553</v>
      </c>
      <c r="G83" s="79">
        <f t="shared" si="1"/>
        <v>2.9498905639227413E-2</v>
      </c>
      <c r="H83" s="138"/>
      <c r="I83" s="8"/>
      <c r="J83" s="8"/>
      <c r="T83" s="90" t="str">
        <f>IF(C83&gt;EOMONTH(DATE('Input|General'!$G$12,MONTH('Input|General'!$G$9),1),0),"Ok",IF(ISBLANK($F83),"Check","Ok"))</f>
        <v>Ok</v>
      </c>
    </row>
    <row r="84" spans="1:48">
      <c r="C84" s="55">
        <v>46022</v>
      </c>
      <c r="D84" s="8"/>
      <c r="E84" s="8"/>
      <c r="F84" s="54">
        <v>144.59423737000498</v>
      </c>
      <c r="G84" s="79">
        <f t="shared" si="1"/>
        <v>2.7997811278454687E-2</v>
      </c>
      <c r="H84" s="138"/>
      <c r="I84" s="8"/>
      <c r="J84" s="8"/>
      <c r="T84" s="90" t="str">
        <f>IF(C84&gt;EOMONTH(DATE('Input|General'!$G$12,MONTH('Input|General'!$G$9),1),0),"Ok",IF(ISBLANK($F84),"Check","Ok"))</f>
        <v>Ok</v>
      </c>
    </row>
    <row r="85" spans="1:48">
      <c r="F85" s="8"/>
      <c r="G85" s="8"/>
      <c r="H85" s="8"/>
      <c r="I85" s="8"/>
      <c r="J85" s="8"/>
      <c r="T85" s="91"/>
    </row>
    <row r="86" spans="1:48" customFormat="1" ht="12.75">
      <c r="A86" s="37"/>
      <c r="B86" s="43" t="s">
        <v>23</v>
      </c>
      <c r="C86" s="37"/>
      <c r="D86" s="37"/>
      <c r="E86" s="37"/>
      <c r="F86" s="37"/>
      <c r="G86" s="38"/>
      <c r="H86" s="38"/>
      <c r="I86" s="38"/>
      <c r="J86" s="38"/>
      <c r="K86" s="39"/>
      <c r="L86" s="40"/>
      <c r="M86" s="39"/>
      <c r="N86" s="40"/>
      <c r="O86" s="39"/>
      <c r="P86" s="39"/>
      <c r="Q86" s="39"/>
      <c r="R86" s="39"/>
      <c r="S86" s="39"/>
      <c r="T86" s="39"/>
      <c r="U86" s="39"/>
      <c r="V86" s="39"/>
      <c r="W86" s="40"/>
      <c r="X86" s="40"/>
      <c r="Y86" s="41"/>
      <c r="Z86" s="41"/>
      <c r="AA86" s="41"/>
      <c r="AB86" s="41"/>
      <c r="AC86" s="41"/>
      <c r="AD86" s="42"/>
      <c r="AE86" s="42"/>
    </row>
    <row r="87" spans="1:48" hidden="1">
      <c r="H87" s="21"/>
      <c r="I87" s="21"/>
    </row>
    <row r="88" spans="1:48" hidden="1">
      <c r="H88" s="21"/>
      <c r="I88" s="21"/>
    </row>
    <row r="89" spans="1:48" s="16" customFormat="1" hidden="1">
      <c r="A89" s="8"/>
      <c r="B89" s="8"/>
      <c r="C89" s="8"/>
      <c r="H89" s="21"/>
      <c r="I89" s="21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</row>
    <row r="90" spans="1:48" s="16" customFormat="1" hidden="1">
      <c r="A90" s="8"/>
      <c r="B90" s="8"/>
      <c r="C90" s="8"/>
      <c r="H90" s="21"/>
      <c r="I90" s="21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</row>
    <row r="91" spans="1:48" s="16" customFormat="1" hidden="1">
      <c r="A91" s="8"/>
      <c r="B91" s="8"/>
      <c r="C91" s="8"/>
      <c r="H91" s="21"/>
      <c r="I91" s="21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</row>
    <row r="92" spans="1:48" s="16" customFormat="1" hidden="1">
      <c r="A92" s="8"/>
      <c r="B92" s="8"/>
      <c r="C92" s="8"/>
      <c r="H92" s="21"/>
      <c r="I92" s="21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</row>
    <row r="93" spans="1:48" s="16" customFormat="1" hidden="1">
      <c r="A93" s="8"/>
      <c r="B93" s="8"/>
      <c r="C93" s="8"/>
      <c r="H93" s="21"/>
      <c r="I93" s="21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</row>
    <row r="94" spans="1:48" s="16" customFormat="1" hidden="1">
      <c r="A94" s="8"/>
      <c r="B94" s="8"/>
      <c r="C94" s="8"/>
      <c r="H94" s="21"/>
      <c r="I94" s="21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</row>
    <row r="95" spans="1:48" s="16" customFormat="1" hidden="1">
      <c r="A95" s="8"/>
      <c r="B95" s="8"/>
      <c r="C95" s="8"/>
      <c r="H95" s="21"/>
      <c r="I95" s="21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</row>
    <row r="96" spans="1:48" s="16" customFormat="1" hidden="1">
      <c r="A96" s="8"/>
      <c r="B96" s="8"/>
      <c r="C96" s="8"/>
      <c r="H96" s="21"/>
      <c r="I96" s="21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</row>
  </sheetData>
  <conditionalFormatting sqref="X14:X50 T85 X63:X85">
    <cfRule type="cellIs" dxfId="187" priority="11" operator="equal">
      <formula>"Check"</formula>
    </cfRule>
    <cfRule type="cellIs" dxfId="186" priority="12" operator="equal">
      <formula>"Ok"</formula>
    </cfRule>
  </conditionalFormatting>
  <conditionalFormatting sqref="W1">
    <cfRule type="cellIs" dxfId="185" priority="7" operator="equal">
      <formula>"Check"</formula>
    </cfRule>
    <cfRule type="cellIs" dxfId="184" priority="8" operator="equal">
      <formula>"Ok"</formula>
    </cfRule>
  </conditionalFormatting>
  <conditionalFormatting sqref="T1">
    <cfRule type="cellIs" dxfId="183" priority="5" operator="equal">
      <formula>"Check"</formula>
    </cfRule>
    <cfRule type="cellIs" dxfId="182" priority="6" operator="equal">
      <formula>"Ok"</formula>
    </cfRule>
  </conditionalFormatting>
  <conditionalFormatting sqref="X51:X57">
    <cfRule type="cellIs" dxfId="181" priority="3" operator="equal">
      <formula>"Check"</formula>
    </cfRule>
    <cfRule type="cellIs" dxfId="180" priority="4" operator="equal">
      <formula>"Ok"</formula>
    </cfRule>
  </conditionalFormatting>
  <conditionalFormatting sqref="X58:X62 T9:T84">
    <cfRule type="cellIs" dxfId="179" priority="1" operator="equal">
      <formula>"Check"</formula>
    </cfRule>
    <cfRule type="cellIs" dxfId="178" priority="2" operator="equal">
      <formula>"Ok"</formula>
    </cfRule>
  </conditionalFormatting>
  <dataValidations count="2">
    <dataValidation type="list" allowBlank="1" showInputMessage="1" showErrorMessage="1" sqref="G85" xr:uid="{00000000-0002-0000-0200-000000000000}">
      <formula1>"Real 2010,Real 2011,Real 2012,Real 2013,Real 2014,Real 2015,Nominal"</formula1>
    </dataValidation>
    <dataValidation type="list" allowBlank="1" showInputMessage="1" showErrorMessage="1" sqref="J12:J85" xr:uid="{00000000-0002-0000-0200-000001000000}">
      <formula1>#REF!</formula1>
    </dataValidation>
  </dataValidations>
  <hyperlinks>
    <hyperlink ref="K1" location="Index!A1" display="Back to Index" xr:uid="{00000000-0004-0000-0200-000000000000}"/>
    <hyperlink ref="V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FFFF99"/>
  </sheetPr>
  <dimension ref="A1:W72"/>
  <sheetViews>
    <sheetView zoomScaleNormal="100" workbookViewId="0">
      <selection activeCell="N19" sqref="N19"/>
    </sheetView>
  </sheetViews>
  <sheetFormatPr defaultColWidth="0" defaultRowHeight="11.25" zeroHeight="1"/>
  <cols>
    <col min="1" max="2" width="1.6640625" customWidth="1"/>
    <col min="3" max="3" width="49.83203125" bestFit="1" customWidth="1"/>
    <col min="4" max="6" width="13.33203125" customWidth="1"/>
    <col min="7" max="9" width="3.33203125" customWidth="1"/>
    <col min="10" max="23" width="10.83203125" customWidth="1"/>
    <col min="24" max="16384" width="9.33203125" hidden="1"/>
  </cols>
  <sheetData>
    <row r="1" spans="1:23" ht="15.75">
      <c r="A1" s="32"/>
      <c r="B1" s="29"/>
      <c r="C1" s="29" t="str">
        <f>Index!$B$1</f>
        <v>AER opex model v1.8</v>
      </c>
      <c r="D1" s="29"/>
      <c r="E1" s="29"/>
      <c r="F1" s="30"/>
      <c r="G1" s="30"/>
      <c r="H1" s="30"/>
      <c r="I1" s="30"/>
      <c r="J1" s="162" t="s">
        <v>24</v>
      </c>
      <c r="K1" s="32"/>
      <c r="L1" s="33" t="s">
        <v>25</v>
      </c>
      <c r="M1" s="50" t="s">
        <v>26</v>
      </c>
      <c r="N1" s="11" t="s">
        <v>27</v>
      </c>
      <c r="O1" s="12" t="s">
        <v>28</v>
      </c>
      <c r="P1" s="32"/>
      <c r="Q1" s="32"/>
      <c r="R1" s="33" t="s">
        <v>29</v>
      </c>
      <c r="S1" s="34" t="str">
        <f>IF(COUNTA($W$29:$W$265)=COUNTIF($W$29:$W$265,"OK"),"OK","Check")</f>
        <v>OK</v>
      </c>
      <c r="T1" s="32"/>
      <c r="U1" s="137" t="s">
        <v>30</v>
      </c>
      <c r="V1" s="34" t="str">
        <f>'Check|List'!$S$1</f>
        <v>Ok</v>
      </c>
      <c r="W1" s="32"/>
    </row>
    <row r="2" spans="1:23" ht="13.5" thickBot="1">
      <c r="A2" s="36"/>
      <c r="B2" s="35"/>
      <c r="C2" s="35" t="str">
        <f>Index!$C$9</f>
        <v>Input | Reported opex</v>
      </c>
      <c r="D2" s="35"/>
      <c r="E2" s="35"/>
      <c r="F2" s="59"/>
      <c r="G2" s="59"/>
      <c r="H2" s="59"/>
      <c r="I2" s="59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3">
      <c r="A3" s="92"/>
      <c r="B3" s="92"/>
      <c r="C3" s="92"/>
      <c r="D3" s="93"/>
      <c r="E3" s="93"/>
      <c r="F3" s="93"/>
      <c r="G3" s="93"/>
      <c r="H3" s="93"/>
      <c r="I3" s="93"/>
      <c r="J3" s="115" t="s">
        <v>41</v>
      </c>
      <c r="K3" s="114"/>
      <c r="L3" s="114"/>
      <c r="M3" s="114"/>
      <c r="N3" s="114"/>
      <c r="O3" s="114"/>
      <c r="P3" s="114"/>
      <c r="Q3" s="114"/>
      <c r="R3" s="114"/>
      <c r="S3" s="114"/>
      <c r="T3" s="94"/>
      <c r="U3" s="94"/>
      <c r="V3" s="94"/>
      <c r="W3" s="94"/>
    </row>
    <row r="4" spans="1:23">
      <c r="A4" s="62"/>
      <c r="B4" s="62"/>
      <c r="C4" s="62"/>
      <c r="D4" s="63" t="s">
        <v>33</v>
      </c>
      <c r="E4" s="63" t="s">
        <v>53</v>
      </c>
      <c r="F4" s="64" t="s">
        <v>56</v>
      </c>
      <c r="G4" s="65"/>
      <c r="H4" s="65"/>
      <c r="I4" s="65"/>
      <c r="J4" s="113">
        <f>DATE(PPFirstYear,MONTH('Input|General'!$G$9),1)</f>
        <v>44348</v>
      </c>
      <c r="K4" s="113">
        <f>DATE(PPFirstYear+1,MONTH('Input|General'!$G$9),1)</f>
        <v>44713</v>
      </c>
      <c r="L4" s="113">
        <f>DATE(PPFirstYear+2,MONTH('Input|General'!$G$9),1)</f>
        <v>45078</v>
      </c>
      <c r="M4" s="113">
        <f>DATE(PPFirstYear+3,MONTH('Input|General'!$G$9),1)</f>
        <v>45444</v>
      </c>
      <c r="N4" s="113">
        <f>DATE(PPFirstYear+4,MONTH('Input|General'!$G$9),1)</f>
        <v>45809</v>
      </c>
      <c r="O4" s="113">
        <f>DATE(PPFirstYear+5,MONTH('Input|General'!$G$9),1)</f>
        <v>46174</v>
      </c>
      <c r="P4" s="113">
        <f>DATE(PPFirstYear+6,MONTH('Input|General'!$G$9),1)</f>
        <v>46539</v>
      </c>
      <c r="Q4" s="113">
        <f>DATE(PPFirstYear+7,MONTH('Input|General'!$G$9),1)</f>
        <v>46905</v>
      </c>
      <c r="R4" s="113">
        <f>DATE(PPFirstYear+8,MONTH('Input|General'!$G$9),1)</f>
        <v>47270</v>
      </c>
      <c r="S4" s="113">
        <f>DATE(PPFirstYear+9,MONTH('Input|General'!$G$9),1)</f>
        <v>47635</v>
      </c>
      <c r="T4" s="66"/>
      <c r="U4" s="66"/>
      <c r="V4" s="67"/>
      <c r="W4" s="67"/>
    </row>
    <row r="5" spans="1:23" ht="5.25" customHeight="1">
      <c r="A5" s="6"/>
      <c r="B5" s="6"/>
      <c r="C5" s="6"/>
      <c r="D5" s="27"/>
      <c r="E5" s="27"/>
      <c r="F5" s="27"/>
      <c r="G5" s="27"/>
      <c r="H5" s="27"/>
      <c r="I5" s="2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6.75" customHeight="1">
      <c r="A6" s="6"/>
      <c r="B6" s="6"/>
      <c r="C6" s="6"/>
      <c r="D6" s="27"/>
      <c r="E6" s="27"/>
      <c r="F6" s="27"/>
      <c r="G6" s="27"/>
      <c r="H6" s="27"/>
      <c r="I6" s="27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5.25" customHeight="1">
      <c r="A7" s="6"/>
      <c r="B7" s="6"/>
      <c r="C7" s="6"/>
      <c r="D7" s="27"/>
      <c r="E7" s="27"/>
      <c r="F7" s="27"/>
      <c r="G7" s="27"/>
      <c r="H7" s="27"/>
      <c r="I7" s="27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2.75">
      <c r="A8" s="37"/>
      <c r="B8" s="43" t="s">
        <v>57</v>
      </c>
      <c r="C8" s="37"/>
      <c r="D8" s="37"/>
      <c r="E8" s="37"/>
      <c r="F8" s="38"/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40"/>
      <c r="W8" s="40"/>
    </row>
    <row r="9" spans="1:23">
      <c r="A9" s="8"/>
      <c r="B9" s="8"/>
      <c r="C9" s="8"/>
      <c r="D9" s="16"/>
      <c r="E9" s="16"/>
      <c r="F9" s="16"/>
      <c r="G9" s="21"/>
      <c r="H9" s="21"/>
      <c r="I9" s="1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8"/>
      <c r="B10" s="8"/>
      <c r="C10" s="9" t="s">
        <v>58</v>
      </c>
      <c r="D10" s="21" t="s">
        <v>33</v>
      </c>
      <c r="E10" s="21" t="s">
        <v>53</v>
      </c>
      <c r="F10" s="21" t="s">
        <v>56</v>
      </c>
      <c r="G10" s="21"/>
      <c r="H10" s="21"/>
      <c r="I10" s="16"/>
      <c r="J10" s="116">
        <f t="shared" ref="J10:S10" si="0">IF(YEAR(J$4)&lt;=PPLastYear,J$4,"")</f>
        <v>44348</v>
      </c>
      <c r="K10" s="116">
        <f t="shared" si="0"/>
        <v>44713</v>
      </c>
      <c r="L10" s="116">
        <f t="shared" si="0"/>
        <v>45078</v>
      </c>
      <c r="M10" s="116">
        <f t="shared" si="0"/>
        <v>45444</v>
      </c>
      <c r="N10" s="116">
        <f t="shared" si="0"/>
        <v>45809</v>
      </c>
      <c r="O10" s="116" t="str">
        <f t="shared" si="0"/>
        <v/>
      </c>
      <c r="P10" s="116" t="str">
        <f t="shared" si="0"/>
        <v/>
      </c>
      <c r="Q10" s="116" t="str">
        <f t="shared" si="0"/>
        <v/>
      </c>
      <c r="R10" s="116" t="str">
        <f t="shared" si="0"/>
        <v/>
      </c>
      <c r="S10" s="116" t="str">
        <f t="shared" si="0"/>
        <v/>
      </c>
      <c r="T10" s="95" t="s">
        <v>59</v>
      </c>
      <c r="U10" s="96"/>
      <c r="V10" s="96"/>
      <c r="W10" s="8"/>
    </row>
    <row r="11" spans="1:23">
      <c r="A11" s="8"/>
      <c r="B11" s="8"/>
      <c r="C11" s="15"/>
      <c r="D11" s="16"/>
      <c r="E11" s="16"/>
      <c r="F11" s="16"/>
      <c r="G11" s="21"/>
      <c r="H11" s="21"/>
      <c r="I11" s="16"/>
      <c r="J11" s="23"/>
      <c r="K11" s="23"/>
      <c r="L11" s="23"/>
      <c r="M11" s="23"/>
      <c r="N11" s="23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8"/>
      <c r="B12" s="8"/>
      <c r="C12" s="15"/>
      <c r="D12" s="16"/>
      <c r="E12" s="16"/>
      <c r="F12" s="16"/>
      <c r="G12" s="21"/>
      <c r="H12" s="21"/>
      <c r="I12" s="16"/>
      <c r="J12" s="23"/>
      <c r="K12" s="23"/>
      <c r="L12" s="23"/>
      <c r="M12" s="23"/>
      <c r="N12" s="23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8"/>
      <c r="B13" s="8"/>
      <c r="C13" s="52" t="s">
        <v>60</v>
      </c>
      <c r="D13" s="16" t="s">
        <v>39</v>
      </c>
      <c r="E13" s="125" t="s">
        <v>61</v>
      </c>
      <c r="F13" s="125">
        <v>43983</v>
      </c>
      <c r="G13" s="21"/>
      <c r="H13" s="21"/>
      <c r="I13" s="16"/>
      <c r="J13" s="121">
        <v>358.86913276837555</v>
      </c>
      <c r="K13" s="121">
        <v>356.63834710957821</v>
      </c>
      <c r="L13" s="121">
        <v>354.7736418663323</v>
      </c>
      <c r="M13" s="121">
        <v>353.23596068114847</v>
      </c>
      <c r="N13" s="121">
        <v>351.20546531668901</v>
      </c>
      <c r="O13" s="109"/>
      <c r="P13" s="109"/>
      <c r="Q13" s="109"/>
      <c r="R13" s="109"/>
      <c r="S13" s="109"/>
      <c r="T13" s="8" t="s">
        <v>62</v>
      </c>
      <c r="U13" s="8"/>
      <c r="V13" s="8"/>
      <c r="W13" s="8"/>
    </row>
    <row r="14" spans="1:23">
      <c r="A14" s="8"/>
      <c r="B14" s="8"/>
      <c r="C14" s="15"/>
      <c r="D14" s="16"/>
      <c r="E14" s="16"/>
      <c r="F14" s="16"/>
      <c r="G14" s="21"/>
      <c r="H14" s="21"/>
      <c r="I14" s="16"/>
      <c r="J14" s="23"/>
      <c r="K14" s="23"/>
      <c r="L14" s="23"/>
      <c r="M14" s="23"/>
      <c r="N14" s="23"/>
      <c r="O14" s="8"/>
      <c r="P14" s="8"/>
      <c r="Q14" s="8"/>
      <c r="R14" s="8"/>
      <c r="S14" s="8"/>
      <c r="T14" s="8"/>
      <c r="U14" s="8"/>
      <c r="V14" s="8"/>
      <c r="W14" s="8"/>
    </row>
    <row r="15" spans="1:23">
      <c r="A15" s="8"/>
      <c r="B15" s="8"/>
      <c r="C15" s="97" t="s">
        <v>60</v>
      </c>
      <c r="D15" s="98" t="str">
        <f>D13</f>
        <v>AER</v>
      </c>
      <c r="E15" s="150" t="str">
        <f>E13</f>
        <v>$millions</v>
      </c>
      <c r="F15" s="150">
        <f>F13</f>
        <v>43983</v>
      </c>
      <c r="G15" s="21"/>
      <c r="H15" s="21"/>
      <c r="I15" s="16"/>
      <c r="J15" s="88">
        <f>J13</f>
        <v>358.86913276837555</v>
      </c>
      <c r="K15" s="88">
        <f t="shared" ref="K15:S15" si="1">K13</f>
        <v>356.63834710957821</v>
      </c>
      <c r="L15" s="88">
        <f t="shared" si="1"/>
        <v>354.7736418663323</v>
      </c>
      <c r="M15" s="88">
        <f t="shared" si="1"/>
        <v>353.23596068114847</v>
      </c>
      <c r="N15" s="88">
        <f t="shared" si="1"/>
        <v>351.20546531668901</v>
      </c>
      <c r="O15" s="88">
        <f t="shared" si="1"/>
        <v>0</v>
      </c>
      <c r="P15" s="88">
        <f t="shared" si="1"/>
        <v>0</v>
      </c>
      <c r="Q15" s="88">
        <f t="shared" si="1"/>
        <v>0</v>
      </c>
      <c r="R15" s="88">
        <f t="shared" si="1"/>
        <v>0</v>
      </c>
      <c r="S15" s="88">
        <f t="shared" si="1"/>
        <v>0</v>
      </c>
      <c r="T15" s="8"/>
      <c r="U15" s="8"/>
      <c r="V15" s="8"/>
      <c r="W15" s="8"/>
    </row>
    <row r="16" spans="1:23">
      <c r="A16" s="8"/>
      <c r="B16" s="8"/>
      <c r="C16" s="15"/>
      <c r="D16" s="16"/>
      <c r="E16" s="16"/>
      <c r="F16" s="16"/>
      <c r="G16" s="21"/>
      <c r="H16" s="21"/>
      <c r="I16" s="16"/>
      <c r="J16" s="23"/>
      <c r="K16" s="23"/>
      <c r="L16" s="23"/>
      <c r="M16" s="23"/>
      <c r="N16" s="23"/>
      <c r="O16" s="8"/>
      <c r="P16" s="8"/>
      <c r="Q16" s="8"/>
      <c r="R16" s="8"/>
      <c r="S16" s="8"/>
      <c r="T16" s="8"/>
      <c r="U16" s="8"/>
      <c r="V16" s="8"/>
      <c r="W16" s="8"/>
    </row>
    <row r="17" spans="1:23">
      <c r="A17" s="8"/>
      <c r="B17" s="8"/>
      <c r="C17" s="9" t="s">
        <v>63</v>
      </c>
      <c r="D17" s="16"/>
      <c r="E17" s="16"/>
      <c r="F17" s="16"/>
      <c r="G17" s="21"/>
      <c r="H17" s="21"/>
      <c r="I17" s="16"/>
      <c r="J17" s="23"/>
      <c r="K17" s="23"/>
      <c r="L17" s="23"/>
      <c r="M17" s="23"/>
      <c r="N17" s="23"/>
      <c r="O17" s="8"/>
      <c r="P17" s="8"/>
      <c r="Q17" s="8"/>
      <c r="R17" s="8"/>
      <c r="S17" s="8"/>
      <c r="T17" s="8"/>
      <c r="U17" s="8"/>
      <c r="V17" s="8"/>
      <c r="W17" s="8"/>
    </row>
    <row r="18" spans="1:23">
      <c r="A18" s="8"/>
      <c r="B18" s="8"/>
      <c r="C18" s="15"/>
      <c r="D18" s="16"/>
      <c r="E18" s="16"/>
      <c r="F18" s="16"/>
      <c r="G18" s="21"/>
      <c r="H18" s="21"/>
      <c r="I18" s="16"/>
      <c r="J18" s="23"/>
      <c r="K18" s="23"/>
      <c r="L18" s="23"/>
      <c r="M18" s="23"/>
      <c r="N18" s="23"/>
      <c r="O18" s="8"/>
      <c r="P18" s="8"/>
      <c r="Q18" s="8"/>
      <c r="R18" s="8"/>
      <c r="S18" s="8"/>
      <c r="T18" s="8"/>
      <c r="U18" s="8"/>
      <c r="V18" s="8"/>
      <c r="W18" s="8"/>
    </row>
    <row r="19" spans="1:23">
      <c r="A19" s="8"/>
      <c r="B19" s="8"/>
      <c r="C19" s="52" t="s">
        <v>64</v>
      </c>
      <c r="D19" s="16" t="s">
        <v>39</v>
      </c>
      <c r="E19" s="16" t="str">
        <f>$E$29</f>
        <v>$millions</v>
      </c>
      <c r="F19" s="118">
        <f t="shared" ref="F19:F27" si="2">$F$15</f>
        <v>43983</v>
      </c>
      <c r="G19" s="21"/>
      <c r="H19" s="21"/>
      <c r="I19" s="16"/>
      <c r="J19" s="121">
        <v>6.2360603100793064</v>
      </c>
      <c r="K19" s="121">
        <v>6.2254559599410166</v>
      </c>
      <c r="L19" s="121">
        <v>6.2140986735567312</v>
      </c>
      <c r="M19" s="121">
        <v>6.199284859258392</v>
      </c>
      <c r="N19" s="121">
        <v>6.1738172083459428</v>
      </c>
      <c r="O19" s="109"/>
      <c r="P19" s="109"/>
      <c r="Q19" s="109"/>
      <c r="R19" s="109"/>
      <c r="S19" s="109"/>
      <c r="T19" s="8" t="s">
        <v>65</v>
      </c>
      <c r="U19" s="8"/>
      <c r="V19" s="8"/>
      <c r="W19" s="8"/>
    </row>
    <row r="20" spans="1:23">
      <c r="A20" s="8"/>
      <c r="B20" s="8"/>
      <c r="C20" s="52" t="s">
        <v>66</v>
      </c>
      <c r="D20" s="16" t="s">
        <v>39</v>
      </c>
      <c r="E20" s="16" t="str">
        <f t="shared" ref="E20:E27" si="3">$E$15</f>
        <v>$millions</v>
      </c>
      <c r="F20" s="118">
        <f t="shared" si="2"/>
        <v>43983</v>
      </c>
      <c r="G20" s="21"/>
      <c r="H20" s="21"/>
      <c r="I20" s="16"/>
      <c r="J20" s="121"/>
      <c r="K20" s="121"/>
      <c r="L20" s="121"/>
      <c r="M20" s="121"/>
      <c r="N20" s="121"/>
      <c r="O20" s="109"/>
      <c r="P20" s="109"/>
      <c r="Q20" s="109"/>
      <c r="R20" s="109"/>
      <c r="S20" s="109"/>
      <c r="T20" s="8"/>
      <c r="U20" s="8"/>
      <c r="V20" s="8"/>
      <c r="W20" s="8"/>
    </row>
    <row r="21" spans="1:23">
      <c r="A21" s="8"/>
      <c r="B21" s="8"/>
      <c r="C21" s="52"/>
      <c r="D21" s="16" t="s">
        <v>39</v>
      </c>
      <c r="E21" s="16" t="str">
        <f t="shared" si="3"/>
        <v>$millions</v>
      </c>
      <c r="F21" s="118">
        <f t="shared" si="2"/>
        <v>43983</v>
      </c>
      <c r="G21" s="21"/>
      <c r="H21" s="21"/>
      <c r="I21" s="16"/>
      <c r="J21" s="121"/>
      <c r="K21" s="121"/>
      <c r="L21" s="121"/>
      <c r="M21" s="121"/>
      <c r="N21" s="121"/>
      <c r="O21" s="109"/>
      <c r="P21" s="109"/>
      <c r="Q21" s="109"/>
      <c r="R21" s="109"/>
      <c r="S21" s="109"/>
      <c r="T21" s="8"/>
      <c r="U21" s="8"/>
      <c r="V21" s="8"/>
      <c r="W21" s="8"/>
    </row>
    <row r="22" spans="1:23">
      <c r="A22" s="8"/>
      <c r="B22" s="8"/>
      <c r="C22" s="52"/>
      <c r="D22" s="16" t="s">
        <v>39</v>
      </c>
      <c r="E22" s="16" t="str">
        <f t="shared" si="3"/>
        <v>$millions</v>
      </c>
      <c r="F22" s="118">
        <f t="shared" si="2"/>
        <v>43983</v>
      </c>
      <c r="G22" s="21"/>
      <c r="H22" s="21"/>
      <c r="I22" s="16"/>
      <c r="J22" s="121"/>
      <c r="K22" s="121"/>
      <c r="L22" s="121"/>
      <c r="M22" s="121"/>
      <c r="N22" s="121"/>
      <c r="O22" s="109"/>
      <c r="P22" s="109"/>
      <c r="Q22" s="109"/>
      <c r="R22" s="109"/>
      <c r="S22" s="109"/>
      <c r="T22" s="8"/>
      <c r="U22" s="8"/>
      <c r="V22" s="8"/>
      <c r="W22" s="8"/>
    </row>
    <row r="23" spans="1:23">
      <c r="A23" s="8"/>
      <c r="B23" s="8"/>
      <c r="C23" s="52"/>
      <c r="D23" s="16" t="s">
        <v>39</v>
      </c>
      <c r="E23" s="16" t="str">
        <f t="shared" si="3"/>
        <v>$millions</v>
      </c>
      <c r="F23" s="118">
        <f t="shared" si="2"/>
        <v>43983</v>
      </c>
      <c r="G23" s="21"/>
      <c r="H23" s="21"/>
      <c r="I23" s="16"/>
      <c r="J23" s="121"/>
      <c r="K23" s="121"/>
      <c r="L23" s="121"/>
      <c r="M23" s="121"/>
      <c r="N23" s="121"/>
      <c r="O23" s="109"/>
      <c r="P23" s="109"/>
      <c r="Q23" s="109"/>
      <c r="R23" s="109"/>
      <c r="S23" s="109"/>
      <c r="T23" s="8"/>
      <c r="U23" s="8"/>
      <c r="V23" s="8"/>
      <c r="W23" s="8"/>
    </row>
    <row r="24" spans="1:23">
      <c r="A24" s="8"/>
      <c r="B24" s="8"/>
      <c r="C24" s="52"/>
      <c r="D24" s="16" t="s">
        <v>39</v>
      </c>
      <c r="E24" s="16" t="str">
        <f t="shared" si="3"/>
        <v>$millions</v>
      </c>
      <c r="F24" s="118">
        <f t="shared" si="2"/>
        <v>43983</v>
      </c>
      <c r="G24" s="21"/>
      <c r="H24" s="21"/>
      <c r="I24" s="16"/>
      <c r="J24" s="121"/>
      <c r="K24" s="121"/>
      <c r="L24" s="121"/>
      <c r="M24" s="121"/>
      <c r="N24" s="121"/>
      <c r="O24" s="109"/>
      <c r="P24" s="109"/>
      <c r="Q24" s="109"/>
      <c r="R24" s="109"/>
      <c r="S24" s="109"/>
      <c r="T24" s="8"/>
      <c r="U24" s="8"/>
      <c r="V24" s="8"/>
      <c r="W24" s="8"/>
    </row>
    <row r="25" spans="1:23">
      <c r="A25" s="8"/>
      <c r="B25" s="8"/>
      <c r="C25" s="52"/>
      <c r="D25" s="16" t="s">
        <v>39</v>
      </c>
      <c r="E25" s="16" t="str">
        <f t="shared" si="3"/>
        <v>$millions</v>
      </c>
      <c r="F25" s="118">
        <f t="shared" si="2"/>
        <v>43983</v>
      </c>
      <c r="G25" s="21"/>
      <c r="H25" s="21"/>
      <c r="I25" s="16"/>
      <c r="J25" s="121"/>
      <c r="K25" s="121"/>
      <c r="L25" s="121"/>
      <c r="M25" s="121"/>
      <c r="N25" s="121"/>
      <c r="O25" s="109"/>
      <c r="P25" s="109"/>
      <c r="Q25" s="109"/>
      <c r="R25" s="109"/>
      <c r="S25" s="109"/>
      <c r="T25" s="8"/>
      <c r="U25" s="8"/>
      <c r="V25" s="8"/>
      <c r="W25" s="8"/>
    </row>
    <row r="26" spans="1:23">
      <c r="A26" s="8"/>
      <c r="B26" s="8"/>
      <c r="C26" s="52"/>
      <c r="D26" s="16" t="s">
        <v>39</v>
      </c>
      <c r="E26" s="16" t="str">
        <f t="shared" si="3"/>
        <v>$millions</v>
      </c>
      <c r="F26" s="118">
        <f t="shared" si="2"/>
        <v>43983</v>
      </c>
      <c r="G26" s="21"/>
      <c r="H26" s="21"/>
      <c r="I26" s="16"/>
      <c r="J26" s="121"/>
      <c r="K26" s="121"/>
      <c r="L26" s="121"/>
      <c r="M26" s="121"/>
      <c r="N26" s="121"/>
      <c r="O26" s="109"/>
      <c r="P26" s="109"/>
      <c r="Q26" s="109"/>
      <c r="R26" s="109"/>
      <c r="S26" s="109"/>
      <c r="T26" s="8"/>
      <c r="U26" s="8"/>
      <c r="V26" s="8"/>
      <c r="W26" s="8"/>
    </row>
    <row r="27" spans="1:23">
      <c r="A27" s="8"/>
      <c r="B27" s="8"/>
      <c r="C27" s="52"/>
      <c r="D27" s="16" t="s">
        <v>39</v>
      </c>
      <c r="E27" s="16" t="str">
        <f t="shared" si="3"/>
        <v>$millions</v>
      </c>
      <c r="F27" s="118">
        <f t="shared" si="2"/>
        <v>43983</v>
      </c>
      <c r="G27" s="21"/>
      <c r="H27" s="21"/>
      <c r="I27" s="16"/>
      <c r="J27" s="121"/>
      <c r="K27" s="121"/>
      <c r="L27" s="121"/>
      <c r="M27" s="121"/>
      <c r="N27" s="121"/>
      <c r="O27" s="109"/>
      <c r="P27" s="109"/>
      <c r="Q27" s="109"/>
      <c r="R27" s="109"/>
      <c r="S27" s="109"/>
      <c r="T27" s="8"/>
      <c r="U27" s="8"/>
      <c r="V27" s="8"/>
      <c r="W27" s="8"/>
    </row>
    <row r="28" spans="1:23">
      <c r="A28" s="8"/>
      <c r="B28" s="8"/>
      <c r="C28" s="15"/>
      <c r="D28" s="16"/>
      <c r="E28" s="16"/>
      <c r="F28" s="16"/>
      <c r="G28" s="21"/>
      <c r="H28" s="21"/>
      <c r="I28" s="16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8"/>
      <c r="U28" s="8"/>
      <c r="V28" s="8"/>
      <c r="W28" s="8"/>
    </row>
    <row r="29" spans="1:23">
      <c r="A29" s="8"/>
      <c r="B29" s="8"/>
      <c r="C29" s="97" t="s">
        <v>67</v>
      </c>
      <c r="D29" s="98" t="s">
        <v>52</v>
      </c>
      <c r="E29" s="89" t="s">
        <v>61</v>
      </c>
      <c r="F29" s="119">
        <f>F27</f>
        <v>43983</v>
      </c>
      <c r="G29" s="21"/>
      <c r="H29" s="21"/>
      <c r="I29" s="16"/>
      <c r="J29" s="88">
        <f>SUM(J19:J27)</f>
        <v>6.2360603100793064</v>
      </c>
      <c r="K29" s="88">
        <f t="shared" ref="K29:S29" si="4">SUM(K19:K27)</f>
        <v>6.2254559599410166</v>
      </c>
      <c r="L29" s="88">
        <f t="shared" si="4"/>
        <v>6.2140986735567312</v>
      </c>
      <c r="M29" s="88">
        <f t="shared" si="4"/>
        <v>6.199284859258392</v>
      </c>
      <c r="N29" s="88">
        <f t="shared" si="4"/>
        <v>6.1738172083459428</v>
      </c>
      <c r="O29" s="88">
        <f t="shared" si="4"/>
        <v>0</v>
      </c>
      <c r="P29" s="88">
        <f t="shared" si="4"/>
        <v>0</v>
      </c>
      <c r="Q29" s="88">
        <f t="shared" si="4"/>
        <v>0</v>
      </c>
      <c r="R29" s="88">
        <f t="shared" si="4"/>
        <v>0</v>
      </c>
      <c r="S29" s="88">
        <f t="shared" si="4"/>
        <v>0</v>
      </c>
      <c r="T29" s="8"/>
      <c r="U29" s="8"/>
      <c r="V29" s="8"/>
      <c r="W29" s="8" t="str">
        <f>IF(COUNTIF(J19:S27,"&lt;0")&gt;0,"Check","Ok")</f>
        <v>Ok</v>
      </c>
    </row>
    <row r="30" spans="1:23">
      <c r="A30" s="8"/>
      <c r="B30" s="8"/>
      <c r="C30" s="8"/>
      <c r="D30" s="16"/>
      <c r="E30" s="16"/>
      <c r="F30" s="16"/>
      <c r="G30" s="21"/>
      <c r="H30" s="21"/>
      <c r="I30" s="16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ht="12.75">
      <c r="A31" s="37"/>
      <c r="B31" s="43" t="s">
        <v>9</v>
      </c>
      <c r="C31" s="37"/>
      <c r="D31" s="37"/>
      <c r="E31" s="37"/>
      <c r="F31" s="38"/>
      <c r="G31" s="38"/>
      <c r="H31" s="38"/>
      <c r="I31" s="38"/>
      <c r="J31" s="39"/>
      <c r="K31" s="40"/>
      <c r="L31" s="39"/>
      <c r="M31" s="40"/>
      <c r="N31" s="39"/>
      <c r="O31" s="39"/>
      <c r="P31" s="39"/>
      <c r="Q31" s="39"/>
      <c r="R31" s="39"/>
      <c r="S31" s="39"/>
      <c r="T31" s="39"/>
      <c r="U31" s="39"/>
      <c r="V31" s="40"/>
      <c r="W31" s="40"/>
    </row>
    <row r="32" spans="1:23">
      <c r="A32" s="8"/>
      <c r="B32" s="8"/>
      <c r="C32" s="8"/>
      <c r="D32" s="16"/>
      <c r="E32" s="16"/>
      <c r="F32" s="16"/>
      <c r="G32" s="16"/>
      <c r="H32" s="16"/>
      <c r="I32" s="16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>
      <c r="A33" s="8"/>
      <c r="B33" s="8"/>
      <c r="C33" s="8"/>
      <c r="D33" s="16"/>
      <c r="E33" s="16"/>
      <c r="F33" s="16"/>
      <c r="G33" s="16"/>
      <c r="H33" s="16"/>
      <c r="I33" s="16"/>
      <c r="J33" s="121" t="s">
        <v>68</v>
      </c>
      <c r="K33" s="121" t="s">
        <v>68</v>
      </c>
      <c r="L33" s="121" t="s">
        <v>68</v>
      </c>
      <c r="M33" s="121" t="s">
        <v>69</v>
      </c>
      <c r="N33" s="121" t="s">
        <v>69</v>
      </c>
      <c r="O33" s="121"/>
      <c r="P33" s="121"/>
      <c r="Q33" s="121"/>
      <c r="R33" s="121"/>
      <c r="S33" s="121"/>
      <c r="T33" s="8"/>
      <c r="U33" s="8"/>
      <c r="V33" s="8"/>
      <c r="W33" s="8"/>
    </row>
    <row r="34" spans="1:23">
      <c r="A34" s="8"/>
      <c r="B34" s="8"/>
      <c r="C34" s="9" t="s">
        <v>58</v>
      </c>
      <c r="D34" s="21" t="s">
        <v>33</v>
      </c>
      <c r="E34" s="21" t="s">
        <v>53</v>
      </c>
      <c r="F34" s="21" t="s">
        <v>56</v>
      </c>
      <c r="G34" s="21"/>
      <c r="H34" s="21"/>
      <c r="I34" s="21"/>
      <c r="J34" s="116">
        <f t="shared" ref="J34:S34" si="5">IF(YEAR(J$4)&lt;=PPLastYear,J$4,"")</f>
        <v>44348</v>
      </c>
      <c r="K34" s="116">
        <f t="shared" si="5"/>
        <v>44713</v>
      </c>
      <c r="L34" s="116">
        <f t="shared" si="5"/>
        <v>45078</v>
      </c>
      <c r="M34" s="116">
        <f t="shared" si="5"/>
        <v>45444</v>
      </c>
      <c r="N34" s="116">
        <f t="shared" si="5"/>
        <v>45809</v>
      </c>
      <c r="O34" s="116" t="str">
        <f t="shared" si="5"/>
        <v/>
      </c>
      <c r="P34" s="116" t="str">
        <f t="shared" si="5"/>
        <v/>
      </c>
      <c r="Q34" s="116" t="str">
        <f t="shared" si="5"/>
        <v/>
      </c>
      <c r="R34" s="116" t="str">
        <f t="shared" si="5"/>
        <v/>
      </c>
      <c r="S34" s="116" t="str">
        <f t="shared" si="5"/>
        <v/>
      </c>
      <c r="T34" s="95" t="s">
        <v>59</v>
      </c>
      <c r="U34" s="96"/>
      <c r="V34" s="96"/>
      <c r="W34" s="8"/>
    </row>
    <row r="35" spans="1:23">
      <c r="A35" s="8"/>
      <c r="B35" s="8"/>
      <c r="C35" s="15"/>
      <c r="D35" s="16"/>
      <c r="E35" s="16"/>
      <c r="F35" s="16"/>
      <c r="G35" s="21"/>
      <c r="H35" s="21"/>
      <c r="I35" s="16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>
      <c r="A36" s="8"/>
      <c r="B36" s="8"/>
      <c r="C36" s="15"/>
      <c r="D36" s="16"/>
      <c r="E36" s="16"/>
      <c r="F36" s="16"/>
      <c r="G36" s="21"/>
      <c r="H36" s="21"/>
      <c r="I36" s="16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1:23">
      <c r="A37" s="8"/>
      <c r="B37" s="8"/>
      <c r="C37" s="52" t="s">
        <v>60</v>
      </c>
      <c r="D37" s="16" t="s">
        <v>70</v>
      </c>
      <c r="E37" s="160" t="str">
        <f>$E$56</f>
        <v>$millions</v>
      </c>
      <c r="F37" s="161" t="s">
        <v>71</v>
      </c>
      <c r="G37" s="21"/>
      <c r="H37" s="21"/>
      <c r="I37" s="16"/>
      <c r="J37" s="121">
        <v>385.31480900000003</v>
      </c>
      <c r="K37" s="121">
        <v>412.75712299999998</v>
      </c>
      <c r="L37" s="121">
        <v>461.89982300000003</v>
      </c>
      <c r="M37" s="121">
        <v>472.57209501267909</v>
      </c>
      <c r="N37" s="8"/>
      <c r="O37" s="109"/>
      <c r="P37" s="109"/>
      <c r="Q37" s="109"/>
      <c r="R37" s="109"/>
      <c r="S37" s="109"/>
      <c r="T37" s="8" t="s">
        <v>72</v>
      </c>
      <c r="U37" s="8"/>
      <c r="V37" s="8"/>
      <c r="W37" s="8"/>
    </row>
    <row r="38" spans="1:23">
      <c r="A38" s="8"/>
      <c r="B38" s="8"/>
      <c r="C38" s="15"/>
      <c r="D38" s="16"/>
      <c r="E38" s="16"/>
      <c r="F38" s="118"/>
      <c r="G38" s="21"/>
      <c r="H38" s="21"/>
      <c r="I38" s="16"/>
      <c r="J38" s="121"/>
      <c r="K38" s="121"/>
      <c r="L38" s="121"/>
      <c r="M38" s="121"/>
      <c r="N38" s="121"/>
      <c r="O38" s="109"/>
      <c r="P38" s="109"/>
      <c r="Q38" s="109"/>
      <c r="R38" s="109"/>
      <c r="S38" s="109"/>
      <c r="T38" s="8"/>
      <c r="U38" s="8"/>
      <c r="V38" s="8"/>
      <c r="W38" s="8"/>
    </row>
    <row r="39" spans="1:23">
      <c r="A39" s="8"/>
      <c r="B39" s="8"/>
      <c r="C39" s="9" t="s">
        <v>73</v>
      </c>
      <c r="D39" s="16"/>
      <c r="E39" s="16"/>
      <c r="F39" s="118"/>
      <c r="G39" s="21"/>
      <c r="H39" s="21"/>
      <c r="I39" s="16"/>
      <c r="J39" s="121"/>
      <c r="K39" s="121"/>
      <c r="L39" s="121"/>
      <c r="M39" s="121"/>
      <c r="N39" s="121"/>
      <c r="O39" s="109"/>
      <c r="P39" s="109"/>
      <c r="Q39" s="109"/>
      <c r="R39" s="109"/>
      <c r="S39" s="109"/>
      <c r="T39" s="8"/>
      <c r="U39" s="8"/>
      <c r="V39" s="8"/>
      <c r="W39" s="8"/>
    </row>
    <row r="40" spans="1:23">
      <c r="A40" s="8"/>
      <c r="B40" s="8"/>
      <c r="C40" s="9"/>
      <c r="D40" s="16"/>
      <c r="E40" s="16"/>
      <c r="F40" s="118"/>
      <c r="G40" s="21"/>
      <c r="H40" s="21"/>
      <c r="I40" s="16"/>
      <c r="J40" s="121"/>
      <c r="K40" s="121"/>
      <c r="L40" s="121"/>
      <c r="M40" s="121"/>
      <c r="N40" s="121"/>
      <c r="O40" s="109"/>
      <c r="P40" s="109"/>
      <c r="Q40" s="109"/>
      <c r="R40" s="109"/>
      <c r="S40" s="109"/>
      <c r="T40" s="8"/>
      <c r="U40" s="8"/>
      <c r="V40" s="8"/>
      <c r="W40" s="8"/>
    </row>
    <row r="41" spans="1:23">
      <c r="A41" s="8"/>
      <c r="B41" s="8"/>
      <c r="C41" s="52" t="s">
        <v>74</v>
      </c>
      <c r="D41" s="16" t="s">
        <v>70</v>
      </c>
      <c r="E41" s="16" t="str">
        <f>$E$56</f>
        <v>$millions</v>
      </c>
      <c r="F41" s="118" t="str">
        <f>$F$37</f>
        <v>nominal</v>
      </c>
      <c r="G41" s="21"/>
      <c r="H41" s="21"/>
      <c r="I41" s="16"/>
      <c r="J41" s="121">
        <v>3.9216470000000001</v>
      </c>
      <c r="K41" s="121">
        <v>-7.1233240000000002</v>
      </c>
      <c r="L41" s="121">
        <v>5.4117290000000002</v>
      </c>
      <c r="M41" s="121"/>
      <c r="N41" s="121"/>
      <c r="O41" s="109"/>
      <c r="P41" s="109"/>
      <c r="Q41" s="109"/>
      <c r="R41" s="109"/>
      <c r="S41" s="109"/>
      <c r="T41" s="8" t="s">
        <v>75</v>
      </c>
      <c r="U41" s="8"/>
      <c r="V41" s="8"/>
      <c r="W41" s="8"/>
    </row>
    <row r="42" spans="1:23">
      <c r="A42" s="8"/>
      <c r="B42" s="8"/>
      <c r="C42" s="52" t="s">
        <v>76</v>
      </c>
      <c r="D42" s="16" t="s">
        <v>70</v>
      </c>
      <c r="E42" s="16" t="str">
        <f>$E$56</f>
        <v>$millions</v>
      </c>
      <c r="F42" s="118" t="str">
        <f t="shared" ref="F42:F45" si="6">$F$37</f>
        <v>nominal</v>
      </c>
      <c r="G42" s="21"/>
      <c r="H42" s="21"/>
      <c r="I42" s="16"/>
      <c r="J42" s="121">
        <v>0.89449460000000014</v>
      </c>
      <c r="K42" s="121">
        <v>0.24844028000000004</v>
      </c>
      <c r="L42" s="121">
        <v>0.16834921</v>
      </c>
      <c r="M42" s="121">
        <v>1.0612431795741983</v>
      </c>
      <c r="N42" s="121"/>
      <c r="O42" s="109"/>
      <c r="P42" s="109"/>
      <c r="Q42" s="109"/>
      <c r="R42" s="109"/>
      <c r="S42" s="109"/>
      <c r="T42" s="8"/>
      <c r="U42" s="8"/>
      <c r="V42" s="8"/>
      <c r="W42" s="8"/>
    </row>
    <row r="43" spans="1:23">
      <c r="A43" s="8"/>
      <c r="B43" s="8"/>
      <c r="C43" s="52"/>
      <c r="D43" s="16" t="s">
        <v>70</v>
      </c>
      <c r="E43" s="16" t="str">
        <f>$E$56</f>
        <v>$millions</v>
      </c>
      <c r="F43" s="118" t="str">
        <f t="shared" si="6"/>
        <v>nominal</v>
      </c>
      <c r="G43" s="21"/>
      <c r="H43" s="21"/>
      <c r="I43" s="16"/>
      <c r="J43" s="121"/>
      <c r="K43" s="121"/>
      <c r="L43" s="121"/>
      <c r="M43" s="121"/>
      <c r="N43" s="121"/>
      <c r="O43" s="109"/>
      <c r="P43" s="109"/>
      <c r="Q43" s="109"/>
      <c r="R43" s="109"/>
      <c r="S43" s="109"/>
      <c r="T43" s="8"/>
      <c r="U43" s="8"/>
      <c r="V43" s="8"/>
      <c r="W43" s="8"/>
    </row>
    <row r="44" spans="1:23">
      <c r="A44" s="8"/>
      <c r="B44" s="8"/>
      <c r="C44" s="52"/>
      <c r="D44" s="16" t="s">
        <v>70</v>
      </c>
      <c r="E44" s="16" t="str">
        <f>$E$56</f>
        <v>$millions</v>
      </c>
      <c r="F44" s="118" t="str">
        <f t="shared" si="6"/>
        <v>nominal</v>
      </c>
      <c r="G44" s="21"/>
      <c r="H44" s="21"/>
      <c r="I44" s="16"/>
      <c r="J44" s="121"/>
      <c r="K44" s="121"/>
      <c r="L44" s="121"/>
      <c r="M44" s="121"/>
      <c r="N44" s="121"/>
      <c r="O44" s="109"/>
      <c r="P44" s="109"/>
      <c r="Q44" s="109"/>
      <c r="R44" s="109"/>
      <c r="S44" s="109"/>
      <c r="T44" s="8"/>
      <c r="U44" s="8"/>
      <c r="V44" s="8"/>
      <c r="W44" s="8"/>
    </row>
    <row r="45" spans="1:23">
      <c r="A45" s="8"/>
      <c r="B45" s="8"/>
      <c r="C45" s="52"/>
      <c r="D45" s="16" t="s">
        <v>70</v>
      </c>
      <c r="E45" s="16" t="str">
        <f>$E$56</f>
        <v>$millions</v>
      </c>
      <c r="F45" s="118" t="str">
        <f t="shared" si="6"/>
        <v>nominal</v>
      </c>
      <c r="G45" s="21"/>
      <c r="H45" s="21"/>
      <c r="I45" s="16"/>
      <c r="J45" s="121"/>
      <c r="K45" s="121"/>
      <c r="L45" s="121"/>
      <c r="M45" s="121"/>
      <c r="N45" s="121"/>
      <c r="O45" s="109"/>
      <c r="P45" s="109"/>
      <c r="Q45" s="109"/>
      <c r="R45" s="109"/>
      <c r="S45" s="109"/>
      <c r="T45" s="8"/>
      <c r="U45" s="8"/>
      <c r="V45" s="8"/>
      <c r="W45" s="8"/>
    </row>
    <row r="46" spans="1:23">
      <c r="A46" s="8"/>
      <c r="B46" s="8"/>
      <c r="C46" s="15"/>
      <c r="D46" s="16"/>
      <c r="E46" s="16"/>
      <c r="F46" s="16"/>
      <c r="G46" s="21"/>
      <c r="H46" s="21"/>
      <c r="I46" s="16"/>
      <c r="J46" s="8"/>
      <c r="K46" s="8"/>
      <c r="L46" s="8"/>
      <c r="M46" s="8"/>
      <c r="N46" s="99"/>
      <c r="O46" s="8"/>
      <c r="P46" s="8"/>
      <c r="Q46" s="8"/>
      <c r="R46" s="8"/>
      <c r="S46" s="8"/>
      <c r="T46" s="8"/>
      <c r="U46" s="8"/>
      <c r="V46" s="8"/>
      <c r="W46" s="8"/>
    </row>
    <row r="47" spans="1:23">
      <c r="A47" s="8"/>
      <c r="B47" s="8"/>
      <c r="C47" s="97" t="s">
        <v>77</v>
      </c>
      <c r="D47" s="98" t="s">
        <v>52</v>
      </c>
      <c r="E47" s="140" t="str">
        <f>$E$56</f>
        <v>$millions</v>
      </c>
      <c r="F47" s="141" t="str">
        <f>F37</f>
        <v>nominal</v>
      </c>
      <c r="G47" s="21"/>
      <c r="H47" s="21"/>
      <c r="I47" s="16"/>
      <c r="J47" s="88">
        <f>J37-SUM(J41:J45)</f>
        <v>380.49866740000004</v>
      </c>
      <c r="K47" s="88">
        <f>K37-SUM(K41:K45)</f>
        <v>419.63200671999999</v>
      </c>
      <c r="L47" s="88">
        <f t="shared" ref="L47:S47" si="7">L37-SUM(L41:L45)</f>
        <v>456.31974479000002</v>
      </c>
      <c r="M47" s="88">
        <f t="shared" si="7"/>
        <v>471.51085183310488</v>
      </c>
      <c r="N47" s="88">
        <f t="shared" si="7"/>
        <v>0</v>
      </c>
      <c r="O47" s="88">
        <f t="shared" si="7"/>
        <v>0</v>
      </c>
      <c r="P47" s="88">
        <f>P37-SUM(P41:P45)</f>
        <v>0</v>
      </c>
      <c r="Q47" s="88">
        <f t="shared" si="7"/>
        <v>0</v>
      </c>
      <c r="R47" s="88">
        <f t="shared" si="7"/>
        <v>0</v>
      </c>
      <c r="S47" s="88">
        <f t="shared" si="7"/>
        <v>0</v>
      </c>
      <c r="T47" s="8"/>
      <c r="U47" s="8"/>
      <c r="V47" s="8"/>
      <c r="W47" s="8"/>
    </row>
    <row r="48" spans="1:23">
      <c r="A48" s="8"/>
      <c r="B48" s="8"/>
      <c r="C48" s="8"/>
      <c r="D48" s="16"/>
      <c r="E48" s="16"/>
      <c r="F48" s="16"/>
      <c r="G48" s="16"/>
      <c r="H48" s="16"/>
      <c r="I48" s="16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>
      <c r="A49" s="8"/>
      <c r="B49" s="8"/>
      <c r="C49" s="9" t="s">
        <v>78</v>
      </c>
      <c r="D49" s="16"/>
      <c r="E49" s="16"/>
      <c r="F49" s="16"/>
      <c r="G49" s="16"/>
      <c r="H49" s="16"/>
      <c r="I49" s="16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>
      <c r="A50" s="8"/>
      <c r="B50" s="8"/>
      <c r="C50" s="8"/>
      <c r="D50" s="16"/>
      <c r="E50" s="16"/>
      <c r="F50" s="16"/>
      <c r="G50" s="16"/>
      <c r="H50" s="16"/>
      <c r="I50" s="16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>
      <c r="A51" s="8"/>
      <c r="B51" s="8"/>
      <c r="C51" s="52" t="s">
        <v>64</v>
      </c>
      <c r="D51" s="16" t="s">
        <v>70</v>
      </c>
      <c r="E51" s="16" t="str">
        <f>$E$56</f>
        <v>$millions</v>
      </c>
      <c r="F51" s="118" t="str">
        <f t="shared" ref="F51:F54" si="8">$F$56</f>
        <v>nominal</v>
      </c>
      <c r="G51" s="21"/>
      <c r="H51" s="21"/>
      <c r="I51" s="16"/>
      <c r="J51" s="121">
        <v>2.3358120000000002</v>
      </c>
      <c r="K51" s="121">
        <v>2.3867790000000002</v>
      </c>
      <c r="L51" s="121">
        <v>7.5020340000000001</v>
      </c>
      <c r="M51" s="121">
        <v>6.199284859258392</v>
      </c>
      <c r="N51" s="166"/>
      <c r="O51" s="109"/>
      <c r="P51" s="109"/>
      <c r="Q51" s="109"/>
      <c r="R51" s="109"/>
      <c r="S51" s="109"/>
      <c r="T51" s="8" t="s">
        <v>65</v>
      </c>
      <c r="U51" s="8"/>
      <c r="V51" s="8"/>
      <c r="W51" s="8"/>
    </row>
    <row r="52" spans="1:23">
      <c r="A52" s="8"/>
      <c r="B52" s="8"/>
      <c r="C52" s="52" t="s">
        <v>66</v>
      </c>
      <c r="D52" s="16" t="s">
        <v>70</v>
      </c>
      <c r="E52" s="16" t="str">
        <f>$E$56</f>
        <v>$millions</v>
      </c>
      <c r="F52" s="118" t="str">
        <f t="shared" si="8"/>
        <v>nominal</v>
      </c>
      <c r="G52" s="21"/>
      <c r="H52" s="21"/>
      <c r="I52" s="16"/>
      <c r="J52" s="121"/>
      <c r="K52" s="121"/>
      <c r="L52" s="121"/>
      <c r="M52" s="121"/>
      <c r="N52" s="121"/>
      <c r="O52" s="109"/>
      <c r="P52" s="109"/>
      <c r="Q52" s="109"/>
      <c r="R52" s="109"/>
      <c r="S52" s="109"/>
      <c r="T52" s="8"/>
      <c r="U52" s="8"/>
      <c r="V52" s="8"/>
      <c r="W52" s="8"/>
    </row>
    <row r="53" spans="1:23">
      <c r="A53" s="8"/>
      <c r="B53" s="8"/>
      <c r="C53" s="52"/>
      <c r="D53" s="16" t="s">
        <v>70</v>
      </c>
      <c r="E53" s="16" t="str">
        <f>$E$56</f>
        <v>$millions</v>
      </c>
      <c r="F53" s="118" t="str">
        <f t="shared" si="8"/>
        <v>nominal</v>
      </c>
      <c r="G53" s="21"/>
      <c r="H53" s="21"/>
      <c r="I53" s="16"/>
      <c r="J53" s="121"/>
      <c r="K53" s="121"/>
      <c r="L53" s="121"/>
      <c r="M53" s="121"/>
      <c r="N53" s="121"/>
      <c r="O53" s="109"/>
      <c r="P53" s="109"/>
      <c r="Q53" s="109"/>
      <c r="R53" s="109"/>
      <c r="S53" s="109"/>
      <c r="T53" s="8"/>
      <c r="U53" s="8"/>
      <c r="V53" s="8"/>
      <c r="W53" s="8"/>
    </row>
    <row r="54" spans="1:23">
      <c r="A54" s="8"/>
      <c r="B54" s="8"/>
      <c r="C54" s="52"/>
      <c r="D54" s="16" t="s">
        <v>70</v>
      </c>
      <c r="E54" s="16" t="str">
        <f>$E$56</f>
        <v>$millions</v>
      </c>
      <c r="F54" s="118" t="str">
        <f t="shared" si="8"/>
        <v>nominal</v>
      </c>
      <c r="G54" s="21"/>
      <c r="H54" s="21"/>
      <c r="I54" s="16"/>
      <c r="J54" s="121"/>
      <c r="K54" s="121"/>
      <c r="L54" s="121"/>
      <c r="M54" s="121"/>
      <c r="N54" s="121"/>
      <c r="O54" s="109"/>
      <c r="P54" s="109"/>
      <c r="Q54" s="109"/>
      <c r="R54" s="109"/>
      <c r="S54" s="109"/>
      <c r="T54" s="8"/>
      <c r="U54" s="8"/>
      <c r="V54" s="8"/>
      <c r="W54" s="8"/>
    </row>
    <row r="55" spans="1:23">
      <c r="A55" s="8"/>
      <c r="B55" s="8"/>
      <c r="C55" s="15"/>
      <c r="D55" s="16"/>
      <c r="E55" s="16"/>
      <c r="F55" s="16"/>
      <c r="G55" s="21"/>
      <c r="H55" s="21"/>
      <c r="I55" s="16"/>
      <c r="J55" s="8"/>
      <c r="K55" s="8"/>
      <c r="L55" s="8"/>
      <c r="M55" s="8"/>
      <c r="N55" s="99"/>
      <c r="O55" s="8"/>
      <c r="P55" s="8"/>
      <c r="Q55" s="8"/>
      <c r="R55" s="8"/>
      <c r="S55" s="8"/>
      <c r="T55" s="8"/>
      <c r="U55" s="8"/>
      <c r="V55" s="8"/>
      <c r="W55" s="8"/>
    </row>
    <row r="56" spans="1:23">
      <c r="A56" s="8"/>
      <c r="B56" s="8"/>
      <c r="C56" s="97" t="s">
        <v>67</v>
      </c>
      <c r="D56" s="98" t="s">
        <v>52</v>
      </c>
      <c r="E56" s="89" t="s">
        <v>61</v>
      </c>
      <c r="F56" s="119" t="s">
        <v>71</v>
      </c>
      <c r="G56" s="21"/>
      <c r="H56" s="21"/>
      <c r="I56" s="16"/>
      <c r="J56" s="136">
        <f>SUM(J51:J54)</f>
        <v>2.3358120000000002</v>
      </c>
      <c r="K56" s="136">
        <f t="shared" ref="K56:S56" si="9">SUM(K51:K54)</f>
        <v>2.3867790000000002</v>
      </c>
      <c r="L56" s="136">
        <f t="shared" si="9"/>
        <v>7.5020340000000001</v>
      </c>
      <c r="M56" s="136">
        <f t="shared" si="9"/>
        <v>6.199284859258392</v>
      </c>
      <c r="N56" s="136">
        <f t="shared" si="9"/>
        <v>0</v>
      </c>
      <c r="O56" s="136">
        <f t="shared" si="9"/>
        <v>0</v>
      </c>
      <c r="P56" s="136">
        <f t="shared" si="9"/>
        <v>0</v>
      </c>
      <c r="Q56" s="136">
        <f t="shared" si="9"/>
        <v>0</v>
      </c>
      <c r="R56" s="136">
        <f t="shared" si="9"/>
        <v>0</v>
      </c>
      <c r="S56" s="136">
        <f t="shared" si="9"/>
        <v>0</v>
      </c>
      <c r="T56" s="8"/>
      <c r="U56" s="8"/>
      <c r="V56" s="8"/>
      <c r="W56" s="8" t="str">
        <f>IF(COUNTIF(J51:S54,"&lt;0")&gt;0,"Check","Ok")</f>
        <v>Ok</v>
      </c>
    </row>
    <row r="57" spans="1:23">
      <c r="A57" s="8"/>
      <c r="B57" s="8"/>
      <c r="C57" s="8"/>
      <c r="D57" s="16"/>
      <c r="E57" s="16"/>
      <c r="F57" s="16"/>
      <c r="G57" s="21"/>
      <c r="H57" s="21"/>
      <c r="I57" s="16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 ht="12.75">
      <c r="A58" s="37"/>
      <c r="B58" s="43" t="s">
        <v>79</v>
      </c>
      <c r="C58" s="37"/>
      <c r="D58" s="37"/>
      <c r="E58" s="37"/>
      <c r="F58" s="38"/>
      <c r="G58" s="38"/>
      <c r="H58" s="38"/>
      <c r="I58" s="38"/>
      <c r="J58" s="175">
        <f>J47-J56</f>
        <v>378.16285540000007</v>
      </c>
      <c r="K58" s="175">
        <f t="shared" ref="K58:L58" si="10">K47-K56</f>
        <v>417.24522772</v>
      </c>
      <c r="L58" s="175">
        <f t="shared" si="10"/>
        <v>448.81771079000004</v>
      </c>
      <c r="M58" s="175">
        <f>M47-M56</f>
        <v>465.31156697384648</v>
      </c>
      <c r="N58" s="39"/>
      <c r="O58" s="39"/>
      <c r="P58" s="39"/>
      <c r="Q58" s="39"/>
      <c r="R58" s="39"/>
      <c r="S58" s="39"/>
      <c r="T58" s="39"/>
      <c r="U58" s="39"/>
      <c r="V58" s="40"/>
      <c r="W58" s="40"/>
    </row>
    <row r="59" spans="1:23">
      <c r="A59" s="8"/>
      <c r="B59" s="8"/>
      <c r="C59" s="8"/>
      <c r="D59" s="16"/>
      <c r="E59" s="16"/>
      <c r="F59" s="16"/>
      <c r="G59" s="16"/>
      <c r="H59" s="16"/>
      <c r="I59" s="16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3">
      <c r="A60" s="8"/>
      <c r="B60" s="8"/>
      <c r="C60" s="9" t="s">
        <v>80</v>
      </c>
      <c r="D60" s="21" t="s">
        <v>33</v>
      </c>
      <c r="E60" s="21" t="s">
        <v>53</v>
      </c>
      <c r="F60" s="21" t="s">
        <v>56</v>
      </c>
      <c r="G60" s="21"/>
      <c r="H60" s="21"/>
      <c r="I60" s="21"/>
      <c r="J60" s="116" t="str">
        <f t="shared" ref="J60:S60" si="11">IF(YEAR(J$4)=PPLastYear,J$4,"")</f>
        <v/>
      </c>
      <c r="K60" s="116" t="str">
        <f t="shared" si="11"/>
        <v/>
      </c>
      <c r="L60" s="116" t="str">
        <f t="shared" si="11"/>
        <v/>
      </c>
      <c r="M60" s="116" t="str">
        <f t="shared" si="11"/>
        <v/>
      </c>
      <c r="N60" s="116">
        <f t="shared" si="11"/>
        <v>45809</v>
      </c>
      <c r="O60" s="116" t="str">
        <f t="shared" si="11"/>
        <v/>
      </c>
      <c r="P60" s="116" t="str">
        <f t="shared" si="11"/>
        <v/>
      </c>
      <c r="Q60" s="116" t="str">
        <f t="shared" si="11"/>
        <v/>
      </c>
      <c r="R60" s="116" t="str">
        <f t="shared" si="11"/>
        <v/>
      </c>
      <c r="S60" s="116" t="str">
        <f t="shared" si="11"/>
        <v/>
      </c>
      <c r="T60" s="8"/>
      <c r="U60" s="8"/>
      <c r="V60" s="8"/>
      <c r="W60" s="8"/>
    </row>
    <row r="61" spans="1:23">
      <c r="A61" s="8"/>
      <c r="B61" s="8"/>
      <c r="C61" s="9"/>
      <c r="D61" s="21"/>
      <c r="E61" s="21"/>
      <c r="F61" s="21"/>
      <c r="G61" s="21"/>
      <c r="H61" s="21"/>
      <c r="I61" s="21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8"/>
      <c r="U61" s="8"/>
      <c r="V61" s="8"/>
      <c r="W61" s="8"/>
    </row>
    <row r="62" spans="1:23">
      <c r="A62" s="8"/>
      <c r="B62" s="8"/>
      <c r="C62" s="52" t="s">
        <v>81</v>
      </c>
      <c r="D62" s="16" t="s">
        <v>82</v>
      </c>
      <c r="E62" s="16" t="str">
        <f>$E$56</f>
        <v>$millions</v>
      </c>
      <c r="F62" s="125">
        <v>45078</v>
      </c>
      <c r="G62" s="21"/>
      <c r="H62" s="21"/>
      <c r="I62" s="21"/>
      <c r="J62" s="121"/>
      <c r="K62" s="121"/>
      <c r="L62" s="121"/>
      <c r="M62" s="121"/>
      <c r="N62" s="121">
        <v>-12.776199999999999</v>
      </c>
      <c r="O62" s="121"/>
      <c r="P62" s="121"/>
      <c r="Q62" s="121"/>
      <c r="R62" s="121"/>
      <c r="S62" s="121"/>
      <c r="T62" s="8"/>
      <c r="U62" s="8"/>
      <c r="V62" s="8"/>
      <c r="W62" s="8"/>
    </row>
    <row r="63" spans="1:23">
      <c r="A63" s="8"/>
      <c r="B63" s="8"/>
      <c r="C63" s="52" t="s">
        <v>83</v>
      </c>
      <c r="D63" s="16" t="s">
        <v>82</v>
      </c>
      <c r="E63" s="16" t="str">
        <f t="shared" ref="E63:E68" si="12">$E$56</f>
        <v>$millions</v>
      </c>
      <c r="F63" s="125">
        <v>45078</v>
      </c>
      <c r="G63" s="21"/>
      <c r="H63" s="21"/>
      <c r="I63" s="21"/>
      <c r="J63" s="121"/>
      <c r="K63" s="121"/>
      <c r="L63" s="121"/>
      <c r="M63" s="121"/>
      <c r="N63" s="121">
        <v>-6.2742539712069316</v>
      </c>
      <c r="O63" s="121"/>
      <c r="P63" s="121"/>
      <c r="Q63" s="121"/>
      <c r="R63" s="121"/>
      <c r="S63" s="121"/>
      <c r="T63" s="8"/>
      <c r="U63" s="8"/>
      <c r="V63" s="8"/>
      <c r="W63" s="8"/>
    </row>
    <row r="64" spans="1:23">
      <c r="A64" s="8"/>
      <c r="B64" s="8"/>
      <c r="C64" s="52" t="s">
        <v>84</v>
      </c>
      <c r="D64" s="16" t="s">
        <v>82</v>
      </c>
      <c r="E64" s="16" t="str">
        <f t="shared" si="12"/>
        <v>$millions</v>
      </c>
      <c r="F64" s="125">
        <v>44713</v>
      </c>
      <c r="G64" s="21"/>
      <c r="H64" s="21"/>
      <c r="I64" s="21"/>
      <c r="J64" s="121"/>
      <c r="K64" s="121"/>
      <c r="L64" s="121"/>
      <c r="M64" s="121"/>
      <c r="N64" s="121">
        <v>0</v>
      </c>
      <c r="O64" s="121"/>
      <c r="P64" s="121"/>
      <c r="Q64" s="121"/>
      <c r="R64" s="121"/>
      <c r="S64" s="121"/>
      <c r="T64" s="8"/>
      <c r="U64" s="8"/>
      <c r="V64" s="8"/>
      <c r="W64" s="8"/>
    </row>
    <row r="65" spans="1:23">
      <c r="A65" s="8"/>
      <c r="B65" s="8"/>
      <c r="C65" s="52" t="s">
        <v>85</v>
      </c>
      <c r="D65" s="16" t="s">
        <v>82</v>
      </c>
      <c r="E65" s="16" t="str">
        <f t="shared" si="12"/>
        <v>$millions</v>
      </c>
      <c r="F65" s="125">
        <v>44713</v>
      </c>
      <c r="G65" s="21"/>
      <c r="H65" s="21"/>
      <c r="I65" s="21"/>
      <c r="J65" s="121"/>
      <c r="K65" s="121"/>
      <c r="L65" s="121"/>
      <c r="M65" s="121"/>
      <c r="N65" s="121">
        <v>0</v>
      </c>
      <c r="O65" s="121"/>
      <c r="P65" s="121"/>
      <c r="Q65" s="121"/>
      <c r="R65" s="121"/>
      <c r="S65" s="121"/>
      <c r="T65" s="8"/>
      <c r="U65" s="8"/>
      <c r="V65" s="8"/>
      <c r="W65" s="8"/>
    </row>
    <row r="66" spans="1:23">
      <c r="A66" s="8"/>
      <c r="B66" s="8"/>
      <c r="C66" s="52" t="s">
        <v>86</v>
      </c>
      <c r="D66" s="16" t="s">
        <v>82</v>
      </c>
      <c r="E66" s="16" t="str">
        <f t="shared" si="12"/>
        <v>$millions</v>
      </c>
      <c r="F66" s="125">
        <v>44713</v>
      </c>
      <c r="G66" s="21"/>
      <c r="H66" s="21"/>
      <c r="I66" s="21"/>
      <c r="J66" s="121"/>
      <c r="K66" s="121"/>
      <c r="L66" s="121"/>
      <c r="M66" s="121"/>
      <c r="N66" s="121">
        <v>0</v>
      </c>
      <c r="O66" s="121"/>
      <c r="P66" s="121"/>
      <c r="Q66" s="121"/>
      <c r="R66" s="121"/>
      <c r="S66" s="121"/>
      <c r="T66" s="8"/>
      <c r="U66" s="8"/>
      <c r="V66" s="8"/>
      <c r="W66" s="8"/>
    </row>
    <row r="67" spans="1:23">
      <c r="A67" s="8"/>
      <c r="B67" s="8"/>
      <c r="C67" s="147"/>
      <c r="D67" s="16"/>
      <c r="E67" s="16"/>
      <c r="F67" s="148"/>
      <c r="G67" s="21"/>
      <c r="H67" s="21"/>
      <c r="I67" s="21"/>
      <c r="J67" s="146"/>
      <c r="K67" s="146"/>
      <c r="L67" s="146"/>
      <c r="M67" s="146"/>
      <c r="N67" s="146"/>
      <c r="O67" s="146"/>
      <c r="P67" s="121"/>
      <c r="Q67" s="121"/>
      <c r="R67" s="121"/>
      <c r="S67" s="121"/>
      <c r="T67" s="8"/>
      <c r="U67" s="8"/>
      <c r="V67" s="8"/>
      <c r="W67" s="8"/>
    </row>
    <row r="68" spans="1:23">
      <c r="A68" s="8"/>
      <c r="B68" s="8"/>
      <c r="C68" s="52" t="s">
        <v>87</v>
      </c>
      <c r="D68" s="16" t="s">
        <v>82</v>
      </c>
      <c r="E68" s="16" t="str">
        <f t="shared" si="12"/>
        <v>$millions</v>
      </c>
      <c r="F68" s="125">
        <v>44713</v>
      </c>
      <c r="G68" s="21"/>
      <c r="H68" s="21"/>
      <c r="I68" s="21"/>
      <c r="J68" s="121"/>
      <c r="K68" s="121"/>
      <c r="L68" s="121"/>
      <c r="M68" s="121"/>
      <c r="N68" s="121">
        <v>0</v>
      </c>
      <c r="O68" s="121"/>
      <c r="P68" s="121"/>
      <c r="Q68" s="121"/>
      <c r="R68" s="121"/>
      <c r="S68" s="121"/>
      <c r="T68" s="8"/>
      <c r="U68" s="8"/>
      <c r="V68" s="8"/>
      <c r="W68" s="8"/>
    </row>
    <row r="69" spans="1:23">
      <c r="A69" s="8"/>
      <c r="B69" s="8"/>
      <c r="C69" s="147"/>
      <c r="D69" s="16"/>
      <c r="E69" s="16"/>
      <c r="F69" s="148"/>
      <c r="G69" s="21"/>
      <c r="H69" s="21"/>
      <c r="I69" s="21"/>
      <c r="J69" s="146"/>
      <c r="K69" s="146"/>
      <c r="L69" s="146"/>
      <c r="M69" s="146"/>
      <c r="N69" s="146"/>
      <c r="O69" s="146"/>
      <c r="P69" s="121"/>
      <c r="Q69" s="121"/>
      <c r="R69" s="121"/>
      <c r="S69" s="121"/>
      <c r="T69" s="8"/>
      <c r="U69" s="8"/>
      <c r="V69" s="8"/>
      <c r="W69" s="8"/>
    </row>
    <row r="70" spans="1:23">
      <c r="A70" s="8"/>
      <c r="B70" s="8"/>
      <c r="C70" s="52" t="s">
        <v>88</v>
      </c>
      <c r="D70" s="16" t="s">
        <v>82</v>
      </c>
      <c r="E70" s="16" t="s">
        <v>89</v>
      </c>
      <c r="F70" s="21"/>
      <c r="G70" s="21"/>
      <c r="H70" s="21"/>
      <c r="I70" s="21"/>
      <c r="J70" s="149"/>
      <c r="K70" s="149"/>
      <c r="L70" s="149"/>
      <c r="M70" s="149"/>
      <c r="N70" s="174">
        <v>-5.8847907169498503E-2</v>
      </c>
      <c r="O70" s="149"/>
      <c r="P70" s="149"/>
      <c r="Q70" s="149"/>
      <c r="R70" s="149"/>
      <c r="S70" s="149"/>
      <c r="T70" s="9"/>
      <c r="U70" s="8"/>
      <c r="V70" s="8"/>
      <c r="W70" s="8"/>
    </row>
    <row r="71" spans="1:23">
      <c r="A71" s="8"/>
      <c r="B71" s="8"/>
      <c r="C71" s="15"/>
      <c r="D71" s="16"/>
      <c r="E71" s="16"/>
      <c r="F71" s="16"/>
      <c r="G71" s="21"/>
      <c r="H71" s="21"/>
      <c r="I71" s="16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1:23" ht="12.75">
      <c r="A72" s="37"/>
      <c r="B72" s="43" t="s">
        <v>23</v>
      </c>
      <c r="C72" s="37"/>
      <c r="D72" s="37"/>
      <c r="E72" s="37"/>
      <c r="F72" s="38"/>
      <c r="G72" s="38"/>
      <c r="H72" s="38"/>
      <c r="I72" s="38"/>
      <c r="J72" s="39"/>
      <c r="K72" s="40"/>
      <c r="L72" s="39"/>
      <c r="M72" s="40"/>
      <c r="N72" s="39"/>
      <c r="O72" s="39"/>
      <c r="P72" s="39"/>
      <c r="Q72" s="39"/>
      <c r="R72" s="39"/>
      <c r="S72" s="39"/>
      <c r="T72" s="39"/>
      <c r="U72" s="39"/>
      <c r="V72" s="40"/>
      <c r="W72" s="40"/>
    </row>
  </sheetData>
  <conditionalFormatting sqref="W37 W51:W54 W41:W45">
    <cfRule type="cellIs" dxfId="177" priority="40" operator="equal">
      <formula>"Check"</formula>
    </cfRule>
    <cfRule type="cellIs" dxfId="176" priority="41" operator="equal">
      <formula>"Ok"</formula>
    </cfRule>
  </conditionalFormatting>
  <conditionalFormatting sqref="W56">
    <cfRule type="cellIs" dxfId="175" priority="38" operator="equal">
      <formula>"Check"</formula>
    </cfRule>
    <cfRule type="cellIs" dxfId="174" priority="39" operator="equal">
      <formula>"Ok"</formula>
    </cfRule>
  </conditionalFormatting>
  <conditionalFormatting sqref="W15">
    <cfRule type="cellIs" dxfId="173" priority="36" operator="equal">
      <formula>"Check"</formula>
    </cfRule>
    <cfRule type="cellIs" dxfId="172" priority="37" operator="equal">
      <formula>"Ok"</formula>
    </cfRule>
  </conditionalFormatting>
  <conditionalFormatting sqref="V1">
    <cfRule type="cellIs" dxfId="171" priority="34" operator="equal">
      <formula>"Check"</formula>
    </cfRule>
    <cfRule type="cellIs" dxfId="170" priority="35" operator="equal">
      <formula>"Ok"</formula>
    </cfRule>
  </conditionalFormatting>
  <conditionalFormatting sqref="S1">
    <cfRule type="cellIs" dxfId="169" priority="32" operator="equal">
      <formula>"Check"</formula>
    </cfRule>
    <cfRule type="cellIs" dxfId="168" priority="33" operator="equal">
      <formula>"Ok"</formula>
    </cfRule>
  </conditionalFormatting>
  <conditionalFormatting sqref="J15:S15">
    <cfRule type="cellIs" dxfId="167" priority="31" operator="equal">
      <formula>0</formula>
    </cfRule>
  </conditionalFormatting>
  <conditionalFormatting sqref="J56:S56">
    <cfRule type="cellIs" dxfId="166" priority="30" operator="equal">
      <formula>0</formula>
    </cfRule>
  </conditionalFormatting>
  <conditionalFormatting sqref="W48:W50">
    <cfRule type="cellIs" dxfId="165" priority="28" operator="equal">
      <formula>"Check"</formula>
    </cfRule>
    <cfRule type="cellIs" dxfId="164" priority="29" operator="equal">
      <formula>"Ok"</formula>
    </cfRule>
  </conditionalFormatting>
  <conditionalFormatting sqref="J41:S45 O37:S37 J33:S33 J51:S54">
    <cfRule type="expression" dxfId="163" priority="26">
      <formula>J$34=J$4</formula>
    </cfRule>
  </conditionalFormatting>
  <conditionalFormatting sqref="J13:S13 J19:S27">
    <cfRule type="expression" dxfId="162" priority="25">
      <formula>J$10=J$4</formula>
    </cfRule>
  </conditionalFormatting>
  <conditionalFormatting sqref="J37:L37">
    <cfRule type="expression" dxfId="161" priority="22">
      <formula>J$10=J$4</formula>
    </cfRule>
  </conditionalFormatting>
  <conditionalFormatting sqref="W47">
    <cfRule type="cellIs" dxfId="160" priority="20" operator="equal">
      <formula>"Check"</formula>
    </cfRule>
    <cfRule type="cellIs" dxfId="159" priority="21" operator="equal">
      <formula>"Ok"</formula>
    </cfRule>
  </conditionalFormatting>
  <conditionalFormatting sqref="J47:S47">
    <cfRule type="cellIs" dxfId="158" priority="18" operator="equal">
      <formula>0</formula>
    </cfRule>
  </conditionalFormatting>
  <conditionalFormatting sqref="J62:S62 J68:O68 J70:M70 O70:S70 J63:O66 P63:S69">
    <cfRule type="expression" dxfId="157" priority="17">
      <formula>J$60=J$4</formula>
    </cfRule>
  </conditionalFormatting>
  <conditionalFormatting sqref="W29">
    <cfRule type="cellIs" dxfId="156" priority="13" operator="equal">
      <formula>"Check"</formula>
    </cfRule>
    <cfRule type="cellIs" dxfId="155" priority="14" operator="equal">
      <formula>"Ok"</formula>
    </cfRule>
  </conditionalFormatting>
  <conditionalFormatting sqref="J29:S29">
    <cfRule type="cellIs" dxfId="154" priority="12" operator="equal">
      <formula>0</formula>
    </cfRule>
  </conditionalFormatting>
  <conditionalFormatting sqref="N70">
    <cfRule type="expression" dxfId="153" priority="2">
      <formula>N$60=N$4</formula>
    </cfRule>
  </conditionalFormatting>
  <conditionalFormatting sqref="M37">
    <cfRule type="expression" dxfId="152" priority="1">
      <formula>M$10=M$4</formula>
    </cfRule>
  </conditionalFormatting>
  <dataValidations disablePrompts="1" count="1">
    <dataValidation type="list" allowBlank="1" showInputMessage="1" showErrorMessage="1" sqref="J33:S33" xr:uid="{00000000-0002-0000-0300-000000000000}">
      <formula1>"Actual,Estimate"</formula1>
    </dataValidation>
  </dataValidations>
  <hyperlinks>
    <hyperlink ref="U1" location="'Check|List'!A1" display="Overall Check:" xr:uid="{00000000-0004-0000-0300-000000000000}"/>
    <hyperlink ref="J1" location="Index!A1" display="Back to Index" xr:uid="{00000000-0004-0000-0300-000001000000}"/>
  </hyperlinks>
  <pageMargins left="0.7" right="0.7" top="0.75" bottom="0.75" header="0.3" footer="0.3"/>
  <pageSetup paperSize="9" orientation="portrait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300-000001000000}">
          <x14:formula1>
            <xm:f>'Lookup|Tables'!$H$41:$H$60</xm:f>
          </x14:formula1>
          <xm:sqref>F15 F62:F69 F13 F29</xm:sqref>
        </x14:dataValidation>
        <x14:dataValidation type="list" allowBlank="1" showInputMessage="1" showErrorMessage="1" xr:uid="{00000000-0002-0000-0300-000002000000}">
          <x14:formula1>
            <xm:f>'Lookup|Tables'!$G$10:$G$12</xm:f>
          </x14:formula1>
          <xm:sqref>E13 E29</xm:sqref>
        </x14:dataValidation>
        <x14:dataValidation type="list" allowBlank="1" showInputMessage="1" showErrorMessage="1" xr:uid="{00000000-0002-0000-0300-000003000000}">
          <x14:formula1>
            <xm:f>'Lookup|Tables'!$H$41:$H$61</xm:f>
          </x14:formula1>
          <xm:sqref>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AG109"/>
  <sheetViews>
    <sheetView showGridLines="0" zoomScale="115" zoomScaleNormal="115" zoomScaleSheetLayoutView="40" workbookViewId="0"/>
  </sheetViews>
  <sheetFormatPr defaultColWidth="0" defaultRowHeight="11.2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10" width="10.83203125" style="16" customWidth="1"/>
    <col min="11" max="23" width="10.83203125" style="8" customWidth="1"/>
    <col min="24" max="16384" width="10.5" style="8" hidden="1"/>
  </cols>
  <sheetData>
    <row r="1" spans="1:33" s="32" customFormat="1" ht="15.75">
      <c r="B1" s="29" t="str">
        <f>Index!$B$1</f>
        <v>AER opex model v1.8</v>
      </c>
      <c r="C1" s="29"/>
      <c r="D1" s="29"/>
      <c r="E1" s="29"/>
      <c r="F1" s="30"/>
      <c r="G1" s="30"/>
      <c r="H1" s="30"/>
      <c r="I1" s="30"/>
      <c r="J1" s="30"/>
      <c r="K1" s="31" t="s">
        <v>24</v>
      </c>
      <c r="M1" s="33" t="s">
        <v>25</v>
      </c>
      <c r="N1" s="50" t="s">
        <v>26</v>
      </c>
      <c r="O1" s="11" t="s">
        <v>27</v>
      </c>
      <c r="P1" s="12" t="s">
        <v>28</v>
      </c>
      <c r="S1" s="33" t="s">
        <v>29</v>
      </c>
      <c r="T1" s="34" t="str">
        <f>IF(COUNTIF(W5:W108,"Check")=0,"Ok","Check")</f>
        <v>Ok</v>
      </c>
      <c r="V1" s="137" t="s">
        <v>30</v>
      </c>
      <c r="W1" s="34" t="str">
        <f>'Check|List'!$S$1</f>
        <v>Ok</v>
      </c>
    </row>
    <row r="2" spans="1:33" s="36" customFormat="1" ht="13.5" thickBot="1">
      <c r="B2" s="35" t="str">
        <f>Index!$C$10</f>
        <v>Input | Rate of change</v>
      </c>
      <c r="C2" s="35"/>
      <c r="D2" s="35"/>
      <c r="E2" s="35"/>
      <c r="F2" s="59"/>
      <c r="G2" s="59"/>
      <c r="H2" s="59"/>
      <c r="I2" s="59"/>
      <c r="J2" s="59"/>
    </row>
    <row r="3" spans="1:33" s="60" customFormat="1">
      <c r="D3" s="132"/>
      <c r="E3" s="132"/>
      <c r="F3" s="132"/>
      <c r="G3" s="132"/>
      <c r="H3" s="132"/>
      <c r="I3" s="132"/>
      <c r="J3" s="115" t="s">
        <v>41</v>
      </c>
      <c r="K3" s="177"/>
      <c r="L3" s="177"/>
      <c r="M3" s="177"/>
      <c r="N3" s="132"/>
      <c r="O3" s="177"/>
      <c r="P3" s="177"/>
      <c r="Q3" s="177"/>
      <c r="R3" s="177"/>
      <c r="S3" s="177"/>
      <c r="T3" s="177"/>
      <c r="U3" s="61"/>
      <c r="V3" s="61"/>
      <c r="W3" s="61"/>
      <c r="X3" s="61"/>
      <c r="Y3" s="61"/>
      <c r="Z3" s="61"/>
      <c r="AA3" s="61"/>
      <c r="AB3" s="61"/>
      <c r="AC3" s="61"/>
    </row>
    <row r="4" spans="1:33" s="70" customFormat="1" ht="10.5">
      <c r="A4" s="62"/>
      <c r="B4" s="62"/>
      <c r="C4" s="62"/>
      <c r="D4" s="63" t="s">
        <v>33</v>
      </c>
      <c r="E4" s="63" t="s">
        <v>53</v>
      </c>
      <c r="F4" s="64" t="s">
        <v>56</v>
      </c>
      <c r="G4" s="65"/>
      <c r="H4" s="65"/>
      <c r="I4" s="65"/>
      <c r="J4" s="113">
        <f>DATE(PPFirstYear-1,MONTH('Input|General'!$G$9),1)</f>
        <v>43983</v>
      </c>
      <c r="K4" s="113">
        <f>DATE(PPFirstYear,MONTH('Input|General'!$G$9),1)</f>
        <v>44348</v>
      </c>
      <c r="L4" s="113">
        <f>DATE(PPFirstYear+1,MONTH('Input|General'!$G$9),1)</f>
        <v>44713</v>
      </c>
      <c r="M4" s="113">
        <f>DATE(PPFirstYear+2,MONTH('Input|General'!$G$9),1)</f>
        <v>45078</v>
      </c>
      <c r="N4" s="113">
        <f>DATE(PPFirstYear+3,MONTH('Input|General'!$G$9),1)</f>
        <v>45444</v>
      </c>
      <c r="O4" s="113">
        <f>DATE(PPFirstYear+4,MONTH('Input|General'!$G$9),1)</f>
        <v>45809</v>
      </c>
      <c r="P4" s="113">
        <f>DATE(PPFirstYear+5,MONTH('Input|General'!$G$9),1)</f>
        <v>46174</v>
      </c>
      <c r="Q4" s="113">
        <f>DATE(PPFirstYear+6,MONTH('Input|General'!$G$9),1)</f>
        <v>46539</v>
      </c>
      <c r="R4" s="113">
        <f>DATE(PPFirstYear+7,MONTH('Input|General'!$G$9),1)</f>
        <v>46905</v>
      </c>
      <c r="S4" s="113">
        <f>DATE(PPFirstYear+8,MONTH('Input|General'!$G$9),1)</f>
        <v>47270</v>
      </c>
      <c r="T4" s="113">
        <f>DATE(PPFirstYear+9,MONTH('Input|General'!$G$9),1)</f>
        <v>47635</v>
      </c>
      <c r="U4" s="66"/>
      <c r="V4" s="66"/>
      <c r="W4" s="67"/>
      <c r="X4" s="68"/>
      <c r="Y4" s="68"/>
      <c r="Z4" s="68"/>
      <c r="AA4" s="68"/>
      <c r="AB4" s="68"/>
      <c r="AC4" s="68"/>
      <c r="AD4" s="68"/>
      <c r="AE4" s="68"/>
      <c r="AF4" s="69"/>
      <c r="AG4" s="69"/>
    </row>
    <row r="5" spans="1:33" s="6" customFormat="1" ht="3" customHeight="1">
      <c r="D5" s="27"/>
      <c r="E5" s="27"/>
      <c r="F5" s="27"/>
      <c r="G5" s="27"/>
      <c r="H5" s="27"/>
      <c r="I5" s="27"/>
      <c r="J5" s="27"/>
    </row>
    <row r="6" spans="1:33" s="6" customFormat="1" ht="9" customHeight="1">
      <c r="D6" s="27"/>
      <c r="E6" s="27"/>
      <c r="F6" s="27"/>
      <c r="G6" s="27"/>
      <c r="H6" s="27"/>
      <c r="I6" s="27"/>
      <c r="J6" s="27"/>
    </row>
    <row r="7" spans="1:33" s="6" customFormat="1" ht="3" customHeight="1">
      <c r="D7" s="27"/>
      <c r="E7" s="27"/>
      <c r="F7" s="27"/>
      <c r="G7" s="27"/>
      <c r="H7" s="27"/>
      <c r="I7" s="27"/>
      <c r="J7" s="27"/>
    </row>
    <row r="8" spans="1:33" customFormat="1" ht="12.75">
      <c r="A8" s="37"/>
      <c r="B8" s="43" t="s">
        <v>7</v>
      </c>
      <c r="C8" s="37"/>
      <c r="D8" s="37"/>
      <c r="E8" s="37"/>
      <c r="F8" s="38"/>
      <c r="G8" s="38"/>
      <c r="H8" s="38"/>
      <c r="I8" s="38"/>
      <c r="J8" s="38"/>
      <c r="K8" s="39"/>
      <c r="L8" s="40"/>
      <c r="M8" s="39"/>
      <c r="N8" s="40"/>
      <c r="O8" s="39"/>
      <c r="P8" s="39"/>
      <c r="Q8" s="39"/>
      <c r="R8" s="39"/>
      <c r="S8" s="39"/>
      <c r="T8" s="39"/>
      <c r="U8" s="39"/>
      <c r="V8" s="39"/>
      <c r="W8" s="40"/>
      <c r="X8" s="41"/>
      <c r="Y8" s="41"/>
      <c r="Z8" s="41"/>
      <c r="AA8" s="41"/>
      <c r="AB8" s="41"/>
      <c r="AC8" s="41"/>
      <c r="AD8" s="41"/>
      <c r="AE8" s="41"/>
      <c r="AF8" s="42"/>
      <c r="AG8" s="42"/>
    </row>
    <row r="9" spans="1:33" ht="11.25" customHeight="1" outlineLevel="1"/>
    <row r="10" spans="1:33" ht="11.25" customHeight="1" outlineLevel="1">
      <c r="C10" s="9" t="s">
        <v>90</v>
      </c>
      <c r="J10" s="116">
        <f t="shared" ref="J10:T10" si="0">IF(YEAR(J$4)&lt;=PPLastYear,J$4,"")</f>
        <v>43983</v>
      </c>
      <c r="K10" s="116">
        <f t="shared" si="0"/>
        <v>44348</v>
      </c>
      <c r="L10" s="116">
        <f t="shared" si="0"/>
        <v>44713</v>
      </c>
      <c r="M10" s="116">
        <f t="shared" si="0"/>
        <v>45078</v>
      </c>
      <c r="N10" s="116">
        <f t="shared" si="0"/>
        <v>45444</v>
      </c>
      <c r="O10" s="116">
        <f t="shared" si="0"/>
        <v>45809</v>
      </c>
      <c r="P10" s="116" t="str">
        <f t="shared" si="0"/>
        <v/>
      </c>
      <c r="Q10" s="116" t="str">
        <f t="shared" si="0"/>
        <v/>
      </c>
      <c r="R10" s="116" t="str">
        <f t="shared" si="0"/>
        <v/>
      </c>
      <c r="S10" s="116" t="str">
        <f t="shared" si="0"/>
        <v/>
      </c>
      <c r="T10" s="116" t="str">
        <f t="shared" si="0"/>
        <v/>
      </c>
    </row>
    <row r="11" spans="1:33" ht="11.25" customHeight="1" outlineLevel="1">
      <c r="C11" s="9"/>
      <c r="J11" s="8"/>
      <c r="P11" s="100"/>
      <c r="Q11" s="100"/>
      <c r="R11" s="100"/>
      <c r="S11" s="100"/>
      <c r="T11" s="100"/>
      <c r="U11" s="14"/>
      <c r="V11" s="14"/>
      <c r="W11" s="14"/>
    </row>
    <row r="12" spans="1:33" ht="11.25" customHeight="1" outlineLevel="1">
      <c r="C12" s="15" t="s">
        <v>90</v>
      </c>
      <c r="D12" s="101" t="s">
        <v>91</v>
      </c>
      <c r="E12" s="16" t="str">
        <f>percent</f>
        <v>Per cent</v>
      </c>
      <c r="J12" s="100">
        <f>IF(J10=J4,LOOKUP(EOMONTH(J4,0),'Input|Inflation'!$C$9:$C$84,'Input|Inflation'!$G$9:$G$84),"")</f>
        <v>-3.4843205574912606E-3</v>
      </c>
      <c r="K12" s="100">
        <f>IF(K10=K4,LOOKUP(EOMONTH(K4,0),'Input|Inflation'!$C$9:$C$84,'Input|Inflation'!$G$9:$G$84),"")</f>
        <v>3.8461538461538325E-2</v>
      </c>
      <c r="L12" s="100">
        <f>IF(L10=L4,LOOKUP(EOMONTH(L4,0),'Input|Inflation'!$C$9:$C$84,'Input|Inflation'!$G$9:$G$84),"")</f>
        <v>6.1447811447811418E-2</v>
      </c>
      <c r="M12" s="100">
        <f>IF(M10=M4,LOOKUP(EOMONTH(M4,0),'Input|Inflation'!$C$9:$C$84,'Input|Inflation'!$G$9:$G$84),"")</f>
        <v>6.0269627279936566E-2</v>
      </c>
      <c r="N12" s="100">
        <f>IF(N10=N4,LOOKUP(EOMONTH(N4,0),'Input|Inflation'!$C$9:$C$84,'Input|Inflation'!$G$9:$G$84),"")</f>
        <v>3.6000000000000032E-2</v>
      </c>
      <c r="O12" s="100">
        <f>IF(O10=O4,LOOKUP(EOMONTH(O4,0),'Input|Inflation'!$C$9:$C$84,'Input|Inflation'!$G$9:$G$84),"")</f>
        <v>3.0999999999999917E-2</v>
      </c>
      <c r="P12" s="100" t="str">
        <f>IF(P10=P4,LOOKUP(EOMONTH(P4,0),'Input|Inflation'!$C$9:$C$84,'Input|Inflation'!$G$9:$G$84),"")</f>
        <v/>
      </c>
      <c r="Q12" s="100" t="str">
        <f>IF(Q10=Q4,LOOKUP(EOMONTH(Q4,0),'Input|Inflation'!$C$9:$C$84,'Input|Inflation'!$G$9:$G$84),"")</f>
        <v/>
      </c>
      <c r="R12" s="100" t="str">
        <f>IF(R10=R4,LOOKUP(EOMONTH(R4,0),'Input|Inflation'!$C$9:$C$84,'Input|Inflation'!$G$9:$G$84),"")</f>
        <v/>
      </c>
      <c r="S12" s="100" t="str">
        <f>IF(S10=S4,LOOKUP(EOMONTH(S4,0),'Input|Inflation'!$C$9:$C$84,'Input|Inflation'!$G$9:$G$84),"")</f>
        <v/>
      </c>
      <c r="T12" s="100" t="str">
        <f>IF(T10=T4,LOOKUP(EOMONTH(T4,0),'Input|Inflation'!$C$9:$C$84,'Input|Inflation'!$G$9:$G$84),"")</f>
        <v/>
      </c>
      <c r="U12" s="102"/>
    </row>
    <row r="13" spans="1:33" ht="11.25" customHeight="1" outlineLevel="1">
      <c r="D13" s="8"/>
      <c r="E13" s="8"/>
      <c r="F13" s="8"/>
      <c r="G13" s="8"/>
      <c r="H13" s="8"/>
      <c r="I13" s="8"/>
      <c r="J13" s="8"/>
    </row>
    <row r="14" spans="1:33" ht="11.25" customHeight="1" outlineLevel="1">
      <c r="C14" s="9" t="s">
        <v>92</v>
      </c>
      <c r="I14" s="8"/>
      <c r="J14" s="116">
        <f t="shared" ref="J14:T14" si="1">IF(YEAR(J$4)&lt;=PPLastYear,J$4,"")</f>
        <v>43983</v>
      </c>
      <c r="K14" s="116">
        <f t="shared" si="1"/>
        <v>44348</v>
      </c>
      <c r="L14" s="116">
        <f t="shared" si="1"/>
        <v>44713</v>
      </c>
      <c r="M14" s="116">
        <f t="shared" si="1"/>
        <v>45078</v>
      </c>
      <c r="N14" s="116">
        <f t="shared" si="1"/>
        <v>45444</v>
      </c>
      <c r="O14" s="116">
        <f t="shared" si="1"/>
        <v>45809</v>
      </c>
      <c r="P14" s="116" t="str">
        <f t="shared" si="1"/>
        <v/>
      </c>
      <c r="Q14" s="116" t="str">
        <f t="shared" si="1"/>
        <v/>
      </c>
      <c r="R14" s="116" t="str">
        <f t="shared" si="1"/>
        <v/>
      </c>
      <c r="S14" s="116" t="str">
        <f t="shared" si="1"/>
        <v/>
      </c>
      <c r="T14" s="116" t="str">
        <f t="shared" si="1"/>
        <v/>
      </c>
    </row>
    <row r="15" spans="1:33" ht="11.25" customHeight="1" outlineLevel="1">
      <c r="C15" s="9"/>
      <c r="I15" s="8"/>
      <c r="J15" s="14"/>
      <c r="K15" s="14"/>
      <c r="L15" s="14"/>
      <c r="M15" s="14"/>
      <c r="N15" s="14"/>
      <c r="O15" s="14"/>
      <c r="P15" s="26"/>
      <c r="Q15" s="26"/>
      <c r="R15" s="26"/>
      <c r="S15" s="26"/>
      <c r="T15" s="26"/>
    </row>
    <row r="16" spans="1:33" ht="11.25" customHeight="1" outlineLevel="1">
      <c r="C16" s="117">
        <f t="array" ref="C16:C21">TRANSPOSE(J10:O10)</f>
        <v>43983</v>
      </c>
      <c r="D16" s="101" t="str">
        <f t="shared" ref="D16:D20" si="2">IF(ISNONTEXT($C16),"calculated","")</f>
        <v>calculated</v>
      </c>
      <c r="E16" s="16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1.0384615384615383</v>
      </c>
      <c r="L16" s="22">
        <f t="shared" si="3"/>
        <v>1.1022727272727271</v>
      </c>
      <c r="M16" s="22">
        <f t="shared" si="3"/>
        <v>1.1687062937062935</v>
      </c>
      <c r="N16" s="22">
        <f t="shared" si="3"/>
        <v>1.2107797202797201</v>
      </c>
      <c r="O16" s="22">
        <f t="shared" ref="O16" si="4">IF(AND($C16&gt;O$14,ISNONTEXT($C16)),P16/(1+O$12),IF(AND($C16=O$14,O$14=O$4),1,IF(AND($C16&lt;O$14,O$14=O$4),N16*(1+O$12),0)))</f>
        <v>1.2483138916083913</v>
      </c>
      <c r="P16" s="154"/>
      <c r="Q16" s="154"/>
      <c r="R16" s="154"/>
      <c r="S16" s="154"/>
      <c r="T16" s="154"/>
    </row>
    <row r="17" spans="1:33" ht="11.25" customHeight="1" outlineLevel="1">
      <c r="C17" s="117">
        <v>44348</v>
      </c>
      <c r="D17" s="101" t="str">
        <f t="shared" si="2"/>
        <v>calculated</v>
      </c>
      <c r="E17" s="16" t="str">
        <f t="shared" ref="E17:E21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0.96296296296296313</v>
      </c>
      <c r="K17" s="22">
        <f t="shared" si="6"/>
        <v>1</v>
      </c>
      <c r="L17" s="22">
        <f t="shared" si="6"/>
        <v>1.0614478114478114</v>
      </c>
      <c r="M17" s="22">
        <f t="shared" si="6"/>
        <v>1.1254208754208754</v>
      </c>
      <c r="N17" s="22">
        <f t="shared" si="6"/>
        <v>1.165936026936027</v>
      </c>
      <c r="O17" s="22">
        <f t="shared" ref="O17" si="7">IF(AND($C17&gt;O$14,ISNONTEXT($C17)),P17/(1+O$12),IF(AND($C17=O$14,O$14=O$4),1,IF(AND($C17&lt;O$14,O$14=O$4),N17*(1+O$12),0)))</f>
        <v>1.2020800437710437</v>
      </c>
      <c r="P17" s="154"/>
      <c r="Q17" s="154"/>
      <c r="R17" s="154"/>
      <c r="S17" s="154"/>
      <c r="T17" s="154"/>
    </row>
    <row r="18" spans="1:33" ht="11.25" customHeight="1" outlineLevel="1">
      <c r="C18" s="117">
        <v>44713</v>
      </c>
      <c r="D18" s="101" t="str">
        <f t="shared" si="2"/>
        <v>calculated</v>
      </c>
      <c r="E18" s="16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0.90721649484536093</v>
      </c>
      <c r="K18" s="22">
        <f t="shared" si="8"/>
        <v>0.94210943695479776</v>
      </c>
      <c r="L18" s="22">
        <f t="shared" si="8"/>
        <v>1</v>
      </c>
      <c r="M18" s="22">
        <f t="shared" si="8"/>
        <v>1.0602696272799366</v>
      </c>
      <c r="N18" s="22">
        <f t="shared" si="8"/>
        <v>1.0984393338620144</v>
      </c>
      <c r="O18" s="22">
        <f t="shared" ref="O18" si="9">IF(AND($C18&gt;O$14,ISNONTEXT($C18)),P18/(1+O$12),IF(AND($C18=O$14,O$14=O$4),1,IF(AND($C18&lt;O$14,O$14=O$4),N18*(1+O$12),0)))</f>
        <v>1.1324909532117369</v>
      </c>
      <c r="P18" s="154"/>
      <c r="Q18" s="154"/>
      <c r="R18" s="154"/>
      <c r="S18" s="154"/>
      <c r="T18" s="154"/>
    </row>
    <row r="19" spans="1:33" ht="11.25" customHeight="1" outlineLevel="1">
      <c r="C19" s="117">
        <v>45078</v>
      </c>
      <c r="D19" s="101" t="str">
        <f t="shared" si="2"/>
        <v>calculated</v>
      </c>
      <c r="E19" s="16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0.85564697083021701</v>
      </c>
      <c r="K19" s="22">
        <f t="shared" si="10"/>
        <v>0.88855646970830215</v>
      </c>
      <c r="L19" s="22">
        <f t="shared" si="10"/>
        <v>0.94315632011967088</v>
      </c>
      <c r="M19" s="22">
        <f t="shared" si="10"/>
        <v>1</v>
      </c>
      <c r="N19" s="22">
        <f t="shared" si="10"/>
        <v>1.036</v>
      </c>
      <c r="O19" s="22">
        <f t="shared" ref="O19" si="11">IF(AND($C19&gt;O$14,ISNONTEXT($C19)),P19/(1+O$12),IF(AND($C19=O$14,O$14=O$4),1,IF(AND($C19&lt;O$14,O$14=O$4),N19*(1+O$12),0)))</f>
        <v>1.0681159999999998</v>
      </c>
      <c r="P19" s="154"/>
      <c r="Q19" s="154"/>
      <c r="R19" s="154"/>
      <c r="S19" s="154"/>
      <c r="T19" s="154"/>
    </row>
    <row r="20" spans="1:33" ht="11.25" customHeight="1" outlineLevel="1">
      <c r="C20" s="117">
        <v>45444</v>
      </c>
      <c r="D20" s="101" t="str">
        <f t="shared" si="2"/>
        <v>calculated</v>
      </c>
      <c r="E20" s="16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0.82591406450793137</v>
      </c>
      <c r="K20" s="22">
        <f t="shared" ref="K20:N20" si="12">IF(AND($C20&gt;K$14,ISNONTEXT($C20)),L20/(1+L$12),IF(AND($C20=K$14,K$14=K$4),1,IF(AND($C20&lt;K$14,K$14=K$4),J20*(1+K$12),0)))</f>
        <v>0.85767999006592865</v>
      </c>
      <c r="L20" s="22">
        <f t="shared" si="12"/>
        <v>0.91038254837806065</v>
      </c>
      <c r="M20" s="22">
        <f t="shared" si="12"/>
        <v>0.96525096525096521</v>
      </c>
      <c r="N20" s="22">
        <f t="shared" si="12"/>
        <v>1</v>
      </c>
      <c r="O20" s="22">
        <f t="shared" ref="O20" si="13">IF(AND($C20&gt;O$14,ISNONTEXT($C20)),P20/(1+O$12),IF(AND($C20=O$14,O$14=O$4),1,IF(AND($C20&lt;O$14,O$14=O$4),N20*(1+O$12),0)))</f>
        <v>1.0309999999999999</v>
      </c>
      <c r="P20" s="154"/>
      <c r="Q20" s="154"/>
      <c r="R20" s="154"/>
      <c r="S20" s="154"/>
      <c r="T20" s="154"/>
    </row>
    <row r="21" spans="1:33" ht="11.25" customHeight="1" outlineLevel="1">
      <c r="C21" s="117">
        <v>45809</v>
      </c>
      <c r="D21" s="101" t="str">
        <f>IF(ISNONTEXT($C21),"calculated","")</f>
        <v>calculated</v>
      </c>
      <c r="E21" s="16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0.80108056693300833</v>
      </c>
      <c r="K21" s="22">
        <f t="shared" ref="K21" si="14">IF(AND($C21&gt;K$14,ISNONTEXT($C21)),L21/(1+L$12),IF(AND($C21=K$14,K$14=K$4),1,IF(AND($C21&lt;K$14,K$14=K$4),J21*(1+K$12),0)))</f>
        <v>0.83189135796889313</v>
      </c>
      <c r="L21" s="22">
        <f t="shared" ref="L21" si="15">IF(AND($C21&gt;L$14,ISNONTEXT($C21)),M21/(1+M$12),IF(AND($C21=L$14,L$14=L$4),1,IF(AND($C21&lt;L$14,L$14=L$4),K21*(1+L$12),0)))</f>
        <v>0.88300926127842949</v>
      </c>
      <c r="M21" s="22">
        <f t="shared" ref="M21" si="16">IF(AND($C21&gt;M$14,ISNONTEXT($C21)),N21/(1+N$12),IF(AND($C21=M$14,M$14=M$4),1,IF(AND($C21&lt;M$14,M$14=M$4),L21*(1+M$12),0)))</f>
        <v>0.93622790034041259</v>
      </c>
      <c r="N21" s="22">
        <f t="shared" ref="N21" si="17">IF(AND($C21&gt;N$14,ISNONTEXT($C21)),O21/(1+O$12),IF(AND($C21=N$14,N$14=N$4),1,IF(AND($C21&lt;N$14,N$14=N$4),M21*(1+N$12),0)))</f>
        <v>0.96993210475266745</v>
      </c>
      <c r="O21" s="22">
        <f t="shared" ref="O21" si="18">IF(AND($C21&gt;O$14,ISNONTEXT($C21)),P21/(1+O$12),IF(AND($C21=O$14,O$14=O$4),1,IF(AND($C21&lt;O$14,O$14=O$4),N21*(1+O$12),0)))</f>
        <v>1</v>
      </c>
      <c r="P21" s="154"/>
      <c r="Q21" s="154"/>
      <c r="R21" s="154"/>
      <c r="S21" s="154"/>
      <c r="T21" s="154"/>
    </row>
    <row r="22" spans="1:33" ht="11.25" customHeight="1" outlineLevel="1">
      <c r="C22" s="15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33" ht="11.25" customHeight="1" outlineLevel="1">
      <c r="C23" s="9" t="s">
        <v>93</v>
      </c>
      <c r="J23" s="116">
        <f t="shared" ref="J23:T23" si="19">IF(YEAR(J$4)&lt;=PPLastYear,J$4,"")</f>
        <v>43983</v>
      </c>
      <c r="K23" s="116">
        <f t="shared" si="19"/>
        <v>44348</v>
      </c>
      <c r="L23" s="116">
        <f t="shared" si="19"/>
        <v>44713</v>
      </c>
      <c r="M23" s="116">
        <f t="shared" si="19"/>
        <v>45078</v>
      </c>
      <c r="N23" s="116">
        <f t="shared" si="19"/>
        <v>45444</v>
      </c>
      <c r="O23" s="116">
        <f t="shared" si="19"/>
        <v>45809</v>
      </c>
      <c r="P23" s="116" t="str">
        <f t="shared" si="19"/>
        <v/>
      </c>
      <c r="Q23" s="116" t="str">
        <f t="shared" si="19"/>
        <v/>
      </c>
      <c r="R23" s="116" t="str">
        <f t="shared" si="19"/>
        <v/>
      </c>
      <c r="S23" s="116" t="str">
        <f t="shared" si="19"/>
        <v/>
      </c>
      <c r="T23" s="116" t="str">
        <f t="shared" si="19"/>
        <v/>
      </c>
    </row>
    <row r="24" spans="1:33" ht="11.25" customHeight="1" outlineLevel="1">
      <c r="C24" s="15"/>
      <c r="J24" s="8"/>
      <c r="Q24" s="22"/>
      <c r="R24" s="22"/>
      <c r="S24" s="22"/>
      <c r="T24" s="22"/>
    </row>
    <row r="25" spans="1:33" ht="11.25" customHeight="1" outlineLevel="1">
      <c r="C25" s="117">
        <f t="array" ref="C25:C30">TRANSPOSE(J10:O10)</f>
        <v>43983</v>
      </c>
      <c r="D25" s="101" t="str">
        <f t="shared" ref="D25:D30" si="20">IF(ISNONTEXT($C25),"calculated","")</f>
        <v>calculated</v>
      </c>
      <c r="E25" s="16" t="str">
        <f>IF(ISNONTEXT($C25),"index","")</f>
        <v>index</v>
      </c>
      <c r="I25" s="22"/>
      <c r="J25" s="22">
        <f>IF(AND(J$23=J$4,ISNONTEXT($C25)),1/J16*(1+J$12)^0.5,0)</f>
        <v>0.99825631951042948</v>
      </c>
      <c r="K25" s="22">
        <f t="shared" ref="K25:T25" si="21">IF(AND(K$23=K$4,ISNONTEXT($C25)),1/K16*(1+K$12)^0.5,0)</f>
        <v>0.98130676292531638</v>
      </c>
      <c r="L25" s="22">
        <f t="shared" si="21"/>
        <v>0.93467421272075479</v>
      </c>
      <c r="M25" s="22">
        <f t="shared" si="21"/>
        <v>0.88105450779258843</v>
      </c>
      <c r="N25" s="22">
        <f t="shared" si="21"/>
        <v>0.84064907509750109</v>
      </c>
      <c r="O25" s="22">
        <f t="shared" si="21"/>
        <v>0.81340254919317712</v>
      </c>
      <c r="P25" s="22">
        <f t="shared" si="21"/>
        <v>0</v>
      </c>
      <c r="Q25" s="22">
        <f t="shared" si="21"/>
        <v>0</v>
      </c>
      <c r="R25" s="22">
        <f t="shared" si="21"/>
        <v>0</v>
      </c>
      <c r="S25" s="22">
        <f t="shared" si="21"/>
        <v>0</v>
      </c>
      <c r="T25" s="22">
        <f t="shared" si="21"/>
        <v>0</v>
      </c>
      <c r="U25" s="103"/>
      <c r="V25" s="103"/>
    </row>
    <row r="26" spans="1:33" ht="11.25" customHeight="1" outlineLevel="1">
      <c r="C26" s="117">
        <v>44348</v>
      </c>
      <c r="D26" s="101" t="str">
        <f t="shared" si="20"/>
        <v>calculated</v>
      </c>
      <c r="E26" s="16" t="str">
        <f t="shared" ref="E26:E30" si="22">IF(ISNONTEXT($C26),"index","")</f>
        <v>index</v>
      </c>
      <c r="I26" s="22"/>
      <c r="J26" s="22">
        <f t="shared" ref="J26:T26" si="23">IF(AND(J$23=J$4,ISNONTEXT($C26)),1/J17*(1+J$12)^0.5,0)</f>
        <v>1.0366507933377536</v>
      </c>
      <c r="K26" s="22">
        <f t="shared" si="23"/>
        <v>1.019049330730136</v>
      </c>
      <c r="L26" s="22">
        <f t="shared" si="23"/>
        <v>0.970623220902322</v>
      </c>
      <c r="M26" s="22">
        <f t="shared" si="23"/>
        <v>0.9149412196307648</v>
      </c>
      <c r="N26" s="22">
        <f t="shared" si="23"/>
        <v>0.8729817318320201</v>
      </c>
      <c r="O26" s="22">
        <f t="shared" si="23"/>
        <v>0.84468726262368377</v>
      </c>
      <c r="P26" s="22">
        <f t="shared" si="23"/>
        <v>0</v>
      </c>
      <c r="Q26" s="22">
        <f t="shared" si="23"/>
        <v>0</v>
      </c>
      <c r="R26" s="22">
        <f t="shared" si="23"/>
        <v>0</v>
      </c>
      <c r="S26" s="22">
        <f t="shared" si="23"/>
        <v>0</v>
      </c>
      <c r="T26" s="22">
        <f t="shared" si="23"/>
        <v>0</v>
      </c>
      <c r="U26" s="103"/>
      <c r="V26" s="103"/>
    </row>
    <row r="27" spans="1:33" ht="11.25" customHeight="1" outlineLevel="1">
      <c r="C27" s="117">
        <v>44713</v>
      </c>
      <c r="D27" s="101" t="str">
        <f t="shared" si="20"/>
        <v>calculated</v>
      </c>
      <c r="E27" s="16" t="str">
        <f t="shared" si="22"/>
        <v>index</v>
      </c>
      <c r="I27" s="22"/>
      <c r="J27" s="22">
        <f t="shared" ref="J27:T27" si="24">IF(AND(J$23=J$4,ISNONTEXT($C27)),1/J18*(1+J$12)^0.5,0)</f>
        <v>1.100350715823996</v>
      </c>
      <c r="K27" s="22">
        <f t="shared" si="24"/>
        <v>1.0816676818608599</v>
      </c>
      <c r="L27" s="22">
        <f t="shared" si="24"/>
        <v>1.0302658935671953</v>
      </c>
      <c r="M27" s="22">
        <f t="shared" si="24"/>
        <v>0.97116235518046667</v>
      </c>
      <c r="N27" s="22">
        <f t="shared" si="24"/>
        <v>0.92662454868701805</v>
      </c>
      <c r="O27" s="22">
        <f t="shared" si="24"/>
        <v>0.89659144626975162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103"/>
      <c r="V27" s="103"/>
    </row>
    <row r="28" spans="1:33" ht="11.25" customHeight="1" outlineLevel="1">
      <c r="C28" s="117">
        <v>45078</v>
      </c>
      <c r="D28" s="101" t="str">
        <f t="shared" si="20"/>
        <v>calculated</v>
      </c>
      <c r="E28" s="16" t="str">
        <f t="shared" si="22"/>
        <v>index</v>
      </c>
      <c r="I28" s="22"/>
      <c r="J28" s="22">
        <f t="shared" ref="J28:T28" si="25">IF(AND(J$23=J$4,ISNONTEXT($C28)),1/J19*(1+J$12)^0.5,0)</f>
        <v>1.1666684433439196</v>
      </c>
      <c r="K28" s="22">
        <f t="shared" si="25"/>
        <v>1.1468593898873669</v>
      </c>
      <c r="L28" s="22">
        <f t="shared" si="25"/>
        <v>1.0923596349717211</v>
      </c>
      <c r="M28" s="22">
        <f t="shared" si="25"/>
        <v>1.0296939483554988</v>
      </c>
      <c r="N28" s="22">
        <f t="shared" si="25"/>
        <v>0.98247186486482407</v>
      </c>
      <c r="O28" s="22">
        <f t="shared" si="25"/>
        <v>0.95062867855880917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103"/>
      <c r="V28" s="103"/>
    </row>
    <row r="29" spans="1:33" ht="11.25" customHeight="1" outlineLevel="1">
      <c r="C29" s="117">
        <v>45444</v>
      </c>
      <c r="D29" s="101" t="str">
        <f t="shared" si="20"/>
        <v>calculated</v>
      </c>
      <c r="E29" s="16" t="str">
        <f t="shared" si="22"/>
        <v>index</v>
      </c>
      <c r="I29" s="22"/>
      <c r="J29" s="22">
        <f t="shared" ref="J29:T29" si="26">IF(AND(J$23=J$4,ISNONTEXT($C29)),1/J20*(1+J$12)^0.5,0)</f>
        <v>1.2086685073043009</v>
      </c>
      <c r="K29" s="22">
        <f t="shared" si="26"/>
        <v>1.1881463279233122</v>
      </c>
      <c r="L29" s="22">
        <f t="shared" si="26"/>
        <v>1.1316845818307031</v>
      </c>
      <c r="M29" s="22">
        <f t="shared" si="26"/>
        <v>1.0667629304962967</v>
      </c>
      <c r="N29" s="22">
        <f t="shared" si="26"/>
        <v>1.0178408519999578</v>
      </c>
      <c r="O29" s="22">
        <f t="shared" si="26"/>
        <v>0.98485131098692624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103"/>
      <c r="V29" s="103"/>
    </row>
    <row r="30" spans="1:33" ht="11.25" customHeight="1" outlineLevel="1">
      <c r="C30" s="117">
        <v>45809</v>
      </c>
      <c r="D30" s="101" t="str">
        <f t="shared" si="20"/>
        <v>calculated</v>
      </c>
      <c r="E30" s="16" t="str">
        <f t="shared" si="22"/>
        <v>index</v>
      </c>
      <c r="I30" s="22"/>
      <c r="J30" s="22">
        <f t="shared" ref="J30:T30" si="27">IF(AND(J$23=J$4,ISNONTEXT($C30)),1/J21*(1+J$12)^0.5,0)</f>
        <v>1.2461372310307339</v>
      </c>
      <c r="K30" s="22">
        <f t="shared" si="27"/>
        <v>1.2249788640889347</v>
      </c>
      <c r="L30" s="22">
        <f t="shared" si="27"/>
        <v>1.1667668038674546</v>
      </c>
      <c r="M30" s="22">
        <f t="shared" si="27"/>
        <v>1.0998325813416818</v>
      </c>
      <c r="N30" s="22">
        <f t="shared" si="27"/>
        <v>1.0493939184119563</v>
      </c>
      <c r="O30" s="22">
        <f t="shared" si="27"/>
        <v>1.0153817016275208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103"/>
      <c r="V30" s="103"/>
    </row>
    <row r="31" spans="1:33">
      <c r="C31" s="15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33" customFormat="1" ht="12.75">
      <c r="A32" s="37"/>
      <c r="B32" s="43" t="s">
        <v>94</v>
      </c>
      <c r="C32" s="37"/>
      <c r="D32" s="37"/>
      <c r="E32" s="37"/>
      <c r="F32" s="38"/>
      <c r="G32" s="38"/>
      <c r="H32" s="38"/>
      <c r="I32" s="38"/>
      <c r="J32" s="38"/>
      <c r="K32" s="39"/>
      <c r="L32" s="40"/>
      <c r="M32" s="39"/>
      <c r="N32" s="40"/>
      <c r="O32" s="39"/>
      <c r="P32" s="39"/>
      <c r="Q32" s="39"/>
      <c r="R32" s="39"/>
      <c r="S32" s="39"/>
      <c r="T32" s="39"/>
      <c r="U32" s="39"/>
      <c r="V32" s="39"/>
      <c r="W32" s="40"/>
      <c r="X32" s="41"/>
      <c r="Y32" s="41"/>
      <c r="Z32" s="41"/>
      <c r="AA32" s="41"/>
      <c r="AB32" s="41"/>
      <c r="AC32" s="41"/>
      <c r="AD32" s="41"/>
      <c r="AE32" s="41"/>
      <c r="AF32" s="42"/>
      <c r="AG32" s="42"/>
    </row>
    <row r="33" spans="3:23" ht="11.25" customHeight="1" outlineLevel="1"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3:23" ht="11.25" customHeight="1" outlineLevel="1">
      <c r="C34" s="9" t="s">
        <v>95</v>
      </c>
      <c r="D34" s="21" t="s">
        <v>33</v>
      </c>
      <c r="E34" s="21" t="s">
        <v>53</v>
      </c>
      <c r="J34" s="120" t="str">
        <f t="shared" ref="J34:T34" si="28">IF(YEAR(J$4)&gt;=FPFirstYear,IF(YEAR(J$4)&lt;=FPLastYear,J$4,""),"")</f>
        <v/>
      </c>
      <c r="K34" s="120" t="str">
        <f t="shared" si="28"/>
        <v/>
      </c>
      <c r="L34" s="120" t="str">
        <f t="shared" si="28"/>
        <v/>
      </c>
      <c r="M34" s="120" t="str">
        <f t="shared" si="28"/>
        <v/>
      </c>
      <c r="N34" s="120" t="str">
        <f t="shared" si="28"/>
        <v/>
      </c>
      <c r="O34" s="120" t="str">
        <f t="shared" si="28"/>
        <v/>
      </c>
      <c r="P34" s="120">
        <f t="shared" si="28"/>
        <v>46174</v>
      </c>
      <c r="Q34" s="120">
        <f t="shared" si="28"/>
        <v>46539</v>
      </c>
      <c r="R34" s="120">
        <f t="shared" si="28"/>
        <v>46905</v>
      </c>
      <c r="S34" s="120">
        <f t="shared" si="28"/>
        <v>47270</v>
      </c>
      <c r="T34" s="120">
        <f t="shared" si="28"/>
        <v>47635</v>
      </c>
    </row>
    <row r="35" spans="3:23" ht="11.25" customHeight="1" outlineLevel="1"/>
    <row r="36" spans="3:23" ht="11.25" customHeight="1" outlineLevel="1">
      <c r="C36" s="52" t="s">
        <v>96</v>
      </c>
      <c r="D36" s="16" t="s">
        <v>97</v>
      </c>
      <c r="E36" s="16" t="str">
        <f t="shared" ref="E36:E43" si="29">percent</f>
        <v>Per cent</v>
      </c>
      <c r="J36" s="151"/>
      <c r="K36" s="109"/>
      <c r="L36" s="109"/>
      <c r="M36" s="109"/>
      <c r="N36" s="109"/>
      <c r="O36" s="109"/>
      <c r="P36" s="169">
        <v>1.3041120230926193E-2</v>
      </c>
      <c r="Q36" s="169">
        <v>1.1834412131476277E-2</v>
      </c>
      <c r="R36" s="169">
        <v>9.2105470224950418E-3</v>
      </c>
      <c r="S36" s="169">
        <v>1.219891576096881E-2</v>
      </c>
      <c r="T36" s="169">
        <v>1.3798374391869048E-2</v>
      </c>
    </row>
    <row r="37" spans="3:23" ht="11.25" customHeight="1" outlineLevel="1">
      <c r="C37" s="52" t="s">
        <v>98</v>
      </c>
      <c r="D37" s="16" t="s">
        <v>97</v>
      </c>
      <c r="E37" s="16" t="str">
        <f t="shared" si="29"/>
        <v>Per cent</v>
      </c>
      <c r="J37" s="151"/>
      <c r="K37" s="109"/>
      <c r="L37" s="109"/>
      <c r="M37" s="109"/>
      <c r="N37" s="109"/>
      <c r="O37" s="109"/>
      <c r="P37" s="169">
        <v>8.9999999999999993E-3</v>
      </c>
      <c r="Q37" s="169">
        <v>1.0999999999999999E-2</v>
      </c>
      <c r="R37" s="169">
        <v>1.0999999999999999E-2</v>
      </c>
      <c r="S37" s="169">
        <v>1.0999999999999999E-2</v>
      </c>
      <c r="T37" s="169">
        <v>1.0999999999999999E-2</v>
      </c>
    </row>
    <row r="38" spans="3:23" ht="11.25" customHeight="1" outlineLevel="1">
      <c r="C38" s="52" t="s">
        <v>99</v>
      </c>
      <c r="D38" s="16" t="s">
        <v>97</v>
      </c>
      <c r="E38" s="16" t="str">
        <f t="shared" si="29"/>
        <v>Per cent</v>
      </c>
      <c r="J38" s="151"/>
      <c r="K38" s="109"/>
      <c r="L38" s="109"/>
      <c r="M38" s="109"/>
      <c r="N38" s="109"/>
      <c r="O38" s="109"/>
      <c r="P38" s="165">
        <f>AVERAGE(P36:P37)</f>
        <v>1.1020560115463096E-2</v>
      </c>
      <c r="Q38" s="165">
        <f>AVERAGE(Q36:Q37)</f>
        <v>1.1417206065738138E-2</v>
      </c>
      <c r="R38" s="165">
        <f>AVERAGE(R36:R37)</f>
        <v>1.0105273511247521E-2</v>
      </c>
      <c r="S38" s="165">
        <f>AVERAGE(S36:S37)</f>
        <v>1.1599457880484405E-2</v>
      </c>
      <c r="T38" s="165">
        <f>AVERAGE(T36:T37)</f>
        <v>1.2399187195934525E-2</v>
      </c>
    </row>
    <row r="39" spans="3:23" ht="11.25" customHeight="1" outlineLevel="1">
      <c r="C39" s="52" t="s">
        <v>100</v>
      </c>
      <c r="D39" s="16" t="s">
        <v>97</v>
      </c>
      <c r="E39" s="16" t="str">
        <f t="shared" si="29"/>
        <v>Per cent</v>
      </c>
      <c r="J39" s="151"/>
      <c r="K39" s="109"/>
      <c r="L39" s="109"/>
      <c r="M39" s="109"/>
      <c r="N39" s="109"/>
      <c r="O39" s="109"/>
      <c r="P39" s="51">
        <v>5.0000000000000001E-3</v>
      </c>
      <c r="Q39" s="51">
        <v>0</v>
      </c>
      <c r="R39" s="51">
        <v>0</v>
      </c>
      <c r="S39" s="51">
        <v>0</v>
      </c>
      <c r="T39" s="51">
        <v>0</v>
      </c>
      <c r="U39" s="104"/>
    </row>
    <row r="40" spans="3:23" ht="11.25" customHeight="1" outlineLevel="1">
      <c r="C40" s="52" t="s">
        <v>101</v>
      </c>
      <c r="D40" s="16" t="s">
        <v>97</v>
      </c>
      <c r="E40" s="16" t="str">
        <f t="shared" si="29"/>
        <v>Per cent</v>
      </c>
      <c r="J40" s="151"/>
      <c r="K40" s="109"/>
      <c r="L40" s="109"/>
      <c r="M40" s="109"/>
      <c r="N40" s="109"/>
      <c r="O40" s="109"/>
      <c r="P40" s="165">
        <f t="shared" ref="P40:T40" si="30">SUM(P38:P39)</f>
        <v>1.6020560115463097E-2</v>
      </c>
      <c r="Q40" s="165">
        <f t="shared" si="30"/>
        <v>1.1417206065738138E-2</v>
      </c>
      <c r="R40" s="165">
        <f t="shared" si="30"/>
        <v>1.0105273511247521E-2</v>
      </c>
      <c r="S40" s="165">
        <f t="shared" si="30"/>
        <v>1.1599457880484405E-2</v>
      </c>
      <c r="T40" s="165">
        <f t="shared" si="30"/>
        <v>1.2399187195934525E-2</v>
      </c>
    </row>
    <row r="41" spans="3:23" ht="11.25" customHeight="1" outlineLevel="1">
      <c r="C41" s="52"/>
      <c r="D41" s="16" t="s">
        <v>97</v>
      </c>
      <c r="E41" s="16" t="str">
        <f t="shared" si="29"/>
        <v>Per cent</v>
      </c>
      <c r="J41" s="151"/>
      <c r="K41" s="109"/>
      <c r="L41" s="109"/>
      <c r="M41" s="109"/>
      <c r="N41" s="109"/>
      <c r="O41" s="109"/>
      <c r="P41" s="165"/>
      <c r="Q41" s="165"/>
      <c r="R41" s="165"/>
      <c r="S41" s="165"/>
      <c r="T41" s="165"/>
    </row>
    <row r="42" spans="3:23" ht="11.25" customHeight="1" outlineLevel="1">
      <c r="C42" s="52"/>
      <c r="D42" s="16" t="s">
        <v>97</v>
      </c>
      <c r="E42" s="16" t="str">
        <f t="shared" si="29"/>
        <v>Per cent</v>
      </c>
      <c r="J42" s="151"/>
      <c r="K42" s="109"/>
      <c r="L42" s="109"/>
      <c r="M42" s="109"/>
      <c r="N42" s="109"/>
      <c r="O42" s="109"/>
      <c r="P42" s="51"/>
      <c r="Q42" s="51"/>
      <c r="R42" s="51"/>
      <c r="S42" s="51"/>
      <c r="T42" s="155"/>
    </row>
    <row r="43" spans="3:23" ht="11.25" customHeight="1" outlineLevel="1">
      <c r="C43" s="52" t="s">
        <v>102</v>
      </c>
      <c r="D43" s="16" t="s">
        <v>97</v>
      </c>
      <c r="E43" s="16" t="str">
        <f t="shared" si="29"/>
        <v>Per cent</v>
      </c>
      <c r="J43" s="151"/>
      <c r="K43" s="109"/>
      <c r="L43" s="109"/>
      <c r="M43" s="109"/>
      <c r="N43" s="109"/>
      <c r="O43" s="109"/>
      <c r="P43" s="51">
        <v>0</v>
      </c>
      <c r="Q43" s="51">
        <v>0</v>
      </c>
      <c r="R43" s="51">
        <v>0</v>
      </c>
      <c r="S43" s="51">
        <v>0</v>
      </c>
      <c r="T43" s="155">
        <v>0</v>
      </c>
    </row>
    <row r="44" spans="3:23" ht="11.25" customHeight="1" outlineLevel="1"/>
    <row r="45" spans="3:23" ht="11.25" customHeight="1" outlineLevel="1">
      <c r="C45" s="8" t="s">
        <v>103</v>
      </c>
      <c r="D45" s="16" t="s">
        <v>91</v>
      </c>
      <c r="E45" s="16" t="s">
        <v>104</v>
      </c>
      <c r="F45" s="16" t="s">
        <v>105</v>
      </c>
      <c r="J45" s="91" t="str">
        <f t="shared" ref="J45:O45" si="31">IF(J34=J4,IF(COUNTA($C36:$C43)=COUNT(J36:J43),"Ok","Check"),"")</f>
        <v/>
      </c>
      <c r="K45" s="91" t="str">
        <f t="shared" si="31"/>
        <v/>
      </c>
      <c r="L45" s="91" t="str">
        <f t="shared" si="31"/>
        <v/>
      </c>
      <c r="M45" s="91" t="str">
        <f t="shared" si="31"/>
        <v/>
      </c>
      <c r="N45" s="91" t="str">
        <f t="shared" si="31"/>
        <v/>
      </c>
      <c r="O45" s="91" t="str">
        <f t="shared" si="31"/>
        <v/>
      </c>
      <c r="P45" s="91" t="str">
        <f>IF(P34=P4,IF(COUNTA($C36:$C43)=COUNT(P36:P43),"Ok","Check"),"")</f>
        <v>Ok</v>
      </c>
      <c r="Q45" s="91" t="str">
        <f>IF(Q34=Q4,IF(COUNTA($C36:$C43)=COUNT(Q36:Q43),"Ok","Check"),"")</f>
        <v>Ok</v>
      </c>
      <c r="R45" s="91" t="str">
        <f>IF(R34=R4,IF(COUNTA($C36:$C43)=COUNT(R36:R43),"Ok","Check"),"")</f>
        <v>Ok</v>
      </c>
      <c r="S45" s="91" t="str">
        <f>IF(S34=S4,IF(COUNTA($C36:$C43)=COUNT(S36:S43),"Ok","Check"),"")</f>
        <v>Ok</v>
      </c>
      <c r="T45" s="91" t="str">
        <f>IF(T34=T4,IF(COUNTA($C36:$C43)=COUNT(T36:T43),"Ok","Check"),"")</f>
        <v>Ok</v>
      </c>
      <c r="U45" s="24"/>
      <c r="W45" s="90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9" t="s">
        <v>106</v>
      </c>
      <c r="D47" s="21" t="s">
        <v>33</v>
      </c>
      <c r="E47" s="21" t="s">
        <v>53</v>
      </c>
      <c r="J47" s="120" t="str">
        <f t="shared" ref="J47:T47" si="32">IF(YEAR(J$4)&gt;=FPFirstYear,IF(YEAR(J$4)&lt;=FPLastYear,J$4,""),"")</f>
        <v/>
      </c>
      <c r="K47" s="120" t="str">
        <f t="shared" si="32"/>
        <v/>
      </c>
      <c r="L47" s="120" t="str">
        <f t="shared" si="32"/>
        <v/>
      </c>
      <c r="M47" s="120" t="str">
        <f t="shared" si="32"/>
        <v/>
      </c>
      <c r="N47" s="120" t="str">
        <f t="shared" si="32"/>
        <v/>
      </c>
      <c r="O47" s="120" t="str">
        <f t="shared" si="32"/>
        <v/>
      </c>
      <c r="P47" s="120">
        <f t="shared" si="32"/>
        <v>46174</v>
      </c>
      <c r="Q47" s="120">
        <f t="shared" si="32"/>
        <v>46539</v>
      </c>
      <c r="R47" s="120">
        <f t="shared" si="32"/>
        <v>46905</v>
      </c>
      <c r="S47" s="120">
        <f t="shared" si="32"/>
        <v>47270</v>
      </c>
      <c r="T47" s="120">
        <f t="shared" si="32"/>
        <v>47635</v>
      </c>
    </row>
    <row r="48" spans="3:23" ht="11.25" customHeight="1" outlineLevel="1"/>
    <row r="49" spans="1:33" ht="11.25" customHeight="1" outlineLevel="1">
      <c r="C49" s="105" t="str">
        <f t="shared" ref="C49:C56" si="33">C36</f>
        <v>WPI – Oxford Economics</v>
      </c>
      <c r="D49" s="16" t="s">
        <v>97</v>
      </c>
      <c r="E49" s="16" t="str">
        <f t="shared" ref="E49:E56" si="34">percent</f>
        <v>Per cent</v>
      </c>
      <c r="J49" s="151"/>
      <c r="K49" s="109"/>
      <c r="L49" s="109"/>
      <c r="M49" s="109"/>
      <c r="N49" s="109"/>
      <c r="O49" s="109"/>
      <c r="P49" s="51">
        <v>0</v>
      </c>
      <c r="Q49" s="51">
        <v>0</v>
      </c>
      <c r="R49" s="51">
        <v>0</v>
      </c>
      <c r="S49" s="51">
        <v>0</v>
      </c>
      <c r="T49" s="51">
        <v>0</v>
      </c>
    </row>
    <row r="50" spans="1:33" ht="11.25" customHeight="1" outlineLevel="1">
      <c r="C50" s="105" t="str">
        <f t="shared" si="33"/>
        <v>WPI – KPMG</v>
      </c>
      <c r="D50" s="16" t="s">
        <v>97</v>
      </c>
      <c r="E50" s="16" t="str">
        <f t="shared" si="34"/>
        <v>Per cent</v>
      </c>
      <c r="J50" s="151"/>
      <c r="K50" s="109"/>
      <c r="L50" s="109"/>
      <c r="M50" s="109"/>
      <c r="N50" s="109"/>
      <c r="O50" s="109"/>
      <c r="P50" s="51">
        <v>0</v>
      </c>
      <c r="Q50" s="51">
        <v>0</v>
      </c>
      <c r="R50" s="51">
        <v>0</v>
      </c>
      <c r="S50" s="51">
        <v>0</v>
      </c>
      <c r="T50" s="51">
        <v>0</v>
      </c>
    </row>
    <row r="51" spans="1:33" ht="11.25" customHeight="1" outlineLevel="1">
      <c r="C51" s="105" t="str">
        <f t="shared" si="33"/>
        <v>WPI - average of Oxford Economics and KPMG</v>
      </c>
      <c r="D51" s="16" t="s">
        <v>97</v>
      </c>
      <c r="E51" s="16" t="str">
        <f t="shared" si="34"/>
        <v>Per cent</v>
      </c>
      <c r="J51" s="151"/>
      <c r="K51" s="109"/>
      <c r="L51" s="109"/>
      <c r="M51" s="109"/>
      <c r="N51" s="109"/>
      <c r="O51" s="109"/>
      <c r="P51" s="51">
        <v>0</v>
      </c>
      <c r="Q51" s="51">
        <v>0</v>
      </c>
      <c r="R51" s="51">
        <v>0</v>
      </c>
      <c r="S51" s="51">
        <v>0</v>
      </c>
      <c r="T51" s="51">
        <v>0</v>
      </c>
    </row>
    <row r="52" spans="1:33" ht="11.25" customHeight="1" outlineLevel="1">
      <c r="C52" s="105" t="str">
        <f t="shared" si="33"/>
        <v>Superannuation guarantee increases</v>
      </c>
      <c r="D52" s="16" t="s">
        <v>97</v>
      </c>
      <c r="E52" s="16" t="str">
        <f t="shared" si="34"/>
        <v>Per cent</v>
      </c>
      <c r="J52" s="151"/>
      <c r="K52" s="109"/>
      <c r="L52" s="109"/>
      <c r="M52" s="109"/>
      <c r="N52" s="109"/>
      <c r="O52" s="109"/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104"/>
    </row>
    <row r="53" spans="1:33" ht="11.25" customHeight="1" outlineLevel="1">
      <c r="C53" s="105" t="str">
        <f t="shared" si="33"/>
        <v>WPI - average + super guarantee increases</v>
      </c>
      <c r="D53" s="16" t="s">
        <v>97</v>
      </c>
      <c r="E53" s="16" t="str">
        <f t="shared" si="34"/>
        <v>Per cent</v>
      </c>
      <c r="J53" s="151"/>
      <c r="K53" s="109"/>
      <c r="L53" s="109"/>
      <c r="M53" s="109"/>
      <c r="N53" s="109"/>
      <c r="O53" s="109"/>
      <c r="P53" s="51">
        <v>0.59199999999999997</v>
      </c>
      <c r="Q53" s="51">
        <v>0.59199999999999997</v>
      </c>
      <c r="R53" s="51">
        <v>0.59199999999999997</v>
      </c>
      <c r="S53" s="51">
        <v>0.59199999999999997</v>
      </c>
      <c r="T53" s="51">
        <v>0.59199999999999997</v>
      </c>
    </row>
    <row r="54" spans="1:33" ht="11.25" customHeight="1" outlineLevel="1">
      <c r="C54" s="105">
        <f t="shared" si="33"/>
        <v>0</v>
      </c>
      <c r="D54" s="16" t="s">
        <v>97</v>
      </c>
      <c r="E54" s="16" t="str">
        <f t="shared" si="34"/>
        <v>Per cent</v>
      </c>
      <c r="J54" s="151"/>
      <c r="K54" s="109"/>
      <c r="L54" s="109"/>
      <c r="M54" s="109"/>
      <c r="N54" s="109"/>
      <c r="O54" s="109"/>
      <c r="P54" s="51"/>
      <c r="Q54" s="51"/>
      <c r="R54" s="51"/>
      <c r="S54" s="51"/>
      <c r="T54" s="51"/>
    </row>
    <row r="55" spans="1:33" ht="11.25" customHeight="1" outlineLevel="1">
      <c r="C55" s="105">
        <f t="shared" si="33"/>
        <v>0</v>
      </c>
      <c r="D55" s="16" t="s">
        <v>97</v>
      </c>
      <c r="E55" s="16" t="str">
        <f t="shared" si="34"/>
        <v>Per cent</v>
      </c>
      <c r="J55" s="151"/>
      <c r="K55" s="109"/>
      <c r="L55" s="109"/>
      <c r="M55" s="109"/>
      <c r="N55" s="109"/>
      <c r="O55" s="109"/>
      <c r="P55" s="51"/>
      <c r="Q55" s="51"/>
      <c r="R55" s="51"/>
      <c r="S55" s="51"/>
      <c r="T55" s="51"/>
    </row>
    <row r="56" spans="1:33" ht="11.25" customHeight="1" outlineLevel="1">
      <c r="C56" s="105" t="str">
        <f t="shared" si="33"/>
        <v>CPI</v>
      </c>
      <c r="D56" s="16" t="s">
        <v>97</v>
      </c>
      <c r="E56" s="16" t="str">
        <f t="shared" si="34"/>
        <v>Per cent</v>
      </c>
      <c r="J56" s="151"/>
      <c r="K56" s="109"/>
      <c r="L56" s="109"/>
      <c r="M56" s="109"/>
      <c r="N56" s="109"/>
      <c r="O56" s="109"/>
      <c r="P56" s="51">
        <f t="shared" ref="P56:T56" si="35">1-P53</f>
        <v>0.40800000000000003</v>
      </c>
      <c r="Q56" s="51">
        <f t="shared" si="35"/>
        <v>0.40800000000000003</v>
      </c>
      <c r="R56" s="51">
        <f t="shared" si="35"/>
        <v>0.40800000000000003</v>
      </c>
      <c r="S56" s="51">
        <f t="shared" si="35"/>
        <v>0.40800000000000003</v>
      </c>
      <c r="T56" s="51">
        <f t="shared" si="35"/>
        <v>0.40800000000000003</v>
      </c>
    </row>
    <row r="57" spans="1:33" ht="11.25" customHeight="1" outlineLevel="1"/>
    <row r="58" spans="1:33" outlineLevel="1">
      <c r="C58" s="8" t="s">
        <v>103</v>
      </c>
      <c r="D58" s="16" t="s">
        <v>91</v>
      </c>
      <c r="E58" s="16" t="s">
        <v>104</v>
      </c>
      <c r="F58" s="16" t="s">
        <v>105</v>
      </c>
      <c r="J58" s="91" t="str">
        <f t="shared" ref="J58:S58" si="36">IF(J47=J$4,IF(SUM(J49:J56)=1,"Ok","Check"),"")</f>
        <v/>
      </c>
      <c r="K58" s="91" t="str">
        <f t="shared" si="36"/>
        <v/>
      </c>
      <c r="L58" s="91" t="str">
        <f t="shared" si="36"/>
        <v/>
      </c>
      <c r="M58" s="91" t="str">
        <f t="shared" si="36"/>
        <v/>
      </c>
      <c r="N58" s="91" t="str">
        <f t="shared" si="36"/>
        <v/>
      </c>
      <c r="O58" s="91" t="str">
        <f t="shared" si="36"/>
        <v/>
      </c>
      <c r="P58" s="91" t="str">
        <f t="shared" si="36"/>
        <v>Ok</v>
      </c>
      <c r="Q58" s="91" t="str">
        <f t="shared" si="36"/>
        <v>Ok</v>
      </c>
      <c r="R58" s="91" t="str">
        <f t="shared" si="36"/>
        <v>Ok</v>
      </c>
      <c r="S58" s="91" t="str">
        <f t="shared" si="36"/>
        <v>Ok</v>
      </c>
      <c r="T58" s="91" t="str">
        <f>IF(T47=T$4,IF(SUM(T49:T56)=1,"Ok","Check"),"")</f>
        <v>Ok</v>
      </c>
      <c r="U58" s="24"/>
      <c r="W58" s="90" t="str">
        <f>IF(COUNTIF(J58:T58,"Check")=0,"Ok","Check")</f>
        <v>Ok</v>
      </c>
    </row>
    <row r="59" spans="1:33"/>
    <row r="60" spans="1:33" customFormat="1" ht="12.75">
      <c r="A60" s="37"/>
      <c r="B60" s="43" t="s">
        <v>107</v>
      </c>
      <c r="C60" s="37"/>
      <c r="D60" s="37"/>
      <c r="E60" s="37"/>
      <c r="F60" s="38"/>
      <c r="G60" s="38"/>
      <c r="H60" s="38"/>
      <c r="I60" s="38"/>
      <c r="J60" s="38"/>
      <c r="K60" s="39"/>
      <c r="L60" s="40"/>
      <c r="M60" s="39"/>
      <c r="N60" s="40"/>
      <c r="O60" s="39"/>
      <c r="P60" s="39"/>
      <c r="Q60" s="39"/>
      <c r="R60" s="39"/>
      <c r="S60" s="39"/>
      <c r="T60" s="39"/>
      <c r="U60" s="39"/>
      <c r="V60" s="39"/>
      <c r="W60" s="40"/>
      <c r="X60" s="41"/>
      <c r="Y60" s="41"/>
      <c r="Z60" s="41"/>
      <c r="AA60" s="41"/>
      <c r="AB60" s="41"/>
      <c r="AC60" s="41"/>
      <c r="AD60" s="41"/>
      <c r="AE60" s="41"/>
      <c r="AF60" s="42"/>
      <c r="AG60" s="42"/>
    </row>
    <row r="61" spans="1:33" outlineLevel="1">
      <c r="G61" s="21"/>
      <c r="H61" s="21"/>
    </row>
    <row r="62" spans="1:33" outlineLevel="1">
      <c r="C62" s="9" t="s">
        <v>108</v>
      </c>
      <c r="D62" s="21" t="s">
        <v>33</v>
      </c>
      <c r="E62" s="21" t="s">
        <v>53</v>
      </c>
      <c r="F62" s="21" t="s">
        <v>56</v>
      </c>
      <c r="G62" s="21"/>
      <c r="H62" s="21"/>
      <c r="J62" s="120" t="str">
        <f t="shared" ref="J62:T62" si="37">IF(YEAR(J$4)&gt;=PPLastYear,IF(YEAR(J$4)&lt;=FPLastYear,J$4,""),"")</f>
        <v/>
      </c>
      <c r="K62" s="120" t="str">
        <f t="shared" si="37"/>
        <v/>
      </c>
      <c r="L62" s="120" t="str">
        <f t="shared" si="37"/>
        <v/>
      </c>
      <c r="M62" s="120" t="str">
        <f t="shared" si="37"/>
        <v/>
      </c>
      <c r="N62" s="120" t="str">
        <f t="shared" si="37"/>
        <v/>
      </c>
      <c r="O62" s="120">
        <f t="shared" si="37"/>
        <v>45809</v>
      </c>
      <c r="P62" s="120">
        <f t="shared" si="37"/>
        <v>46174</v>
      </c>
      <c r="Q62" s="120">
        <f t="shared" si="37"/>
        <v>46539</v>
      </c>
      <c r="R62" s="120">
        <f t="shared" si="37"/>
        <v>46905</v>
      </c>
      <c r="S62" s="120">
        <f t="shared" si="37"/>
        <v>47270</v>
      </c>
      <c r="T62" s="120">
        <f t="shared" si="37"/>
        <v>47635</v>
      </c>
    </row>
    <row r="63" spans="1:33" outlineLevel="1">
      <c r="C63" s="15"/>
      <c r="G63" s="21"/>
      <c r="H63" s="21"/>
      <c r="K63" s="23"/>
      <c r="L63" s="23"/>
      <c r="M63" s="23"/>
      <c r="N63" s="23"/>
      <c r="O63" s="23"/>
    </row>
    <row r="64" spans="1:33" outlineLevel="1">
      <c r="C64" s="52" t="s">
        <v>109</v>
      </c>
      <c r="D64" s="16" t="s">
        <v>97</v>
      </c>
      <c r="E64" s="16" t="s">
        <v>110</v>
      </c>
      <c r="F64" s="16" t="s">
        <v>105</v>
      </c>
      <c r="G64" s="21"/>
      <c r="H64" s="21"/>
      <c r="J64" s="151"/>
      <c r="K64" s="145"/>
      <c r="L64" s="145"/>
      <c r="M64" s="145"/>
      <c r="N64" s="145"/>
      <c r="O64" s="146">
        <v>1645214.9706363985</v>
      </c>
      <c r="P64" s="146">
        <v>1667013.7024207704</v>
      </c>
      <c r="Q64" s="146">
        <v>1690275.0093994131</v>
      </c>
      <c r="R64" s="146">
        <v>1713195.3096556277</v>
      </c>
      <c r="S64" s="146">
        <v>1734125.9281659052</v>
      </c>
      <c r="T64" s="146">
        <v>1754481.7904629209</v>
      </c>
    </row>
    <row r="65" spans="3:23" outlineLevel="1">
      <c r="C65" s="52" t="s">
        <v>111</v>
      </c>
      <c r="D65" s="16" t="s">
        <v>97</v>
      </c>
      <c r="E65" s="16" t="s">
        <v>110</v>
      </c>
      <c r="F65" s="16" t="s">
        <v>105</v>
      </c>
      <c r="G65" s="21"/>
      <c r="H65" s="21"/>
      <c r="J65" s="151"/>
      <c r="K65" s="145"/>
      <c r="L65" s="145"/>
      <c r="M65" s="145"/>
      <c r="N65" s="145"/>
      <c r="O65" s="146">
        <v>57137.705235138776</v>
      </c>
      <c r="P65" s="146">
        <v>57588.521512158302</v>
      </c>
      <c r="Q65" s="146">
        <v>58058.212168464219</v>
      </c>
      <c r="R65" s="146">
        <v>58522.035823911407</v>
      </c>
      <c r="S65" s="146">
        <v>59004.094967661644</v>
      </c>
      <c r="T65" s="146">
        <v>59521.755532711977</v>
      </c>
    </row>
    <row r="66" spans="3:23" outlineLevel="1">
      <c r="C66" s="52" t="s">
        <v>112</v>
      </c>
      <c r="D66" s="16" t="s">
        <v>97</v>
      </c>
      <c r="E66" s="16" t="s">
        <v>110</v>
      </c>
      <c r="F66" s="16" t="s">
        <v>105</v>
      </c>
      <c r="G66" s="21"/>
      <c r="H66" s="21"/>
      <c r="J66" s="151"/>
      <c r="K66" s="145"/>
      <c r="L66" s="145"/>
      <c r="M66" s="145"/>
      <c r="N66" s="145"/>
      <c r="O66" s="146">
        <v>5615</v>
      </c>
      <c r="P66" s="146">
        <v>5645</v>
      </c>
      <c r="Q66" s="146">
        <v>5664</v>
      </c>
      <c r="R66" s="146">
        <v>5686</v>
      </c>
      <c r="S66" s="146">
        <v>5716</v>
      </c>
      <c r="T66" s="146">
        <v>5746</v>
      </c>
    </row>
    <row r="67" spans="3:23" outlineLevel="1">
      <c r="C67" s="52"/>
      <c r="D67" s="16" t="s">
        <v>97</v>
      </c>
      <c r="E67" s="16" t="s">
        <v>110</v>
      </c>
      <c r="F67" s="16" t="s">
        <v>105</v>
      </c>
      <c r="G67" s="21"/>
      <c r="H67" s="21"/>
      <c r="J67" s="151"/>
      <c r="K67" s="145"/>
      <c r="L67" s="145"/>
      <c r="M67" s="145"/>
      <c r="N67" s="145"/>
      <c r="O67" s="164"/>
      <c r="P67" s="164"/>
      <c r="Q67" s="164"/>
      <c r="R67" s="164"/>
      <c r="S67" s="164"/>
      <c r="T67" s="164"/>
    </row>
    <row r="68" spans="3:23" outlineLevel="1">
      <c r="C68" s="52"/>
      <c r="D68" s="16" t="s">
        <v>97</v>
      </c>
      <c r="E68" s="16" t="s">
        <v>110</v>
      </c>
      <c r="F68" s="16" t="s">
        <v>105</v>
      </c>
      <c r="G68" s="21"/>
      <c r="H68" s="21"/>
      <c r="J68" s="151"/>
      <c r="K68" s="145"/>
      <c r="L68" s="145"/>
      <c r="M68" s="145"/>
      <c r="N68" s="145"/>
      <c r="O68" s="146"/>
      <c r="P68" s="146"/>
      <c r="Q68" s="146"/>
      <c r="R68" s="146"/>
      <c r="S68" s="146"/>
      <c r="T68" s="146"/>
    </row>
    <row r="69" spans="3:23" outlineLevel="1">
      <c r="C69" s="52"/>
      <c r="D69" s="16" t="s">
        <v>97</v>
      </c>
      <c r="E69" s="16" t="s">
        <v>110</v>
      </c>
      <c r="F69" s="16" t="s">
        <v>105</v>
      </c>
      <c r="G69" s="21"/>
      <c r="H69" s="21"/>
      <c r="J69" s="151"/>
      <c r="K69" s="145"/>
      <c r="L69" s="145"/>
      <c r="M69" s="145"/>
      <c r="N69" s="145"/>
      <c r="O69" s="146"/>
      <c r="P69" s="146"/>
      <c r="Q69" s="146"/>
      <c r="R69" s="146"/>
      <c r="S69" s="146"/>
      <c r="T69" s="146"/>
    </row>
    <row r="70" spans="3:23" outlineLevel="1">
      <c r="C70" s="15"/>
      <c r="G70" s="21"/>
      <c r="H70" s="21"/>
      <c r="K70" s="23"/>
      <c r="L70" s="23"/>
      <c r="M70" s="23"/>
      <c r="N70" s="23"/>
      <c r="O70" s="23"/>
    </row>
    <row r="71" spans="3:23" outlineLevel="1">
      <c r="C71" s="8" t="s">
        <v>103</v>
      </c>
      <c r="D71" s="16" t="s">
        <v>91</v>
      </c>
      <c r="E71" s="16" t="s">
        <v>104</v>
      </c>
      <c r="F71" s="16" t="s">
        <v>105</v>
      </c>
      <c r="J71" s="91" t="str">
        <f t="shared" ref="J71:O71" si="38">IF(J62=J$4,IF(COUNTA($C64:$C69)=COUNT(J64:J69),"Ok","Check"),"")</f>
        <v/>
      </c>
      <c r="K71" s="91" t="str">
        <f t="shared" si="38"/>
        <v/>
      </c>
      <c r="L71" s="91" t="str">
        <f t="shared" si="38"/>
        <v/>
      </c>
      <c r="M71" s="91" t="str">
        <f t="shared" si="38"/>
        <v/>
      </c>
      <c r="N71" s="91" t="str">
        <f t="shared" si="38"/>
        <v/>
      </c>
      <c r="O71" s="91" t="str">
        <f t="shared" si="38"/>
        <v>Ok</v>
      </c>
      <c r="P71" s="91" t="str">
        <f>IF(P62=P$4,IF(COUNTA($C64:$C69)=COUNT(P64:P69),"Ok","Check"),"")</f>
        <v>Ok</v>
      </c>
      <c r="Q71" s="91" t="str">
        <f>IF(Q62=Q$4,IF(COUNTA($C64:$C69)=COUNT(Q64:Q69),"Ok","Check"),"")</f>
        <v>Ok</v>
      </c>
      <c r="R71" s="91" t="str">
        <f>IF(R62=R$4,IF(COUNTA($C64:$C69)=COUNT(R64:R69),"Ok","Check"),"")</f>
        <v>Ok</v>
      </c>
      <c r="S71" s="91" t="str">
        <f>IF(S62=S$4,IF(COUNTA($C64:$C69)=COUNT(S64:S69),"Ok","Check"),"")</f>
        <v>Ok</v>
      </c>
      <c r="T71" s="91" t="str">
        <f>IF(T62=T$4,IF(COUNTA($C64:$C69)=COUNT(T64:T69),"Ok","Check"),"")</f>
        <v>Ok</v>
      </c>
      <c r="U71" s="24"/>
      <c r="W71" s="90" t="str">
        <f>IF(COUNTIF(J71:T71,"Check")=0,"Ok","Check")</f>
        <v>Ok</v>
      </c>
    </row>
    <row r="72" spans="3:23" outlineLevel="1">
      <c r="C72" s="15"/>
      <c r="G72" s="21"/>
      <c r="H72" s="21"/>
      <c r="K72" s="23"/>
      <c r="L72" s="23"/>
      <c r="M72" s="23"/>
      <c r="N72" s="23"/>
      <c r="O72" s="23"/>
    </row>
    <row r="73" spans="3:23" outlineLevel="1">
      <c r="C73" s="9" t="s">
        <v>113</v>
      </c>
      <c r="D73" s="21" t="s">
        <v>33</v>
      </c>
      <c r="E73" s="21" t="s">
        <v>53</v>
      </c>
      <c r="F73" s="21" t="s">
        <v>56</v>
      </c>
      <c r="G73" s="21"/>
      <c r="H73" s="21"/>
      <c r="J73" s="120" t="str">
        <f t="shared" ref="J73:T73" si="39">IF(YEAR(J$4)&gt;=FPFirstYear,IF(YEAR(J$4)&lt;=FPLastYear,J$4,""),"")</f>
        <v/>
      </c>
      <c r="K73" s="120" t="str">
        <f t="shared" si="39"/>
        <v/>
      </c>
      <c r="L73" s="120" t="str">
        <f t="shared" si="39"/>
        <v/>
      </c>
      <c r="M73" s="120" t="str">
        <f t="shared" si="39"/>
        <v/>
      </c>
      <c r="N73" s="120" t="str">
        <f t="shared" si="39"/>
        <v/>
      </c>
      <c r="O73" s="120" t="str">
        <f t="shared" si="39"/>
        <v/>
      </c>
      <c r="P73" s="120">
        <f t="shared" si="39"/>
        <v>46174</v>
      </c>
      <c r="Q73" s="120">
        <f t="shared" si="39"/>
        <v>46539</v>
      </c>
      <c r="R73" s="120">
        <f t="shared" si="39"/>
        <v>46905</v>
      </c>
      <c r="S73" s="120">
        <f t="shared" si="39"/>
        <v>47270</v>
      </c>
      <c r="T73" s="120">
        <f t="shared" si="39"/>
        <v>47635</v>
      </c>
      <c r="U73" s="8" t="str">
        <f>IF(RIGHT(U$4,2)&gt;=RIGHT('Input|General'!$G$13,2),IF(RIGHT(U$4,2)&lt;='Input|General'!$G$14,'Input|Reported opex'!T$4,""),"")</f>
        <v/>
      </c>
    </row>
    <row r="74" spans="3:23" outlineLevel="1">
      <c r="C74" s="15"/>
      <c r="G74" s="21"/>
      <c r="H74" s="21"/>
      <c r="K74" s="23"/>
      <c r="L74" s="23"/>
      <c r="M74" s="23"/>
      <c r="N74" s="23"/>
      <c r="O74" s="23"/>
    </row>
    <row r="75" spans="3:23" outlineLevel="1">
      <c r="C75" s="105" t="str">
        <f>C64</f>
        <v>Customer numbers (#)</v>
      </c>
      <c r="D75" s="16" t="s">
        <v>91</v>
      </c>
      <c r="E75" s="16" t="s">
        <v>110</v>
      </c>
      <c r="F75" s="16" t="s">
        <v>105</v>
      </c>
      <c r="G75" s="21"/>
      <c r="H75" s="21"/>
      <c r="J75" s="79" t="str">
        <f t="shared" ref="J75:M75" si="40">IF(ISBLANK(I64),"",IF(ISBLANK(J64),"",LN(J64)-LN(I64)))</f>
        <v/>
      </c>
      <c r="K75" s="79" t="str">
        <f t="shared" si="40"/>
        <v/>
      </c>
      <c r="L75" s="79" t="str">
        <f t="shared" si="40"/>
        <v/>
      </c>
      <c r="M75" s="79" t="str">
        <f t="shared" si="40"/>
        <v/>
      </c>
      <c r="N75" s="79" t="str">
        <f>IF(ISBLANK(M64),"",IF(ISBLANK(N64),"",LN(N64)-LN(M64)))</f>
        <v/>
      </c>
      <c r="O75" s="79" t="str">
        <f t="shared" ref="O75:T75" si="41">IF(ISBLANK(N64),"",IF(ISBLANK(O64),"",LN(O64)-LN(N64)))</f>
        <v/>
      </c>
      <c r="P75" s="79">
        <f t="shared" ref="P75:P80" si="42">IF(ISBLANK(O64),"",IF(ISBLANK(P64),"",LN(P64)-LN(O64)))</f>
        <v>1.3162766626155786E-2</v>
      </c>
      <c r="Q75" s="79">
        <f t="shared" si="41"/>
        <v>1.3857419608205745E-2</v>
      </c>
      <c r="R75" s="79">
        <f t="shared" si="41"/>
        <v>1.3468985835613623E-2</v>
      </c>
      <c r="S75" s="79">
        <f t="shared" si="41"/>
        <v>1.214326966728585E-2</v>
      </c>
      <c r="T75" s="79">
        <f t="shared" si="41"/>
        <v>1.1670038571278241E-2</v>
      </c>
    </row>
    <row r="76" spans="3:23" outlineLevel="1">
      <c r="C76" s="105" t="str">
        <f t="shared" ref="C76:C80" si="43">C65</f>
        <v>Circuit Length (km)</v>
      </c>
      <c r="D76" s="16" t="s">
        <v>91</v>
      </c>
      <c r="E76" s="16" t="s">
        <v>110</v>
      </c>
      <c r="F76" s="16" t="s">
        <v>105</v>
      </c>
      <c r="G76" s="21"/>
      <c r="H76" s="21"/>
      <c r="J76" s="79" t="str">
        <f t="shared" ref="J76:T76" si="44">IF(ISBLANK(I65),"",IF(ISBLANK(J65),"",LN(J65)-LN(I65)))</f>
        <v/>
      </c>
      <c r="K76" s="79" t="str">
        <f t="shared" si="44"/>
        <v/>
      </c>
      <c r="L76" s="79" t="str">
        <f t="shared" si="44"/>
        <v/>
      </c>
      <c r="M76" s="79" t="str">
        <f t="shared" si="44"/>
        <v/>
      </c>
      <c r="N76" s="79" t="str">
        <f t="shared" si="44"/>
        <v/>
      </c>
      <c r="O76" s="79" t="str">
        <f t="shared" si="44"/>
        <v/>
      </c>
      <c r="P76" s="79">
        <f t="shared" si="42"/>
        <v>7.8590329371941436E-3</v>
      </c>
      <c r="Q76" s="79">
        <f t="shared" si="44"/>
        <v>8.1228967550917019E-3</v>
      </c>
      <c r="R76" s="79">
        <f t="shared" si="44"/>
        <v>7.9571987666771093E-3</v>
      </c>
      <c r="S76" s="79">
        <f t="shared" si="44"/>
        <v>8.203483666722633E-3</v>
      </c>
      <c r="T76" s="79">
        <f t="shared" si="44"/>
        <v>8.7350371983312414E-3</v>
      </c>
    </row>
    <row r="77" spans="3:23" outlineLevel="1">
      <c r="C77" s="105" t="str">
        <f t="shared" si="43"/>
        <v>Ratcheted Maximum Demand (MW)</v>
      </c>
      <c r="D77" s="16" t="s">
        <v>91</v>
      </c>
      <c r="E77" s="16" t="s">
        <v>110</v>
      </c>
      <c r="F77" s="16" t="s">
        <v>105</v>
      </c>
      <c r="G77" s="21"/>
      <c r="H77" s="21"/>
      <c r="J77" s="79" t="str">
        <f t="shared" ref="J77:T77" si="45">IF(ISBLANK(I66),"",IF(ISBLANK(J66),"",LN(J66)-LN(I66)))</f>
        <v/>
      </c>
      <c r="K77" s="79" t="str">
        <f t="shared" si="45"/>
        <v/>
      </c>
      <c r="L77" s="79" t="str">
        <f t="shared" si="45"/>
        <v/>
      </c>
      <c r="M77" s="79" t="str">
        <f t="shared" si="45"/>
        <v/>
      </c>
      <c r="N77" s="79" t="str">
        <f t="shared" si="45"/>
        <v/>
      </c>
      <c r="O77" s="79" t="str">
        <f t="shared" si="45"/>
        <v/>
      </c>
      <c r="P77" s="79">
        <f t="shared" si="42"/>
        <v>5.3286094112188209E-3</v>
      </c>
      <c r="Q77" s="79">
        <f t="shared" si="45"/>
        <v>3.3601587897926777E-3</v>
      </c>
      <c r="R77" s="79">
        <f t="shared" si="45"/>
        <v>3.8766568373898025E-3</v>
      </c>
      <c r="S77" s="79">
        <f t="shared" si="45"/>
        <v>5.2622468388126009E-3</v>
      </c>
      <c r="T77" s="79">
        <f t="shared" si="45"/>
        <v>5.2347004894777172E-3</v>
      </c>
    </row>
    <row r="78" spans="3:23" outlineLevel="1">
      <c r="C78" s="105">
        <f t="shared" si="43"/>
        <v>0</v>
      </c>
      <c r="D78" s="16" t="s">
        <v>91</v>
      </c>
      <c r="E78" s="16" t="s">
        <v>110</v>
      </c>
      <c r="F78" s="16" t="s">
        <v>105</v>
      </c>
      <c r="G78" s="21"/>
      <c r="H78" s="21"/>
      <c r="J78" s="79" t="str">
        <f t="shared" ref="J78:T78" si="46">IF(ISBLANK(I67),"",IF(ISBLANK(J67),"",LN(J67)-LN(I67)))</f>
        <v/>
      </c>
      <c r="K78" s="79" t="str">
        <f t="shared" si="46"/>
        <v/>
      </c>
      <c r="L78" s="79" t="str">
        <f t="shared" si="46"/>
        <v/>
      </c>
      <c r="M78" s="79" t="str">
        <f t="shared" si="46"/>
        <v/>
      </c>
      <c r="N78" s="79" t="str">
        <f t="shared" si="46"/>
        <v/>
      </c>
      <c r="O78" s="79" t="str">
        <f t="shared" si="46"/>
        <v/>
      </c>
      <c r="P78" s="79" t="str">
        <f t="shared" si="42"/>
        <v/>
      </c>
      <c r="Q78" s="79" t="str">
        <f t="shared" si="46"/>
        <v/>
      </c>
      <c r="R78" s="79" t="str">
        <f t="shared" si="46"/>
        <v/>
      </c>
      <c r="S78" s="79" t="str">
        <f t="shared" si="46"/>
        <v/>
      </c>
      <c r="T78" s="79" t="str">
        <f t="shared" si="46"/>
        <v/>
      </c>
    </row>
    <row r="79" spans="3:23" outlineLevel="1">
      <c r="C79" s="105">
        <f t="shared" si="43"/>
        <v>0</v>
      </c>
      <c r="D79" s="16" t="s">
        <v>91</v>
      </c>
      <c r="E79" s="16" t="s">
        <v>110</v>
      </c>
      <c r="F79" s="16" t="s">
        <v>105</v>
      </c>
      <c r="G79" s="21"/>
      <c r="H79" s="21"/>
      <c r="J79" s="79" t="str">
        <f t="shared" ref="J79:T79" si="47">IF(ISBLANK(I68),"",IF(ISBLANK(J68),"",LN(J68)-LN(I68)))</f>
        <v/>
      </c>
      <c r="K79" s="79" t="str">
        <f t="shared" si="47"/>
        <v/>
      </c>
      <c r="L79" s="79" t="str">
        <f t="shared" si="47"/>
        <v/>
      </c>
      <c r="M79" s="79" t="str">
        <f t="shared" si="47"/>
        <v/>
      </c>
      <c r="N79" s="79" t="str">
        <f t="shared" si="47"/>
        <v/>
      </c>
      <c r="O79" s="79" t="str">
        <f t="shared" si="47"/>
        <v/>
      </c>
      <c r="P79" s="79" t="str">
        <f t="shared" si="42"/>
        <v/>
      </c>
      <c r="Q79" s="79" t="str">
        <f t="shared" si="47"/>
        <v/>
      </c>
      <c r="R79" s="79" t="str">
        <f t="shared" si="47"/>
        <v/>
      </c>
      <c r="S79" s="79" t="str">
        <f t="shared" si="47"/>
        <v/>
      </c>
      <c r="T79" s="79" t="str">
        <f t="shared" si="47"/>
        <v/>
      </c>
    </row>
    <row r="80" spans="3:23" outlineLevel="1">
      <c r="C80" s="105">
        <f t="shared" si="43"/>
        <v>0</v>
      </c>
      <c r="D80" s="16" t="s">
        <v>91</v>
      </c>
      <c r="E80" s="16" t="s">
        <v>110</v>
      </c>
      <c r="F80" s="16" t="s">
        <v>105</v>
      </c>
      <c r="G80" s="21"/>
      <c r="H80" s="21"/>
      <c r="J80" s="79" t="str">
        <f t="shared" ref="J80:T80" si="48">IF(ISBLANK(I69),"",IF(ISBLANK(J69),"",LN(J69)-LN(I69)))</f>
        <v/>
      </c>
      <c r="K80" s="79" t="str">
        <f t="shared" si="48"/>
        <v/>
      </c>
      <c r="L80" s="79" t="str">
        <f t="shared" si="48"/>
        <v/>
      </c>
      <c r="M80" s="79" t="str">
        <f t="shared" si="48"/>
        <v/>
      </c>
      <c r="N80" s="79" t="str">
        <f t="shared" si="48"/>
        <v/>
      </c>
      <c r="O80" s="79" t="str">
        <f t="shared" si="48"/>
        <v/>
      </c>
      <c r="P80" s="79" t="str">
        <f t="shared" si="42"/>
        <v/>
      </c>
      <c r="Q80" s="79" t="str">
        <f t="shared" si="48"/>
        <v/>
      </c>
      <c r="R80" s="79" t="str">
        <f t="shared" si="48"/>
        <v/>
      </c>
      <c r="S80" s="79" t="str">
        <f t="shared" si="48"/>
        <v/>
      </c>
      <c r="T80" s="79" t="str">
        <f t="shared" si="48"/>
        <v/>
      </c>
    </row>
    <row r="81" spans="3:23" outlineLevel="1">
      <c r="C81" s="15"/>
      <c r="G81" s="21"/>
      <c r="H81" s="21"/>
      <c r="K81" s="23"/>
      <c r="L81" s="23"/>
      <c r="M81" s="23"/>
      <c r="N81" s="23"/>
      <c r="O81" s="23"/>
    </row>
    <row r="82" spans="3:23" outlineLevel="1">
      <c r="C82" s="9" t="s">
        <v>114</v>
      </c>
      <c r="D82" s="21" t="s">
        <v>33</v>
      </c>
      <c r="E82" s="21" t="s">
        <v>53</v>
      </c>
      <c r="F82" s="21" t="s">
        <v>56</v>
      </c>
      <c r="G82" s="21"/>
      <c r="H82" s="21"/>
      <c r="J82" s="157" t="s">
        <v>115</v>
      </c>
      <c r="K82" s="157" t="s">
        <v>116</v>
      </c>
      <c r="L82" s="157" t="s">
        <v>117</v>
      </c>
      <c r="M82" s="157" t="s">
        <v>118</v>
      </c>
      <c r="N82" s="157"/>
      <c r="O82" s="120"/>
      <c r="P82" s="120"/>
      <c r="Q82" s="120"/>
      <c r="R82" s="120"/>
      <c r="S82" s="120"/>
      <c r="T82" s="120"/>
    </row>
    <row r="83" spans="3:23" outlineLevel="1">
      <c r="C83" s="15"/>
      <c r="G83" s="21"/>
      <c r="H83" s="21"/>
      <c r="K83" s="23"/>
      <c r="L83" s="23"/>
      <c r="M83" s="23"/>
      <c r="N83" s="23"/>
      <c r="O83" s="71"/>
      <c r="P83" s="71"/>
      <c r="Q83" s="71"/>
      <c r="R83" s="71"/>
      <c r="S83" s="71"/>
      <c r="T83" s="71"/>
    </row>
    <row r="84" spans="3:23" outlineLevel="1">
      <c r="C84" s="105" t="str">
        <f>C64</f>
        <v>Customer numbers (#)</v>
      </c>
      <c r="D84" s="16" t="s">
        <v>97</v>
      </c>
      <c r="E84" s="16" t="s">
        <v>110</v>
      </c>
      <c r="F84" s="16" t="s">
        <v>105</v>
      </c>
      <c r="G84" s="21"/>
      <c r="H84" s="21"/>
      <c r="J84" s="168">
        <v>0.38923395445134579</v>
      </c>
      <c r="K84" s="168">
        <v>0.57656731757451185</v>
      </c>
      <c r="L84" s="168">
        <v>0.42154811715481172</v>
      </c>
      <c r="M84" s="168">
        <v>0.43169398907103823</v>
      </c>
      <c r="N84" s="167"/>
      <c r="O84" s="143"/>
      <c r="P84" s="143"/>
      <c r="Q84" s="143"/>
      <c r="R84" s="143"/>
      <c r="S84" s="143"/>
      <c r="T84" s="143"/>
    </row>
    <row r="85" spans="3:23" outlineLevel="1">
      <c r="C85" s="105" t="str">
        <f t="shared" ref="C85:C89" si="49">C65</f>
        <v>Circuit Length (km)</v>
      </c>
      <c r="D85" s="16" t="s">
        <v>97</v>
      </c>
      <c r="E85" s="16" t="s">
        <v>110</v>
      </c>
      <c r="F85" s="16" t="s">
        <v>105</v>
      </c>
      <c r="G85" s="21"/>
      <c r="H85" s="21"/>
      <c r="J85" s="168">
        <v>0.12732919254658384</v>
      </c>
      <c r="K85" s="168">
        <v>0.17677286742034939</v>
      </c>
      <c r="L85" s="168">
        <v>0.1914225941422594</v>
      </c>
      <c r="M85" s="168">
        <v>9.94535519125683E-2</v>
      </c>
      <c r="N85" s="167"/>
      <c r="O85" s="143"/>
      <c r="P85" s="143"/>
      <c r="Q85" s="143"/>
      <c r="R85" s="143"/>
      <c r="S85" s="143"/>
      <c r="T85" s="143"/>
    </row>
    <row r="86" spans="3:23" outlineLevel="1">
      <c r="C86" s="105" t="str">
        <f t="shared" si="49"/>
        <v>Ratcheted Maximum Demand (MW)</v>
      </c>
      <c r="D86" s="16" t="s">
        <v>97</v>
      </c>
      <c r="E86" s="16" t="s">
        <v>110</v>
      </c>
      <c r="F86" s="16" t="s">
        <v>105</v>
      </c>
      <c r="G86" s="21"/>
      <c r="H86" s="21"/>
      <c r="J86" s="168">
        <v>0.48343685300207045</v>
      </c>
      <c r="K86" s="168">
        <v>0.24665981500513873</v>
      </c>
      <c r="L86" s="168">
        <v>0.38702928870292885</v>
      </c>
      <c r="M86" s="168">
        <v>0.46885245901639344</v>
      </c>
      <c r="N86" s="167"/>
      <c r="O86" s="143"/>
      <c r="P86" s="143"/>
      <c r="Q86" s="143"/>
      <c r="R86" s="143"/>
      <c r="S86" s="143"/>
      <c r="T86" s="143"/>
    </row>
    <row r="87" spans="3:23" outlineLevel="1">
      <c r="C87" s="105">
        <f t="shared" si="49"/>
        <v>0</v>
      </c>
      <c r="D87" s="16" t="s">
        <v>97</v>
      </c>
      <c r="E87" s="16" t="s">
        <v>110</v>
      </c>
      <c r="F87" s="16" t="s">
        <v>105</v>
      </c>
      <c r="G87" s="21"/>
      <c r="H87" s="21"/>
      <c r="J87" s="167"/>
      <c r="K87" s="167"/>
      <c r="L87" s="167"/>
      <c r="M87" s="167"/>
      <c r="N87" s="167"/>
      <c r="O87" s="143"/>
      <c r="P87" s="143"/>
      <c r="Q87" s="143"/>
      <c r="R87" s="143"/>
      <c r="S87" s="143"/>
      <c r="T87" s="143"/>
    </row>
    <row r="88" spans="3:23" outlineLevel="1">
      <c r="C88" s="105">
        <f t="shared" si="49"/>
        <v>0</v>
      </c>
      <c r="D88" s="16" t="s">
        <v>97</v>
      </c>
      <c r="E88" s="16" t="s">
        <v>110</v>
      </c>
      <c r="F88" s="16" t="s">
        <v>105</v>
      </c>
      <c r="G88" s="21"/>
      <c r="H88" s="21"/>
      <c r="J88" s="167"/>
      <c r="K88" s="167"/>
      <c r="L88" s="167"/>
      <c r="M88" s="167"/>
      <c r="N88" s="167"/>
      <c r="O88" s="143"/>
      <c r="P88" s="143"/>
      <c r="Q88" s="143"/>
      <c r="R88" s="143"/>
      <c r="S88" s="143"/>
      <c r="T88" s="143"/>
    </row>
    <row r="89" spans="3:23" outlineLevel="1">
      <c r="C89" s="105">
        <f t="shared" si="49"/>
        <v>0</v>
      </c>
      <c r="D89" s="16" t="s">
        <v>97</v>
      </c>
      <c r="E89" s="16" t="s">
        <v>110</v>
      </c>
      <c r="F89" s="16" t="s">
        <v>105</v>
      </c>
      <c r="G89" s="21"/>
      <c r="H89" s="21"/>
      <c r="J89" s="167"/>
      <c r="K89" s="167"/>
      <c r="L89" s="167"/>
      <c r="M89" s="167"/>
      <c r="N89" s="167"/>
      <c r="O89" s="143"/>
      <c r="P89" s="143"/>
      <c r="Q89" s="143"/>
      <c r="R89" s="143"/>
      <c r="S89" s="143"/>
      <c r="T89" s="143"/>
    </row>
    <row r="90" spans="3:23" outlineLevel="1">
      <c r="G90" s="21"/>
      <c r="H90" s="21"/>
    </row>
    <row r="91" spans="3:23" outlineLevel="1">
      <c r="C91" s="8" t="s">
        <v>103</v>
      </c>
      <c r="D91" s="16" t="s">
        <v>91</v>
      </c>
      <c r="E91" s="16" t="s">
        <v>104</v>
      </c>
      <c r="F91" s="16" t="s">
        <v>105</v>
      </c>
      <c r="J91" s="91" t="str">
        <f t="array" ref="J91">IF(ISBLANK(J82),IF(ISBLANK(J84:J89),"Ok","Check"),IF(SUM(J84:J89)=1,"Ok","Check"))</f>
        <v>Ok</v>
      </c>
      <c r="K91" s="91" t="str">
        <f t="array" ref="K91">IF(ISBLANK(K82),IF(ISBLANK(K84:K89),"Ok","Check"),IF(SUM(K84:K89)=1,"Ok","Check"))</f>
        <v>Ok</v>
      </c>
      <c r="L91" s="91" t="str">
        <f t="array" ref="L91">IF(ISBLANK(L82),IF(ISBLANK(L84:L89),"Ok","Check"),IF(SUM(L84:L89)=1,"Ok","Check"))</f>
        <v>Ok</v>
      </c>
      <c r="M91" s="91" t="str">
        <f t="array" ref="M91">IF(ISBLANK(M82),IF(ISBLANK(M84:M89),"Ok","Check"),IF(SUM(M84:M89)=1,"Ok","Check"))</f>
        <v>Ok</v>
      </c>
      <c r="N91" s="91" t="str">
        <f t="array" ref="N91">IF(ISBLANK(N82),IF(ISBLANK(N84:N89),"Ok","Check"),IF(SUM(N84:N89)=1,"Ok","Check"))</f>
        <v>Ok</v>
      </c>
      <c r="O91" s="91" t="str">
        <f t="array" ref="O91">IF(ISBLANK(O84:O89),"",IF(SUM(O84:O89)=1,"Ok","Check"))</f>
        <v/>
      </c>
      <c r="P91" s="91" t="str">
        <f t="array" ref="P91">IF(ISBLANK(P84:P89),"",IF(SUM(P84:P89)=1,"Ok","Check"))</f>
        <v/>
      </c>
      <c r="Q91" s="91" t="str">
        <f t="array" ref="Q91">IF(ISBLANK(Q84:Q89),"",IF(SUM(Q84:Q89)=1,"Ok","Check"))</f>
        <v/>
      </c>
      <c r="R91" s="91" t="str">
        <f t="array" ref="R91">IF(ISBLANK(R84:R89),"",IF(SUM(R84:R89)=1,"Ok","Check"))</f>
        <v/>
      </c>
      <c r="S91" s="91" t="str">
        <f t="array" ref="S91">IF(ISBLANK(S84:S89),"",IF(SUM(S84:S89)=1,"Ok","Check"))</f>
        <v/>
      </c>
      <c r="T91" s="91" t="str">
        <f t="array" ref="T91">IF(ISBLANK(T84:T89),"",IF(SUM(T84:T89)=1,"Ok","Check"))</f>
        <v/>
      </c>
      <c r="U91" s="24"/>
      <c r="W91" s="90" t="str">
        <f>IF(COUNTIF(K91:T91,"Check")=0,"Ok","Check")</f>
        <v>Ok</v>
      </c>
    </row>
    <row r="92" spans="3:23" outlineLevel="1"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24"/>
      <c r="W92" s="91"/>
    </row>
    <row r="93" spans="3:23" outlineLevel="1">
      <c r="C93" s="9" t="s">
        <v>119</v>
      </c>
      <c r="D93" s="21" t="s">
        <v>33</v>
      </c>
      <c r="E93" s="21" t="s">
        <v>53</v>
      </c>
      <c r="F93" s="21" t="s">
        <v>56</v>
      </c>
      <c r="J93" s="120" t="str">
        <f t="shared" ref="J93:P93" si="50">IF(YEAR(J$4)&gt;=FPFirstYear,IF(YEAR(J$4)&lt;=FPLastYear,J$4,""),"")</f>
        <v/>
      </c>
      <c r="K93" s="120" t="str">
        <f t="shared" si="50"/>
        <v/>
      </c>
      <c r="L93" s="120" t="str">
        <f t="shared" si="50"/>
        <v/>
      </c>
      <c r="M93" s="120" t="str">
        <f t="shared" si="50"/>
        <v/>
      </c>
      <c r="N93" s="120" t="str">
        <f t="shared" si="50"/>
        <v/>
      </c>
      <c r="O93" s="120" t="str">
        <f t="shared" si="50"/>
        <v/>
      </c>
      <c r="P93" s="120">
        <f t="shared" si="50"/>
        <v>46174</v>
      </c>
      <c r="Q93" s="120">
        <f>IF(YEAR(Q$4)&gt;FPFirstYear,IF(YEAR(Q$4)&lt;=FPLastYear,Q$4,""),"")</f>
        <v>46539</v>
      </c>
      <c r="R93" s="120">
        <f>IF(YEAR(R$4)&gt;FPFirstYear,IF(YEAR(R$4)&lt;=FPLastYear,R$4,""),"")</f>
        <v>46905</v>
      </c>
      <c r="S93" s="120">
        <f>IF(YEAR(S$4)&gt;FPFirstYear,IF(YEAR(S$4)&lt;=FPLastYear,S$4,""),"")</f>
        <v>47270</v>
      </c>
      <c r="T93" s="120">
        <f>IF(YEAR(T$4)&gt;FPFirstYear,IF(YEAR(T$4)&lt;=FPLastYear,T$4,""),"")</f>
        <v>47635</v>
      </c>
      <c r="U93" s="24"/>
      <c r="W93" s="91"/>
    </row>
    <row r="94" spans="3:23" outlineLevel="1"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24"/>
      <c r="W94" s="91"/>
    </row>
    <row r="95" spans="3:23" outlineLevel="1">
      <c r="C95" s="105" t="str">
        <f t="array" ref="C95:C99">TRANSPOSE(J82:N82)</f>
        <v>SFA CD</v>
      </c>
      <c r="D95" s="16" t="s">
        <v>91</v>
      </c>
      <c r="E95" s="16" t="s">
        <v>110</v>
      </c>
      <c r="F95" s="16" t="s">
        <v>105</v>
      </c>
      <c r="J95" s="79" t="str">
        <f t="shared" ref="J95:O95" si="51">IF(J$93=J$4,SUMPRODUCT(J$75:J$80,$J$84:$J$89),"")</f>
        <v/>
      </c>
      <c r="K95" s="79" t="str">
        <f t="shared" si="51"/>
        <v/>
      </c>
      <c r="L95" s="79" t="str">
        <f t="shared" si="51"/>
        <v/>
      </c>
      <c r="M95" s="79" t="str">
        <f t="shared" si="51"/>
        <v/>
      </c>
      <c r="N95" s="79" t="str">
        <f t="shared" si="51"/>
        <v/>
      </c>
      <c r="O95" s="79" t="str">
        <f t="shared" si="51"/>
        <v/>
      </c>
      <c r="P95" s="79">
        <f>IF(P$93=P$4,SUMPRODUCT(P$75:P$80,$J$84:$J$89),"")</f>
        <v>8.7001261881455953E-3</v>
      </c>
      <c r="Q95" s="79">
        <f>IF(Q$93=Q$4,SUMPRODUCT(Q$75:Q$80,$J$84:$J$89),"")</f>
        <v>8.0524847084832499E-3</v>
      </c>
      <c r="R95" s="79">
        <f>IF(R$93=R$4,SUMPRODUCT(R$75:R$80,$J$84:$J$89),"")</f>
        <v>8.1298890947754075E-3</v>
      </c>
      <c r="S95" s="79">
        <f>IF(S$93=S$4,SUMPRODUCT(S$75:S$80,$J$84:$J$89),"")</f>
        <v>8.315079875395287E-3</v>
      </c>
      <c r="T95" s="79">
        <f>IF(T$93=T$4,SUMPRODUCT(T$75:T$80,$J$84:$J$89),"")</f>
        <v>8.1852476260677598E-3</v>
      </c>
      <c r="U95" s="24"/>
      <c r="W95" s="91"/>
    </row>
    <row r="96" spans="3:23" outlineLevel="1">
      <c r="C96" s="105" t="str">
        <v>LSE CD</v>
      </c>
      <c r="D96" s="16" t="s">
        <v>91</v>
      </c>
      <c r="E96" s="16" t="s">
        <v>110</v>
      </c>
      <c r="F96" s="16" t="s">
        <v>105</v>
      </c>
      <c r="J96" s="79" t="str">
        <f t="shared" ref="J96:O96" si="52">IF(J$93=J$4,SUMPRODUCT(J$75:J$80,$K$84:$K$89),"")</f>
        <v/>
      </c>
      <c r="K96" s="79" t="str">
        <f t="shared" si="52"/>
        <v/>
      </c>
      <c r="L96" s="79" t="str">
        <f t="shared" si="52"/>
        <v/>
      </c>
      <c r="M96" s="79" t="str">
        <f t="shared" si="52"/>
        <v/>
      </c>
      <c r="N96" s="79" t="str">
        <f t="shared" si="52"/>
        <v/>
      </c>
      <c r="O96" s="79" t="str">
        <f t="shared" si="52"/>
        <v/>
      </c>
      <c r="P96" s="79">
        <f>IF(P$93=P$4,SUMPRODUCT(P$75:P$80,$K$84:$K$89),"")</f>
        <v>1.0292838644566604E-2</v>
      </c>
      <c r="Q96" s="79">
        <f>IF(Q$93=Q$4,SUMPRODUCT(Q$75:Q$80,$K$84:$K$89),"")</f>
        <v>1.0254459148642795E-2</v>
      </c>
      <c r="R96" s="79">
        <f>IF(R$93=R$4,SUMPRODUCT(R$75:R$80,$K$84:$K$89),"")</f>
        <v>1.0128609334656997E-2</v>
      </c>
      <c r="S96" s="79">
        <f>IF(S$93=S$4,SUMPRODUCT(S$75:S$80,$K$84:$K$89),"")</f>
        <v>9.7495505810263911E-3</v>
      </c>
      <c r="T96" s="79">
        <f>IF(T$93=T$4,SUMPRODUCT(T$75:T$80,$K$84:$K$89),"")</f>
        <v>9.5638706619472942E-3</v>
      </c>
      <c r="U96" s="24"/>
      <c r="W96" s="91"/>
    </row>
    <row r="97" spans="1:33" outlineLevel="1">
      <c r="C97" s="105" t="str">
        <v>LSE TLG</v>
      </c>
      <c r="D97" s="16" t="s">
        <v>91</v>
      </c>
      <c r="E97" s="16" t="s">
        <v>110</v>
      </c>
      <c r="F97" s="16" t="s">
        <v>105</v>
      </c>
      <c r="J97" s="79" t="str">
        <f t="shared" ref="J97:O97" si="53">IF(J$93=J$4,SUMPRODUCT(J$75:J$80,$L$84:$L$89),"")</f>
        <v/>
      </c>
      <c r="K97" s="79" t="str">
        <f t="shared" si="53"/>
        <v/>
      </c>
      <c r="L97" s="79" t="str">
        <f t="shared" si="53"/>
        <v/>
      </c>
      <c r="M97" s="79" t="str">
        <f t="shared" si="53"/>
        <v/>
      </c>
      <c r="N97" s="79" t="str">
        <f t="shared" si="53"/>
        <v/>
      </c>
      <c r="O97" s="79" t="str">
        <f t="shared" si="53"/>
        <v/>
      </c>
      <c r="P97" s="79">
        <f>IF(P$93=P$4,SUMPRODUCT(P$75:P$80,$L$84:$L$89),"")</f>
        <v>9.1154638702910813E-3</v>
      </c>
      <c r="Q97" s="79">
        <f>IF(Q$93=Q$4,SUMPRODUCT(Q$75:Q$80,$L$84:$L$89),"")</f>
        <v>8.6969549796150486E-3</v>
      </c>
      <c r="R97" s="79">
        <f>IF(R$93=R$4,SUMPRODUCT(R$75:R$80,$L$84:$L$89),"")</f>
        <v>8.7013929873309918E-3</v>
      </c>
      <c r="S97" s="79">
        <f>IF(S$93=S$4,SUMPRODUCT(S$75:S$80,$L$84:$L$89),"")</f>
        <v>8.7259482398400635E-3</v>
      </c>
      <c r="T97" s="79">
        <f>IF(T$93=T$4,SUMPRODUCT(T$75:T$80,$L$84:$L$89),"")</f>
        <v>8.6175486742955058E-3</v>
      </c>
      <c r="U97" s="24"/>
      <c r="W97" s="91"/>
    </row>
    <row r="98" spans="1:33" outlineLevel="1">
      <c r="C98" s="105" t="str">
        <v>SFA TLG</v>
      </c>
      <c r="J98" s="79"/>
      <c r="K98" s="79"/>
      <c r="L98" s="79"/>
      <c r="M98" s="79"/>
      <c r="N98" s="79"/>
      <c r="O98" s="79"/>
      <c r="P98" s="79">
        <f>IF(P$93=P$4,SUMPRODUCT(P$75:P$80,$M$84:$M$89),"")</f>
        <v>8.9622275978459842E-3</v>
      </c>
      <c r="Q98" s="79">
        <f>IF(Q$93=Q$4,SUMPRODUCT(Q$75:Q$80,$M$84:$M$89),"")</f>
        <v>8.3654343942903536E-3</v>
      </c>
      <c r="R98" s="79">
        <f>IF(R$93=R$4,SUMPRODUCT(R$75:R$80,$M$84:$M$89),"")</f>
        <v>8.4234319957106271E-3</v>
      </c>
      <c r="S98" s="79">
        <f>IF(S$93=S$4,SUMPRODUCT(S$75:S$80,$M$84:$M$89),"")</f>
        <v>8.5252594820768024E-3</v>
      </c>
      <c r="T98" s="79">
        <f>IF(T$93=T$4,SUMPRODUCT(T$75:T$80,$M$84:$M$89),"")</f>
        <v>8.360918175616381E-3</v>
      </c>
      <c r="U98" s="24"/>
      <c r="W98" s="91"/>
    </row>
    <row r="99" spans="1:33" outlineLevel="1">
      <c r="C99" s="105">
        <v>0</v>
      </c>
      <c r="D99" s="16" t="s">
        <v>91</v>
      </c>
      <c r="E99" s="16" t="s">
        <v>110</v>
      </c>
      <c r="F99" s="16" t="s">
        <v>105</v>
      </c>
      <c r="J99" s="79" t="str">
        <f t="shared" ref="J99:O99" si="54">IF(J$93=J$4,SUMPRODUCT(J$75:J$80,$M$84:$M$89),"")</f>
        <v/>
      </c>
      <c r="K99" s="79" t="str">
        <f t="shared" si="54"/>
        <v/>
      </c>
      <c r="L99" s="79" t="str">
        <f t="shared" si="54"/>
        <v/>
      </c>
      <c r="M99" s="79" t="str">
        <f t="shared" si="54"/>
        <v/>
      </c>
      <c r="N99" s="79" t="str">
        <f t="shared" si="54"/>
        <v/>
      </c>
      <c r="O99" s="79" t="str">
        <f t="shared" si="54"/>
        <v/>
      </c>
      <c r="P99" s="79">
        <f>IF(P$93=P$4,SUMPRODUCT(P$75:P$80,$N$84:$N$89),"")</f>
        <v>0</v>
      </c>
      <c r="Q99" s="79">
        <f>IF(Q$93=Q$4,SUMPRODUCT(Q$75:Q$80,$N$84:$N$89),"")</f>
        <v>0</v>
      </c>
      <c r="R99" s="79">
        <f>IF(R$93=R$4,SUMPRODUCT(R$75:R$80,$N$84:$N$89),"")</f>
        <v>0</v>
      </c>
      <c r="S99" s="79">
        <f>IF(S$93=S$4,SUMPRODUCT(S$75:S$80,$N$84:$N$89),"")</f>
        <v>0</v>
      </c>
      <c r="T99" s="79">
        <f>IF(T$93=T$4,SUMPRODUCT(T$75:T$80,$N$84:$N$89),"")</f>
        <v>0</v>
      </c>
      <c r="U99" s="24"/>
      <c r="W99" s="91"/>
    </row>
    <row r="100" spans="1:33" outlineLevel="1">
      <c r="C100" s="15"/>
      <c r="G100" s="21"/>
      <c r="H100" s="21"/>
      <c r="K100" s="23"/>
      <c r="L100" s="23"/>
      <c r="M100" s="23"/>
      <c r="N100" s="23"/>
      <c r="O100" s="23"/>
    </row>
    <row r="101" spans="1:33" customFormat="1" ht="12.75">
      <c r="A101" s="37"/>
      <c r="B101" s="43" t="s">
        <v>120</v>
      </c>
      <c r="C101" s="37"/>
      <c r="D101" s="37"/>
      <c r="E101" s="37"/>
      <c r="F101" s="38"/>
      <c r="G101" s="38"/>
      <c r="H101" s="38"/>
      <c r="I101" s="38"/>
      <c r="J101" s="38"/>
      <c r="K101" s="39"/>
      <c r="L101" s="40"/>
      <c r="M101" s="39"/>
      <c r="N101" s="40"/>
      <c r="O101" s="39"/>
      <c r="P101" s="39"/>
      <c r="Q101" s="39"/>
      <c r="R101" s="39"/>
      <c r="S101" s="39"/>
      <c r="T101" s="39"/>
      <c r="U101" s="39"/>
      <c r="V101" s="39"/>
      <c r="W101" s="40"/>
      <c r="X101" s="41"/>
      <c r="Y101" s="41"/>
      <c r="Z101" s="41"/>
      <c r="AA101" s="41"/>
      <c r="AB101" s="41"/>
      <c r="AC101" s="41"/>
      <c r="AD101" s="41"/>
      <c r="AE101" s="41"/>
      <c r="AF101" s="42"/>
      <c r="AG101" s="42"/>
    </row>
    <row r="102" spans="1:33" outlineLevel="1">
      <c r="G102" s="21"/>
      <c r="H102" s="21"/>
    </row>
    <row r="103" spans="1:33" outlineLevel="1">
      <c r="C103" s="9" t="s">
        <v>121</v>
      </c>
      <c r="D103" s="21" t="s">
        <v>33</v>
      </c>
      <c r="E103" s="21" t="s">
        <v>53</v>
      </c>
      <c r="F103" s="21" t="s">
        <v>56</v>
      </c>
      <c r="G103" s="21"/>
      <c r="H103" s="21"/>
      <c r="J103" s="120" t="str">
        <f t="shared" ref="J103:T103" si="55">IF(YEAR(J$4)&gt;=FPFirstYear,IF(YEAR(J$4)&lt;=FPLastYear,J$4,""),"")</f>
        <v/>
      </c>
      <c r="K103" s="120" t="str">
        <f t="shared" si="55"/>
        <v/>
      </c>
      <c r="L103" s="120" t="str">
        <f t="shared" si="55"/>
        <v/>
      </c>
      <c r="M103" s="120" t="str">
        <f t="shared" si="55"/>
        <v/>
      </c>
      <c r="N103" s="120" t="str">
        <f t="shared" si="55"/>
        <v/>
      </c>
      <c r="O103" s="120" t="str">
        <f t="shared" si="55"/>
        <v/>
      </c>
      <c r="P103" s="120">
        <f t="shared" si="55"/>
        <v>46174</v>
      </c>
      <c r="Q103" s="120">
        <f t="shared" si="55"/>
        <v>46539</v>
      </c>
      <c r="R103" s="120">
        <f t="shared" si="55"/>
        <v>46905</v>
      </c>
      <c r="S103" s="120">
        <f t="shared" si="55"/>
        <v>47270</v>
      </c>
      <c r="T103" s="120">
        <f t="shared" si="55"/>
        <v>47635</v>
      </c>
    </row>
    <row r="104" spans="1:33" outlineLevel="1">
      <c r="C104" s="15"/>
      <c r="G104" s="21"/>
      <c r="H104" s="21"/>
      <c r="K104" s="23"/>
      <c r="L104" s="23"/>
      <c r="M104" s="23"/>
      <c r="N104" s="23"/>
      <c r="O104" s="23"/>
    </row>
    <row r="105" spans="1:33" outlineLevel="1">
      <c r="C105" s="15" t="s">
        <v>121</v>
      </c>
      <c r="D105" s="16" t="s">
        <v>97</v>
      </c>
      <c r="E105" s="16" t="str">
        <f>percent</f>
        <v>Per cent</v>
      </c>
      <c r="F105" s="16" t="s">
        <v>105</v>
      </c>
      <c r="G105" s="21"/>
      <c r="H105" s="21"/>
      <c r="J105" s="151"/>
      <c r="K105" s="144"/>
      <c r="L105" s="144"/>
      <c r="M105" s="144"/>
      <c r="N105" s="144"/>
      <c r="O105" s="123"/>
      <c r="P105" s="123">
        <v>0.01</v>
      </c>
      <c r="Q105" s="123">
        <v>0.01</v>
      </c>
      <c r="R105" s="123">
        <v>0.01</v>
      </c>
      <c r="S105" s="123">
        <v>0.01</v>
      </c>
      <c r="T105" s="123">
        <v>0.01</v>
      </c>
    </row>
    <row r="106" spans="1:33" outlineLevel="1">
      <c r="C106" s="15"/>
      <c r="G106" s="21"/>
      <c r="H106" s="21"/>
      <c r="K106" s="23"/>
      <c r="L106" s="23"/>
      <c r="M106" s="23"/>
      <c r="N106" s="23"/>
      <c r="O106" s="23"/>
      <c r="P106" s="142"/>
      <c r="Q106" s="142"/>
      <c r="R106" s="142"/>
      <c r="S106" s="142"/>
      <c r="T106" s="142"/>
    </row>
    <row r="107" spans="1:33" outlineLevel="1">
      <c r="C107" s="8" t="s">
        <v>103</v>
      </c>
      <c r="D107" s="16" t="s">
        <v>91</v>
      </c>
      <c r="E107" s="16" t="s">
        <v>104</v>
      </c>
      <c r="F107" s="16" t="s">
        <v>105</v>
      </c>
      <c r="J107" s="91" t="str">
        <f t="shared" ref="J107:S107" si="56">IF(J103=J$4,IF(ISBLANK(J105),"Check","Ok"),"")</f>
        <v/>
      </c>
      <c r="K107" s="91" t="str">
        <f t="shared" si="56"/>
        <v/>
      </c>
      <c r="L107" s="91" t="str">
        <f t="shared" si="56"/>
        <v/>
      </c>
      <c r="M107" s="91" t="str">
        <f t="shared" si="56"/>
        <v/>
      </c>
      <c r="N107" s="91" t="str">
        <f t="shared" si="56"/>
        <v/>
      </c>
      <c r="O107" s="91" t="str">
        <f t="shared" si="56"/>
        <v/>
      </c>
      <c r="P107" s="91" t="str">
        <f t="shared" si="56"/>
        <v>Ok</v>
      </c>
      <c r="Q107" s="91" t="str">
        <f t="shared" si="56"/>
        <v>Ok</v>
      </c>
      <c r="R107" s="91" t="str">
        <f t="shared" si="56"/>
        <v>Ok</v>
      </c>
      <c r="S107" s="91" t="str">
        <f t="shared" si="56"/>
        <v>Ok</v>
      </c>
      <c r="T107" s="91" t="str">
        <f>IF(T103=T$4,IF(ISBLANK(T105),"Check","Ok"),"")</f>
        <v>Ok</v>
      </c>
      <c r="U107" s="24"/>
      <c r="W107" s="90" t="str">
        <f>IF(COUNTIF(J107:T107,"Check")=0,"Ok","Check")</f>
        <v>Ok</v>
      </c>
    </row>
    <row r="108" spans="1:33" outlineLevel="1">
      <c r="C108" s="15"/>
      <c r="G108" s="21"/>
      <c r="H108" s="21"/>
      <c r="K108" s="23"/>
      <c r="L108" s="23"/>
      <c r="M108" s="23"/>
      <c r="N108" s="23"/>
      <c r="O108" s="23"/>
    </row>
    <row r="109" spans="1:33" customFormat="1" ht="12.75">
      <c r="A109" s="37"/>
      <c r="B109" s="43" t="s">
        <v>23</v>
      </c>
      <c r="C109" s="37"/>
      <c r="D109" s="37"/>
      <c r="E109" s="37"/>
      <c r="F109" s="38"/>
      <c r="G109" s="38"/>
      <c r="H109" s="38"/>
      <c r="I109" s="38"/>
      <c r="J109" s="38"/>
      <c r="K109" s="39"/>
      <c r="L109" s="40"/>
      <c r="M109" s="39"/>
      <c r="N109" s="40"/>
      <c r="O109" s="39"/>
      <c r="P109" s="39"/>
      <c r="Q109" s="39"/>
      <c r="R109" s="39"/>
      <c r="S109" s="39"/>
      <c r="T109" s="39"/>
      <c r="U109" s="39"/>
      <c r="V109" s="39"/>
      <c r="W109" s="40"/>
      <c r="X109" s="41"/>
      <c r="Y109" s="41"/>
      <c r="Z109" s="41"/>
      <c r="AA109" s="41"/>
      <c r="AB109" s="41"/>
      <c r="AC109" s="41"/>
      <c r="AD109" s="41"/>
      <c r="AE109" s="41"/>
      <c r="AF109" s="42"/>
      <c r="AG109" s="42"/>
    </row>
  </sheetData>
  <mergeCells count="2">
    <mergeCell ref="K3:M3"/>
    <mergeCell ref="O3:T3"/>
  </mergeCells>
  <conditionalFormatting sqref="W1">
    <cfRule type="cellIs" dxfId="151" priority="115" operator="equal">
      <formula>"Check"</formula>
    </cfRule>
    <cfRule type="cellIs" dxfId="150" priority="116" operator="equal">
      <formula>"Ok"</formula>
    </cfRule>
  </conditionalFormatting>
  <conditionalFormatting sqref="T1">
    <cfRule type="cellIs" dxfId="149" priority="79" operator="equal">
      <formula>"Check"</formula>
    </cfRule>
    <cfRule type="cellIs" dxfId="148" priority="80" operator="equal">
      <formula>"Ok"</formula>
    </cfRule>
  </conditionalFormatting>
  <conditionalFormatting sqref="W58">
    <cfRule type="cellIs" dxfId="147" priority="67" operator="equal">
      <formula>"Check"</formula>
    </cfRule>
    <cfRule type="cellIs" dxfId="146" priority="68" operator="equal">
      <formula>"Ok"</formula>
    </cfRule>
  </conditionalFormatting>
  <conditionalFormatting sqref="J58:T58">
    <cfRule type="cellIs" dxfId="145" priority="59" operator="equal">
      <formula>"Check"</formula>
    </cfRule>
    <cfRule type="cellIs" dxfId="144" priority="60" operator="equal">
      <formula>"Ok"</formula>
    </cfRule>
  </conditionalFormatting>
  <conditionalFormatting sqref="J34:T34">
    <cfRule type="expression" dxfId="143" priority="50">
      <formula>J$34=J$4</formula>
    </cfRule>
  </conditionalFormatting>
  <conditionalFormatting sqref="J36:O37 J38:T43">
    <cfRule type="expression" dxfId="142" priority="48">
      <formula>J$34=J$4</formula>
    </cfRule>
  </conditionalFormatting>
  <conditionalFormatting sqref="J49:T56">
    <cfRule type="expression" dxfId="141" priority="47">
      <formula>J$47=J$4</formula>
    </cfRule>
  </conditionalFormatting>
  <conditionalFormatting sqref="W107">
    <cfRule type="cellIs" dxfId="140" priority="41" operator="equal">
      <formula>"Check"</formula>
    </cfRule>
    <cfRule type="cellIs" dxfId="139" priority="42" operator="equal">
      <formula>"Ok"</formula>
    </cfRule>
  </conditionalFormatting>
  <conditionalFormatting sqref="J107:T107">
    <cfRule type="cellIs" dxfId="138" priority="39" operator="equal">
      <formula>"Check"</formula>
    </cfRule>
    <cfRule type="cellIs" dxfId="137" priority="40" operator="equal">
      <formula>"Ok"</formula>
    </cfRule>
  </conditionalFormatting>
  <conditionalFormatting sqref="W45">
    <cfRule type="cellIs" dxfId="136" priority="37" operator="equal">
      <formula>"Check"</formula>
    </cfRule>
    <cfRule type="cellIs" dxfId="135" priority="38" operator="equal">
      <formula>"Ok"</formula>
    </cfRule>
  </conditionalFormatting>
  <conditionalFormatting sqref="J45:T45">
    <cfRule type="cellIs" dxfId="134" priority="35" operator="equal">
      <formula>"Check"</formula>
    </cfRule>
    <cfRule type="cellIs" dxfId="133" priority="36" operator="equal">
      <formula>"Ok"</formula>
    </cfRule>
  </conditionalFormatting>
  <conditionalFormatting sqref="W71">
    <cfRule type="cellIs" dxfId="132" priority="33" operator="equal">
      <formula>"Check"</formula>
    </cfRule>
    <cfRule type="cellIs" dxfId="131" priority="34" operator="equal">
      <formula>"Ok"</formula>
    </cfRule>
  </conditionalFormatting>
  <conditionalFormatting sqref="J71:T71">
    <cfRule type="cellIs" dxfId="130" priority="31" operator="equal">
      <formula>"Check"</formula>
    </cfRule>
    <cfRule type="cellIs" dxfId="129" priority="32" operator="equal">
      <formula>"Ok"</formula>
    </cfRule>
  </conditionalFormatting>
  <conditionalFormatting sqref="J62:T62">
    <cfRule type="expression" dxfId="128" priority="25">
      <formula>J$62=J$4</formula>
    </cfRule>
  </conditionalFormatting>
  <conditionalFormatting sqref="J64:T69">
    <cfRule type="expression" dxfId="127" priority="23">
      <formula>J$62=J$4</formula>
    </cfRule>
  </conditionalFormatting>
  <conditionalFormatting sqref="J47:T47">
    <cfRule type="expression" dxfId="126" priority="20">
      <formula>J$34=J$4</formula>
    </cfRule>
  </conditionalFormatting>
  <conditionalFormatting sqref="J73:T73">
    <cfRule type="expression" dxfId="125" priority="19">
      <formula>J$34=J$4</formula>
    </cfRule>
  </conditionalFormatting>
  <conditionalFormatting sqref="J103:T103">
    <cfRule type="expression" dxfId="124" priority="18">
      <formula>J$34=J$4</formula>
    </cfRule>
  </conditionalFormatting>
  <conditionalFormatting sqref="J25:T30">
    <cfRule type="cellIs" dxfId="123" priority="16" operator="equal">
      <formula>0</formula>
    </cfRule>
  </conditionalFormatting>
  <conditionalFormatting sqref="J16:T21">
    <cfRule type="cellIs" dxfId="122" priority="15" operator="equal">
      <formula>0</formula>
    </cfRule>
  </conditionalFormatting>
  <conditionalFormatting sqref="W91:W99">
    <cfRule type="cellIs" dxfId="121" priority="11" operator="equal">
      <formula>"Check"</formula>
    </cfRule>
    <cfRule type="cellIs" dxfId="120" priority="12" operator="equal">
      <formula>"Ok"</formula>
    </cfRule>
  </conditionalFormatting>
  <conditionalFormatting sqref="J94:T94 J92:T92 J91:M91 O91:T91">
    <cfRule type="cellIs" dxfId="119" priority="8" operator="equal">
      <formula>"Check"</formula>
    </cfRule>
    <cfRule type="cellIs" dxfId="118" priority="9" operator="equal">
      <formula>"Ok"</formula>
    </cfRule>
  </conditionalFormatting>
  <conditionalFormatting sqref="J93:T93">
    <cfRule type="expression" dxfId="117" priority="7">
      <formula>J$93=J$4</formula>
    </cfRule>
  </conditionalFormatting>
  <conditionalFormatting sqref="J105:T105">
    <cfRule type="expression" dxfId="116" priority="120">
      <formula>J$103=J$4</formula>
    </cfRule>
  </conditionalFormatting>
  <conditionalFormatting sqref="P36:T37">
    <cfRule type="expression" dxfId="115" priority="5">
      <formula>P$34=P$4</formula>
    </cfRule>
  </conditionalFormatting>
  <conditionalFormatting sqref="N91">
    <cfRule type="cellIs" dxfId="114" priority="2" operator="equal">
      <formula>"Check"</formula>
    </cfRule>
    <cfRule type="cellIs" dxfId="113" priority="3" operator="equal">
      <formula>"Ok"</formula>
    </cfRule>
  </conditionalFormatting>
  <dataValidations disablePrompts="1" count="1">
    <dataValidation type="list" allowBlank="1" showInputMessage="1" showErrorMessage="1" sqref="F108 F72 F100 F83 F81" xr:uid="{00000000-0002-0000-0400-000000000000}">
      <formula1>#REF!</formula1>
    </dataValidation>
  </dataValidations>
  <hyperlinks>
    <hyperlink ref="K1" location="Index!A1" display="Back to Index" xr:uid="{00000000-0004-0000-0400-000000000000}"/>
    <hyperlink ref="V1" location="'Check|List'!A1" display="Overall Check:" xr:uid="{00000000-0004-0000-0400-000001000000}"/>
  </hyperlinks>
  <pageMargins left="0.7" right="0.7" top="0.75" bottom="0.75" header="0.3" footer="0.3"/>
  <pageSetup paperSize="9" orientation="portrait" verticalDpi="4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99"/>
  </sheetPr>
  <dimension ref="A1:AU52"/>
  <sheetViews>
    <sheetView showGridLines="0" zoomScaleNormal="100" workbookViewId="0">
      <selection activeCell="N13" sqref="N13"/>
    </sheetView>
  </sheetViews>
  <sheetFormatPr defaultColWidth="0" defaultRowHeight="11.25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3" width="10.83203125" style="8" customWidth="1"/>
    <col min="24" max="47" width="10.5" style="8" hidden="1" customWidth="1"/>
    <col min="48" max="16384" width="0" style="8" hidden="1"/>
  </cols>
  <sheetData>
    <row r="1" spans="1:30" s="32" customFormat="1" ht="15.75">
      <c r="B1" s="29" t="str">
        <f>Index!$B$1</f>
        <v>AER opex model v1.8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tr">
        <f>IF(COUNTA($W$8:$W$235)=COUNTIF($W$8:$W$235,"OK"),"OK","Check")</f>
        <v>OK</v>
      </c>
      <c r="U1" s="137" t="s">
        <v>30</v>
      </c>
      <c r="V1" s="34" t="str">
        <f>'Check|List'!$S$1</f>
        <v>Ok</v>
      </c>
    </row>
    <row r="2" spans="1:30" s="36" customFormat="1" ht="13.5" thickBot="1">
      <c r="B2" s="35" t="str">
        <f>Index!$C$11</f>
        <v>Input | Step changes</v>
      </c>
      <c r="C2" s="35"/>
      <c r="D2" s="35"/>
      <c r="E2" s="35"/>
      <c r="F2" s="59"/>
      <c r="G2" s="59"/>
      <c r="H2" s="59"/>
      <c r="I2" s="59"/>
    </row>
    <row r="3" spans="1:30" s="60" customFormat="1">
      <c r="D3" s="132"/>
      <c r="E3" s="132"/>
      <c r="F3" s="132"/>
      <c r="G3" s="132"/>
      <c r="H3" s="132"/>
      <c r="I3" s="132"/>
      <c r="J3" s="115" t="s">
        <v>41</v>
      </c>
      <c r="K3" s="126"/>
      <c r="L3" s="126"/>
      <c r="M3" s="132"/>
      <c r="N3" s="177"/>
      <c r="O3" s="177"/>
      <c r="P3" s="177"/>
      <c r="Q3" s="177"/>
      <c r="R3" s="177"/>
      <c r="S3" s="177"/>
      <c r="T3" s="61"/>
      <c r="U3" s="61"/>
      <c r="V3" s="61"/>
      <c r="W3" s="61"/>
      <c r="X3" s="61"/>
      <c r="Y3" s="61"/>
      <c r="Z3" s="61"/>
    </row>
    <row r="4" spans="1:30" customFormat="1">
      <c r="A4" s="62"/>
      <c r="B4" s="62"/>
      <c r="C4" s="62"/>
      <c r="D4" s="63" t="s">
        <v>33</v>
      </c>
      <c r="E4" s="63" t="s">
        <v>53</v>
      </c>
      <c r="F4" s="64" t="s">
        <v>56</v>
      </c>
      <c r="G4" s="65"/>
      <c r="H4" s="65"/>
      <c r="I4" s="65"/>
      <c r="J4" s="113">
        <f>DATE(PPFirstYear,MONTH('Input|General'!$G$9),1)</f>
        <v>44348</v>
      </c>
      <c r="K4" s="113">
        <f>DATE(PPFirstYear+1,MONTH('Input|General'!$G$9),1)</f>
        <v>44713</v>
      </c>
      <c r="L4" s="113">
        <f>DATE(PPFirstYear+2,MONTH('Input|General'!$G$9),1)</f>
        <v>45078</v>
      </c>
      <c r="M4" s="113">
        <f>DATE(PPFirstYear+3,MONTH('Input|General'!$G$9),1)</f>
        <v>45444</v>
      </c>
      <c r="N4" s="113">
        <f>DATE(PPFirstYear+4,MONTH('Input|General'!$G$9),1)</f>
        <v>45809</v>
      </c>
      <c r="O4" s="113">
        <f>DATE(PPFirstYear+5,MONTH('Input|General'!$G$9),1)</f>
        <v>46174</v>
      </c>
      <c r="P4" s="113">
        <f>DATE(PPFirstYear+6,MONTH('Input|General'!$G$9),1)</f>
        <v>46539</v>
      </c>
      <c r="Q4" s="113">
        <f>DATE(PPFirstYear+7,MONTH('Input|General'!$G$9),1)</f>
        <v>46905</v>
      </c>
      <c r="R4" s="113">
        <f>DATE(PPFirstYear+8,MONTH('Input|General'!$G$9),1)</f>
        <v>47270</v>
      </c>
      <c r="S4" s="113">
        <f>DATE(PPFirstYear+9,MONTH('Input|General'!$G$9),1)</f>
        <v>47635</v>
      </c>
      <c r="T4" s="66"/>
      <c r="U4" s="66"/>
      <c r="V4" s="67"/>
      <c r="W4" s="67"/>
    </row>
    <row r="5" spans="1:30" s="6" customFormat="1" ht="3" customHeight="1">
      <c r="D5" s="27"/>
      <c r="E5" s="27"/>
      <c r="F5" s="27"/>
      <c r="G5" s="27"/>
      <c r="H5" s="27"/>
      <c r="I5" s="27"/>
    </row>
    <row r="6" spans="1:30" s="6" customFormat="1" ht="9" customHeight="1">
      <c r="D6" s="27"/>
      <c r="E6" s="27"/>
      <c r="F6" s="27"/>
      <c r="G6" s="27"/>
      <c r="H6" s="27"/>
      <c r="I6" s="27"/>
    </row>
    <row r="7" spans="1:30" s="6" customFormat="1" ht="3" customHeight="1">
      <c r="D7" s="27"/>
      <c r="E7" s="27"/>
      <c r="F7" s="27"/>
      <c r="G7" s="27"/>
      <c r="H7" s="27"/>
      <c r="I7" s="27"/>
    </row>
    <row r="8" spans="1:30" customFormat="1" ht="12.75">
      <c r="A8" s="37"/>
      <c r="B8" s="43" t="s">
        <v>122</v>
      </c>
      <c r="C8" s="37"/>
      <c r="D8" s="37"/>
      <c r="E8" s="37"/>
      <c r="F8" s="38"/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40"/>
      <c r="W8" s="40"/>
      <c r="X8" s="41"/>
      <c r="Y8" s="41"/>
      <c r="Z8" s="41"/>
      <c r="AA8" s="41"/>
      <c r="AB8" s="41"/>
      <c r="AC8" s="42"/>
      <c r="AD8" s="42"/>
    </row>
    <row r="9" spans="1:30" outlineLevel="1">
      <c r="G9" s="21"/>
      <c r="H9" s="21"/>
    </row>
    <row r="10" spans="1:30" outlineLevel="1">
      <c r="C10" s="9" t="s">
        <v>123</v>
      </c>
      <c r="D10" s="21" t="s">
        <v>33</v>
      </c>
      <c r="E10" s="21" t="s">
        <v>53</v>
      </c>
      <c r="F10" s="21" t="s">
        <v>56</v>
      </c>
      <c r="G10" s="21"/>
      <c r="H10" s="21"/>
      <c r="I10" s="120"/>
      <c r="J10" s="120" t="str">
        <f t="shared" ref="J10:S10" si="0">IF(YEAR(J$4)&gt;=FPFirstYear,IF(YEAR(J$4)&lt;=FPLastYear,J$4,""),"")</f>
        <v/>
      </c>
      <c r="K10" s="120" t="str">
        <f t="shared" si="0"/>
        <v/>
      </c>
      <c r="L10" s="120" t="str">
        <f t="shared" si="0"/>
        <v/>
      </c>
      <c r="M10" s="120" t="str">
        <f t="shared" si="0"/>
        <v/>
      </c>
      <c r="N10" s="120" t="str">
        <f t="shared" si="0"/>
        <v/>
      </c>
      <c r="O10" s="120">
        <f t="shared" si="0"/>
        <v>46174</v>
      </c>
      <c r="P10" s="120">
        <f t="shared" si="0"/>
        <v>46539</v>
      </c>
      <c r="Q10" s="120">
        <f t="shared" si="0"/>
        <v>46905</v>
      </c>
      <c r="R10" s="120">
        <f t="shared" si="0"/>
        <v>47270</v>
      </c>
      <c r="S10" s="120">
        <f t="shared" si="0"/>
        <v>47635</v>
      </c>
    </row>
    <row r="11" spans="1:30" outlineLevel="1">
      <c r="G11" s="21"/>
      <c r="H11" s="21"/>
    </row>
    <row r="12" spans="1:30" outlineLevel="1">
      <c r="C12" s="163" t="s">
        <v>124</v>
      </c>
      <c r="D12" s="16" t="s">
        <v>39</v>
      </c>
      <c r="E12" s="107" t="s">
        <v>61</v>
      </c>
      <c r="F12" s="125">
        <v>45078</v>
      </c>
      <c r="G12" s="21"/>
      <c r="H12" s="21"/>
      <c r="J12" s="109"/>
      <c r="K12" s="109"/>
      <c r="L12" s="109"/>
      <c r="M12" s="109"/>
      <c r="N12" s="124"/>
      <c r="O12" s="124">
        <v>1.971328</v>
      </c>
      <c r="P12" s="124">
        <v>2.3798590000000002</v>
      </c>
      <c r="Q12" s="124">
        <v>2.7512509999999999</v>
      </c>
      <c r="R12" s="124">
        <v>3.1226430000000001</v>
      </c>
      <c r="S12" s="124">
        <v>3.4866450000000002</v>
      </c>
    </row>
    <row r="13" spans="1:30" outlineLevel="1">
      <c r="C13" s="163"/>
      <c r="D13" s="16" t="s">
        <v>39</v>
      </c>
      <c r="E13" s="107" t="s">
        <v>61</v>
      </c>
      <c r="F13" s="125">
        <v>44713</v>
      </c>
      <c r="G13" s="21"/>
      <c r="H13" s="21"/>
      <c r="J13" s="109"/>
      <c r="K13" s="109"/>
      <c r="L13" s="109"/>
      <c r="M13" s="109"/>
      <c r="N13" s="109"/>
      <c r="O13" s="124"/>
      <c r="P13" s="124"/>
      <c r="Q13" s="124"/>
      <c r="R13" s="124"/>
      <c r="S13" s="124"/>
    </row>
    <row r="14" spans="1:30" outlineLevel="1">
      <c r="C14" s="52"/>
      <c r="D14" s="16" t="s">
        <v>39</v>
      </c>
      <c r="E14" s="107" t="s">
        <v>61</v>
      </c>
      <c r="F14" s="125">
        <v>44713</v>
      </c>
      <c r="G14" s="21"/>
      <c r="H14" s="21"/>
      <c r="J14" s="109"/>
      <c r="K14" s="109"/>
      <c r="L14" s="109"/>
      <c r="M14" s="109"/>
      <c r="N14" s="109"/>
      <c r="O14" s="124"/>
      <c r="P14" s="124"/>
      <c r="Q14" s="124"/>
      <c r="R14" s="124"/>
      <c r="S14" s="124"/>
    </row>
    <row r="15" spans="1:30" outlineLevel="1">
      <c r="C15" s="52"/>
      <c r="D15" s="16" t="s">
        <v>39</v>
      </c>
      <c r="E15" s="107" t="s">
        <v>61</v>
      </c>
      <c r="F15" s="125">
        <v>44713</v>
      </c>
      <c r="G15" s="21"/>
      <c r="H15" s="21"/>
      <c r="J15" s="109"/>
      <c r="K15" s="109"/>
      <c r="L15" s="109"/>
      <c r="M15" s="109"/>
      <c r="N15" s="109"/>
      <c r="O15" s="124"/>
      <c r="P15" s="124"/>
      <c r="Q15" s="124"/>
      <c r="R15" s="124"/>
      <c r="S15" s="124"/>
    </row>
    <row r="16" spans="1:30" outlineLevel="1">
      <c r="C16" s="52"/>
      <c r="D16" s="16" t="s">
        <v>39</v>
      </c>
      <c r="E16" s="107" t="s">
        <v>61</v>
      </c>
      <c r="F16" s="125">
        <v>44713</v>
      </c>
      <c r="G16" s="21"/>
      <c r="H16" s="21"/>
      <c r="J16" s="109"/>
      <c r="K16" s="109"/>
      <c r="L16" s="109"/>
      <c r="M16" s="109"/>
      <c r="N16" s="109"/>
      <c r="O16" s="124"/>
      <c r="P16" s="124"/>
      <c r="Q16" s="124"/>
      <c r="R16" s="124"/>
      <c r="S16" s="124"/>
    </row>
    <row r="17" spans="1:30" outlineLevel="1">
      <c r="C17" s="52"/>
      <c r="D17" s="16" t="s">
        <v>39</v>
      </c>
      <c r="E17" s="107" t="s">
        <v>61</v>
      </c>
      <c r="F17" s="125">
        <v>44713</v>
      </c>
      <c r="G17" s="21"/>
      <c r="H17" s="21"/>
      <c r="J17" s="109"/>
      <c r="K17" s="109"/>
      <c r="L17" s="109"/>
      <c r="M17" s="109"/>
      <c r="N17" s="109"/>
      <c r="O17" s="124"/>
      <c r="P17" s="124"/>
      <c r="Q17" s="124"/>
      <c r="R17" s="124"/>
      <c r="S17" s="124"/>
    </row>
    <row r="18" spans="1:30" outlineLevel="1">
      <c r="C18" s="52"/>
      <c r="D18" s="16" t="s">
        <v>39</v>
      </c>
      <c r="E18" s="107" t="s">
        <v>61</v>
      </c>
      <c r="F18" s="125">
        <v>44713</v>
      </c>
      <c r="G18" s="21"/>
      <c r="H18" s="21"/>
      <c r="J18" s="109"/>
      <c r="K18" s="109"/>
      <c r="L18" s="109"/>
      <c r="M18" s="109"/>
      <c r="N18" s="109"/>
      <c r="O18" s="124"/>
      <c r="P18" s="124"/>
      <c r="Q18" s="124"/>
      <c r="R18" s="124"/>
      <c r="S18" s="124"/>
    </row>
    <row r="19" spans="1:30" outlineLevel="1">
      <c r="C19" s="52"/>
      <c r="D19" s="16" t="s">
        <v>39</v>
      </c>
      <c r="E19" s="107" t="s">
        <v>61</v>
      </c>
      <c r="F19" s="125">
        <v>44713</v>
      </c>
      <c r="G19" s="21"/>
      <c r="H19" s="21"/>
      <c r="J19" s="109"/>
      <c r="K19" s="109"/>
      <c r="L19" s="109"/>
      <c r="M19" s="109"/>
      <c r="N19" s="109"/>
      <c r="O19" s="124"/>
      <c r="P19" s="124"/>
      <c r="Q19" s="124"/>
      <c r="R19" s="124"/>
      <c r="S19" s="124"/>
    </row>
    <row r="20" spans="1:30" outlineLevel="1">
      <c r="C20" s="52"/>
      <c r="D20" s="16" t="s">
        <v>39</v>
      </c>
      <c r="E20" s="107" t="s">
        <v>61</v>
      </c>
      <c r="F20" s="125">
        <v>44713</v>
      </c>
      <c r="G20" s="21"/>
      <c r="H20" s="21"/>
      <c r="J20" s="109"/>
      <c r="K20" s="109"/>
      <c r="L20" s="109"/>
      <c r="M20" s="109"/>
      <c r="N20" s="109"/>
      <c r="O20" s="124"/>
      <c r="P20" s="124"/>
      <c r="Q20" s="124"/>
      <c r="R20" s="124"/>
      <c r="S20" s="124"/>
    </row>
    <row r="21" spans="1:30" outlineLevel="1">
      <c r="G21" s="21"/>
      <c r="H21" s="21"/>
    </row>
    <row r="22" spans="1:30" outlineLevel="1">
      <c r="C22" s="8" t="s">
        <v>103</v>
      </c>
      <c r="D22" s="16" t="s">
        <v>91</v>
      </c>
      <c r="E22" s="16" t="s">
        <v>104</v>
      </c>
      <c r="F22" s="16" t="s">
        <v>105</v>
      </c>
      <c r="J22" s="91" t="str">
        <f t="shared" ref="J22:S22" si="1">IF(J10=J4,IF(COUNTA($C12:$C20)=COUNT(J12:J20),"Ok","Check"),"")</f>
        <v/>
      </c>
      <c r="K22" s="91" t="str">
        <f t="shared" si="1"/>
        <v/>
      </c>
      <c r="L22" s="91" t="str">
        <f t="shared" si="1"/>
        <v/>
      </c>
      <c r="M22" s="91" t="str">
        <f t="shared" si="1"/>
        <v/>
      </c>
      <c r="N22" s="91" t="str">
        <f t="shared" si="1"/>
        <v/>
      </c>
      <c r="O22" s="91" t="str">
        <f t="shared" si="1"/>
        <v>Ok</v>
      </c>
      <c r="P22" s="91" t="str">
        <f>IF(P10=P4,IF(COUNTA($C12:$C20)=COUNT(P12:P20),"Ok","Check"),"")</f>
        <v>Ok</v>
      </c>
      <c r="Q22" s="91" t="str">
        <f t="shared" si="1"/>
        <v>Ok</v>
      </c>
      <c r="R22" s="91" t="str">
        <f t="shared" si="1"/>
        <v>Ok</v>
      </c>
      <c r="S22" s="91" t="str">
        <f t="shared" si="1"/>
        <v>Ok</v>
      </c>
      <c r="T22" s="91"/>
      <c r="U22" s="24"/>
      <c r="W22" s="90" t="str">
        <f>IF(COUNTIF(J22:T22,"Check")=0,"Ok","Check")</f>
        <v>Ok</v>
      </c>
    </row>
    <row r="23" spans="1:30">
      <c r="G23" s="21"/>
      <c r="H23" s="21"/>
    </row>
    <row r="24" spans="1:30" customFormat="1" ht="12.75">
      <c r="A24" s="37"/>
      <c r="B24" s="43" t="s">
        <v>125</v>
      </c>
      <c r="C24" s="37"/>
      <c r="D24" s="37"/>
      <c r="E24" s="37"/>
      <c r="F24" s="38"/>
      <c r="G24" s="38"/>
      <c r="H24" s="38"/>
      <c r="I24" s="38"/>
      <c r="J24" s="39"/>
      <c r="K24" s="40"/>
      <c r="L24" s="39"/>
      <c r="M24" s="40"/>
      <c r="N24" s="39"/>
      <c r="O24" s="39"/>
      <c r="P24" s="39"/>
      <c r="Q24" s="39"/>
      <c r="R24" s="39"/>
      <c r="S24" s="39"/>
      <c r="T24" s="39"/>
      <c r="U24" s="39"/>
      <c r="V24" s="40"/>
      <c r="W24" s="40"/>
      <c r="X24" s="41"/>
      <c r="Y24" s="41"/>
      <c r="Z24" s="41"/>
      <c r="AA24" s="41"/>
      <c r="AB24" s="41"/>
      <c r="AC24" s="42"/>
      <c r="AD24" s="42"/>
    </row>
    <row r="25" spans="1:30" outlineLevel="1">
      <c r="G25" s="21"/>
      <c r="H25" s="21"/>
    </row>
    <row r="26" spans="1:30" outlineLevel="1">
      <c r="C26" s="9" t="s">
        <v>126</v>
      </c>
      <c r="D26" s="21" t="s">
        <v>33</v>
      </c>
      <c r="E26" s="21" t="s">
        <v>53</v>
      </c>
      <c r="F26" s="21" t="s">
        <v>56</v>
      </c>
      <c r="G26" s="21"/>
      <c r="H26" s="21"/>
      <c r="J26" s="120" t="str">
        <f t="shared" ref="J26:S26" si="2">IF(YEAR(J$4)&gt;=FPFirstYear,IF(YEAR(J$4)&lt;=FPLastYear,J$4,""),"")</f>
        <v/>
      </c>
      <c r="K26" s="120" t="str">
        <f t="shared" si="2"/>
        <v/>
      </c>
      <c r="L26" s="120" t="str">
        <f t="shared" si="2"/>
        <v/>
      </c>
      <c r="M26" s="120" t="str">
        <f t="shared" si="2"/>
        <v/>
      </c>
      <c r="N26" s="120" t="str">
        <f t="shared" si="2"/>
        <v/>
      </c>
      <c r="O26" s="120">
        <f t="shared" si="2"/>
        <v>46174</v>
      </c>
      <c r="P26" s="120">
        <f t="shared" si="2"/>
        <v>46539</v>
      </c>
      <c r="Q26" s="120">
        <f t="shared" si="2"/>
        <v>46905</v>
      </c>
      <c r="R26" s="120">
        <f t="shared" si="2"/>
        <v>47270</v>
      </c>
      <c r="S26" s="120">
        <f t="shared" si="2"/>
        <v>47635</v>
      </c>
    </row>
    <row r="27" spans="1:30" outlineLevel="1">
      <c r="G27" s="21"/>
      <c r="H27" s="21"/>
    </row>
    <row r="28" spans="1:30" outlineLevel="1">
      <c r="C28" s="52"/>
      <c r="D28" s="16" t="s">
        <v>39</v>
      </c>
      <c r="E28" s="107" t="s">
        <v>61</v>
      </c>
      <c r="F28" s="125">
        <v>44713</v>
      </c>
      <c r="G28" s="21"/>
      <c r="H28" s="21"/>
      <c r="J28" s="109"/>
      <c r="K28" s="109"/>
      <c r="L28" s="109"/>
      <c r="M28" s="109"/>
      <c r="N28" s="124"/>
      <c r="O28" s="124"/>
      <c r="P28" s="124"/>
      <c r="Q28" s="124"/>
      <c r="R28" s="124"/>
      <c r="S28" s="124"/>
    </row>
    <row r="29" spans="1:30" outlineLevel="1">
      <c r="C29" s="52"/>
      <c r="D29" s="16" t="s">
        <v>39</v>
      </c>
      <c r="E29" s="107" t="s">
        <v>61</v>
      </c>
      <c r="F29" s="125">
        <v>44713</v>
      </c>
      <c r="G29" s="21"/>
      <c r="H29" s="21"/>
      <c r="J29" s="109"/>
      <c r="K29" s="109"/>
      <c r="L29" s="109"/>
      <c r="M29" s="109"/>
      <c r="N29" s="124"/>
      <c r="O29" s="124"/>
      <c r="P29" s="124"/>
      <c r="Q29" s="124"/>
      <c r="R29" s="124"/>
      <c r="S29" s="124"/>
    </row>
    <row r="30" spans="1:30" outlineLevel="1">
      <c r="C30" s="52"/>
      <c r="D30" s="16" t="s">
        <v>39</v>
      </c>
      <c r="E30" s="107" t="s">
        <v>61</v>
      </c>
      <c r="F30" s="125">
        <v>44713</v>
      </c>
      <c r="G30" s="21"/>
      <c r="H30" s="21"/>
      <c r="J30" s="109"/>
      <c r="K30" s="109"/>
      <c r="L30" s="109"/>
      <c r="M30" s="109"/>
      <c r="N30" s="124"/>
      <c r="O30" s="124"/>
      <c r="P30" s="124"/>
      <c r="Q30" s="124"/>
      <c r="R30" s="124"/>
      <c r="S30" s="124"/>
    </row>
    <row r="31" spans="1:30" outlineLevel="1">
      <c r="G31" s="21"/>
      <c r="H31" s="21"/>
    </row>
    <row r="32" spans="1:30" outlineLevel="1">
      <c r="C32" s="8" t="s">
        <v>103</v>
      </c>
      <c r="D32" s="16" t="s">
        <v>91</v>
      </c>
      <c r="E32" s="16" t="s">
        <v>104</v>
      </c>
      <c r="F32" s="16" t="s">
        <v>105</v>
      </c>
      <c r="J32" s="91" t="str">
        <f t="shared" ref="J32:R32" si="3">IF(J26=J4,IF(COUNTA($C28:$C30)=COUNT(J28:J30),"Ok","Check"),"")</f>
        <v/>
      </c>
      <c r="K32" s="91" t="str">
        <f t="shared" si="3"/>
        <v/>
      </c>
      <c r="L32" s="91" t="str">
        <f t="shared" si="3"/>
        <v/>
      </c>
      <c r="M32" s="91" t="str">
        <f t="shared" si="3"/>
        <v/>
      </c>
      <c r="N32" s="91" t="str">
        <f t="shared" si="3"/>
        <v/>
      </c>
      <c r="O32" s="91" t="str">
        <f t="shared" si="3"/>
        <v>Ok</v>
      </c>
      <c r="P32" s="91" t="str">
        <f t="shared" si="3"/>
        <v>Ok</v>
      </c>
      <c r="Q32" s="91" t="str">
        <f t="shared" si="3"/>
        <v>Ok</v>
      </c>
      <c r="R32" s="91" t="str">
        <f t="shared" si="3"/>
        <v>Ok</v>
      </c>
      <c r="S32" s="91" t="str">
        <f>IF(S26=S4,IF(COUNTA($C28:$C30)=COUNT(S28:S30),"Ok","Check"),"")</f>
        <v>Ok</v>
      </c>
      <c r="T32" s="91"/>
      <c r="U32" s="24"/>
      <c r="W32" s="90" t="str">
        <f>IF(COUNTIF(J32:T32,"Check")=0,"Ok","Check")</f>
        <v>Ok</v>
      </c>
    </row>
    <row r="33" spans="1:30">
      <c r="G33" s="21"/>
      <c r="H33" s="21"/>
    </row>
    <row r="34" spans="1:30" customFormat="1" ht="12.75">
      <c r="A34" s="37"/>
      <c r="B34" s="43" t="s">
        <v>127</v>
      </c>
      <c r="C34" s="37"/>
      <c r="D34" s="37"/>
      <c r="E34" s="37"/>
      <c r="F34" s="38"/>
      <c r="G34" s="38"/>
      <c r="H34" s="38"/>
      <c r="I34" s="38"/>
      <c r="J34" s="39"/>
      <c r="K34" s="40"/>
      <c r="L34" s="39"/>
      <c r="M34" s="40"/>
      <c r="N34" s="39"/>
      <c r="O34" s="39"/>
      <c r="P34" s="39"/>
      <c r="Q34" s="39"/>
      <c r="R34" s="39"/>
      <c r="S34" s="39"/>
      <c r="T34" s="39"/>
      <c r="U34" s="39"/>
      <c r="V34" s="40"/>
      <c r="W34" s="40"/>
      <c r="X34" s="41"/>
      <c r="Y34" s="41"/>
      <c r="Z34" s="41"/>
      <c r="AA34" s="41"/>
      <c r="AB34" s="41"/>
      <c r="AC34" s="42"/>
      <c r="AD34" s="42"/>
    </row>
    <row r="35" spans="1:30" outlineLevel="1">
      <c r="G35" s="21"/>
      <c r="H35" s="21"/>
    </row>
    <row r="36" spans="1:30" outlineLevel="1">
      <c r="C36" s="9" t="s">
        <v>128</v>
      </c>
      <c r="D36" s="21" t="s">
        <v>33</v>
      </c>
      <c r="E36" s="21" t="s">
        <v>53</v>
      </c>
      <c r="F36" s="21" t="s">
        <v>56</v>
      </c>
      <c r="G36" s="21"/>
      <c r="H36" s="21"/>
      <c r="J36" s="120" t="str">
        <f t="shared" ref="J36:S36" si="4">IF(YEAR(J$4)&gt;=FPFirstYear,IF(YEAR(J$4)&lt;=FPLastYear,J$4,""),"")</f>
        <v/>
      </c>
      <c r="K36" s="120" t="str">
        <f t="shared" si="4"/>
        <v/>
      </c>
      <c r="L36" s="120" t="str">
        <f t="shared" si="4"/>
        <v/>
      </c>
      <c r="M36" s="120" t="str">
        <f t="shared" si="4"/>
        <v/>
      </c>
      <c r="N36" s="120" t="str">
        <f t="shared" si="4"/>
        <v/>
      </c>
      <c r="O36" s="120">
        <f t="shared" si="4"/>
        <v>46174</v>
      </c>
      <c r="P36" s="120">
        <f t="shared" si="4"/>
        <v>46539</v>
      </c>
      <c r="Q36" s="120">
        <f t="shared" si="4"/>
        <v>46905</v>
      </c>
      <c r="R36" s="120">
        <f t="shared" si="4"/>
        <v>47270</v>
      </c>
      <c r="S36" s="120">
        <f t="shared" si="4"/>
        <v>47635</v>
      </c>
    </row>
    <row r="37" spans="1:30" outlineLevel="1">
      <c r="G37" s="21"/>
      <c r="H37" s="21"/>
    </row>
    <row r="38" spans="1:30" outlineLevel="1">
      <c r="C38" s="15" t="s">
        <v>64</v>
      </c>
      <c r="D38" s="16" t="s">
        <v>129</v>
      </c>
      <c r="E38" s="16" t="s">
        <v>61</v>
      </c>
      <c r="F38" s="156">
        <f>DATE(PPLastYear,MONTH('Input|General'!$G$9),1)</f>
        <v>45809</v>
      </c>
      <c r="G38" s="21"/>
      <c r="H38" s="21"/>
      <c r="J38" s="124"/>
      <c r="K38" s="124"/>
      <c r="L38" s="124"/>
      <c r="M38" s="124"/>
      <c r="N38" s="124"/>
      <c r="O38" s="124">
        <f>'[1]PTRM input'!G340</f>
        <v>7.8133949690090327</v>
      </c>
      <c r="P38" s="124">
        <f>'[1]PTRM input'!H340</f>
        <v>7.8492819787972303</v>
      </c>
      <c r="Q38" s="124">
        <f>'[1]PTRM input'!I340</f>
        <v>7.8850680771149397</v>
      </c>
      <c r="R38" s="124">
        <f>'[1]PTRM input'!J340</f>
        <v>7.887688229016101</v>
      </c>
      <c r="S38" s="124">
        <f>'[1]PTRM input'!K340</f>
        <v>7.8796327627300391</v>
      </c>
    </row>
    <row r="39" spans="1:30" outlineLevel="1">
      <c r="G39" s="21"/>
      <c r="H39" s="21"/>
    </row>
    <row r="40" spans="1:30" outlineLevel="1">
      <c r="C40" s="8" t="s">
        <v>103</v>
      </c>
      <c r="D40" s="16" t="s">
        <v>91</v>
      </c>
      <c r="E40" s="16" t="s">
        <v>104</v>
      </c>
      <c r="F40" s="16" t="s">
        <v>105</v>
      </c>
      <c r="J40" s="91" t="str">
        <f t="shared" ref="J40:R40" si="5">IF(J36=J4,IF(ISBLANK(J38),"Check","Ok"),"")</f>
        <v/>
      </c>
      <c r="K40" s="91" t="str">
        <f t="shared" si="5"/>
        <v/>
      </c>
      <c r="L40" s="91" t="str">
        <f t="shared" si="5"/>
        <v/>
      </c>
      <c r="M40" s="91" t="str">
        <f t="shared" si="5"/>
        <v/>
      </c>
      <c r="N40" s="91" t="str">
        <f t="shared" si="5"/>
        <v/>
      </c>
      <c r="O40" s="91" t="str">
        <f t="shared" si="5"/>
        <v>Ok</v>
      </c>
      <c r="P40" s="91" t="str">
        <f t="shared" si="5"/>
        <v>Ok</v>
      </c>
      <c r="Q40" s="91" t="str">
        <f t="shared" si="5"/>
        <v>Ok</v>
      </c>
      <c r="R40" s="91" t="str">
        <f t="shared" si="5"/>
        <v>Ok</v>
      </c>
      <c r="S40" s="91" t="str">
        <f>IF(S36=S4,IF(ISBLANK(S38),"Check","Ok"),"")</f>
        <v>Ok</v>
      </c>
      <c r="T40" s="91"/>
      <c r="U40" s="24"/>
      <c r="W40" s="90" t="str">
        <f>IF(COUNTIF(J40:T40,"Check")=0,"Ok","Check")</f>
        <v>Ok</v>
      </c>
    </row>
    <row r="41" spans="1:30">
      <c r="G41" s="21"/>
      <c r="H41" s="21"/>
    </row>
    <row r="42" spans="1:30" customFormat="1" ht="12.75">
      <c r="A42" s="37"/>
      <c r="B42" s="43" t="s">
        <v>23</v>
      </c>
      <c r="C42" s="37"/>
      <c r="D42" s="37"/>
      <c r="E42" s="37"/>
      <c r="F42" s="38"/>
      <c r="G42" s="38"/>
      <c r="H42" s="38"/>
      <c r="I42" s="38"/>
      <c r="J42" s="39"/>
      <c r="K42" s="40"/>
      <c r="L42" s="39"/>
      <c r="M42" s="40"/>
      <c r="N42" s="39"/>
      <c r="O42" s="39"/>
      <c r="P42" s="39"/>
      <c r="Q42" s="39"/>
      <c r="R42" s="39"/>
      <c r="S42" s="39"/>
      <c r="T42" s="39"/>
      <c r="U42" s="39"/>
      <c r="V42" s="40"/>
      <c r="W42" s="40"/>
      <c r="X42" s="41"/>
      <c r="Y42" s="41"/>
      <c r="Z42" s="41"/>
      <c r="AA42" s="41"/>
      <c r="AB42" s="41"/>
      <c r="AC42" s="42"/>
      <c r="AD42" s="42"/>
    </row>
    <row r="43" spans="1:30" hidden="1">
      <c r="G43" s="21"/>
      <c r="H43" s="21"/>
    </row>
    <row r="44" spans="1:30" hidden="1">
      <c r="G44" s="21"/>
      <c r="H44" s="21"/>
    </row>
    <row r="45" spans="1:30" hidden="1">
      <c r="G45" s="21"/>
      <c r="H45" s="21"/>
    </row>
    <row r="46" spans="1:30" hidden="1">
      <c r="G46" s="21"/>
      <c r="H46" s="21"/>
    </row>
    <row r="47" spans="1:30" hidden="1">
      <c r="G47" s="21"/>
      <c r="H47" s="21"/>
    </row>
    <row r="48" spans="1:30" hidden="1">
      <c r="G48" s="21"/>
      <c r="H48" s="21"/>
    </row>
    <row r="49" spans="7:8" hidden="1">
      <c r="G49" s="21"/>
      <c r="H49" s="21"/>
    </row>
    <row r="50" spans="7:8" hidden="1">
      <c r="G50" s="21"/>
      <c r="H50" s="21"/>
    </row>
    <row r="51" spans="7:8" hidden="1">
      <c r="G51" s="21"/>
      <c r="H51" s="21"/>
    </row>
    <row r="52" spans="7:8" hidden="1">
      <c r="G52" s="21"/>
      <c r="H52" s="21"/>
    </row>
  </sheetData>
  <mergeCells count="1">
    <mergeCell ref="N3:S3"/>
  </mergeCells>
  <conditionalFormatting sqref="S1">
    <cfRule type="cellIs" dxfId="112" priority="26" operator="equal">
      <formula>"Check"</formula>
    </cfRule>
    <cfRule type="cellIs" dxfId="111" priority="27" operator="equal">
      <formula>"Ok"</formula>
    </cfRule>
  </conditionalFormatting>
  <conditionalFormatting sqref="V1">
    <cfRule type="cellIs" dxfId="110" priority="28" operator="equal">
      <formula>"Check"</formula>
    </cfRule>
    <cfRule type="cellIs" dxfId="109" priority="29" operator="equal">
      <formula>"Ok"</formula>
    </cfRule>
  </conditionalFormatting>
  <conditionalFormatting sqref="J10:S10">
    <cfRule type="expression" dxfId="108" priority="24">
      <formula>J$10=J$4</formula>
    </cfRule>
  </conditionalFormatting>
  <conditionalFormatting sqref="J12:S20">
    <cfRule type="expression" dxfId="107" priority="23">
      <formula>J$10=J$4</formula>
    </cfRule>
  </conditionalFormatting>
  <conditionalFormatting sqref="W22">
    <cfRule type="cellIs" dxfId="106" priority="19" operator="equal">
      <formula>"Check"</formula>
    </cfRule>
    <cfRule type="cellIs" dxfId="105" priority="20" operator="equal">
      <formula>"Ok"</formula>
    </cfRule>
  </conditionalFormatting>
  <conditionalFormatting sqref="J22:T22">
    <cfRule type="cellIs" dxfId="104" priority="17" operator="equal">
      <formula>"Check"</formula>
    </cfRule>
    <cfRule type="cellIs" dxfId="103" priority="18" operator="equal">
      <formula>"Ok"</formula>
    </cfRule>
  </conditionalFormatting>
  <conditionalFormatting sqref="W32">
    <cfRule type="cellIs" dxfId="102" priority="15" operator="equal">
      <formula>"Check"</formula>
    </cfRule>
    <cfRule type="cellIs" dxfId="101" priority="16" operator="equal">
      <formula>"Ok"</formula>
    </cfRule>
  </conditionalFormatting>
  <conditionalFormatting sqref="J32:T32">
    <cfRule type="cellIs" dxfId="100" priority="13" operator="equal">
      <formula>"Check"</formula>
    </cfRule>
    <cfRule type="cellIs" dxfId="99" priority="14" operator="equal">
      <formula>"Ok"</formula>
    </cfRule>
  </conditionalFormatting>
  <conditionalFormatting sqref="J28:M30 O29:S30">
    <cfRule type="expression" dxfId="98" priority="12">
      <formula>J$26=J$4</formula>
    </cfRule>
  </conditionalFormatting>
  <conditionalFormatting sqref="W40">
    <cfRule type="cellIs" dxfId="97" priority="10" operator="equal">
      <formula>"Check"</formula>
    </cfRule>
    <cfRule type="cellIs" dxfId="96" priority="11" operator="equal">
      <formula>"Ok"</formula>
    </cfRule>
  </conditionalFormatting>
  <conditionalFormatting sqref="J40:T40">
    <cfRule type="cellIs" dxfId="95" priority="8" operator="equal">
      <formula>"Check"</formula>
    </cfRule>
    <cfRule type="cellIs" dxfId="94" priority="9" operator="equal">
      <formula>"Ok"</formula>
    </cfRule>
  </conditionalFormatting>
  <conditionalFormatting sqref="O28:S28">
    <cfRule type="expression" dxfId="93" priority="7">
      <formula>O$10=O$4</formula>
    </cfRule>
  </conditionalFormatting>
  <conditionalFormatting sqref="N28:N30">
    <cfRule type="expression" dxfId="92" priority="6">
      <formula>N$10=N$4</formula>
    </cfRule>
  </conditionalFormatting>
  <conditionalFormatting sqref="J38:S38">
    <cfRule type="expression" dxfId="91" priority="3">
      <formula>J$36=J$4</formula>
    </cfRule>
  </conditionalFormatting>
  <conditionalFormatting sqref="J26:S26">
    <cfRule type="expression" dxfId="90" priority="2">
      <formula>J$10=J$4</formula>
    </cfRule>
  </conditionalFormatting>
  <conditionalFormatting sqref="J36:S36">
    <cfRule type="expression" dxfId="89" priority="1">
      <formula>J$10=J$4</formula>
    </cfRule>
  </conditionalFormatting>
  <dataValidations disablePrompts="1" count="2">
    <dataValidation type="list" allowBlank="1" showInputMessage="1" showErrorMessage="1" sqref="F23 F31 F33 F41" xr:uid="{00000000-0002-0000-0500-000000000000}">
      <formula1>"Real 2010,Real 2011,Real 2012,Real 2013,Real 2014,Real 2015,Nominal"</formula1>
    </dataValidation>
    <dataValidation type="list" allowBlank="1" showInputMessage="1" showErrorMessage="1" sqref="U28:U31 I38 U23 I23 U12:U21 I28:I31 U33 I33 U41 I41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U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500-000002000000}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 xr:uid="{00000000-0002-0000-0500-000003000000}">
          <x14:formula1>
            <xm:f>'Lookup|Tables'!$C$67:$C$75</xm:f>
          </x14:formula1>
          <xm:sqref>F21</xm:sqref>
        </x14:dataValidation>
        <x14:dataValidation type="list" allowBlank="1" showInputMessage="1" showErrorMessage="1" xr:uid="{00000000-0002-0000-0500-000004000000}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L189"/>
  <sheetViews>
    <sheetView showGridLines="0" topLeftCell="A56" zoomScale="115" zoomScaleNormal="115" workbookViewId="0">
      <selection activeCell="J102" sqref="J102"/>
    </sheetView>
  </sheetViews>
  <sheetFormatPr defaultColWidth="0" defaultRowHeight="11.25" zeroHeight="1" outlineLevelRow="1"/>
  <cols>
    <col min="1" max="2" width="1.5" style="8" customWidth="1"/>
    <col min="3" max="3" width="76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5" style="16" customWidth="1"/>
    <col min="10" max="23" width="10.83203125" style="8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 v1.8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">
        <v>105</v>
      </c>
      <c r="U1" s="137" t="s">
        <v>30</v>
      </c>
      <c r="V1" s="34" t="str">
        <f>'Check|List'!$S$1</f>
        <v>Ok</v>
      </c>
    </row>
    <row r="2" spans="1:30" s="36" customFormat="1" ht="13.5" thickBot="1">
      <c r="B2" s="35" t="str">
        <f>Index!$C$12</f>
        <v>Calc | Opex Forecast</v>
      </c>
      <c r="C2" s="35"/>
      <c r="D2" s="35"/>
      <c r="E2" s="35"/>
      <c r="F2" s="59"/>
      <c r="G2" s="59"/>
      <c r="H2" s="59"/>
      <c r="I2" s="59"/>
    </row>
    <row r="3" spans="1:30" s="60" customFormat="1">
      <c r="D3" s="132"/>
      <c r="E3" s="132"/>
      <c r="F3" s="132"/>
      <c r="G3" s="132"/>
      <c r="H3" s="132"/>
      <c r="I3" s="132"/>
      <c r="J3" s="126" t="s">
        <v>41</v>
      </c>
      <c r="K3" s="126"/>
      <c r="L3" s="126"/>
      <c r="M3" s="132"/>
      <c r="N3" s="177"/>
      <c r="O3" s="177"/>
      <c r="P3" s="177"/>
      <c r="Q3" s="177"/>
      <c r="R3" s="177"/>
      <c r="S3" s="177"/>
      <c r="T3" s="61"/>
      <c r="U3" s="61"/>
      <c r="V3" s="61"/>
      <c r="W3" s="61"/>
      <c r="X3" s="61"/>
      <c r="Y3" s="61"/>
      <c r="Z3" s="61"/>
    </row>
    <row r="4" spans="1:30" customFormat="1">
      <c r="A4" s="62"/>
      <c r="B4" s="62"/>
      <c r="C4" s="62"/>
      <c r="D4" s="63" t="s">
        <v>33</v>
      </c>
      <c r="E4" s="63" t="s">
        <v>53</v>
      </c>
      <c r="F4" s="64" t="s">
        <v>56</v>
      </c>
      <c r="G4" s="65"/>
      <c r="H4" s="65"/>
      <c r="I4" s="65"/>
      <c r="J4" s="113">
        <f>DATE(PPFirstYear,MONTH('Input|General'!$G$9),1)</f>
        <v>44348</v>
      </c>
      <c r="K4" s="113">
        <f>DATE(PPFirstYear+1,MONTH('Input|General'!$G$9),1)</f>
        <v>44713</v>
      </c>
      <c r="L4" s="113">
        <f>DATE(PPFirstYear+2,MONTH('Input|General'!$G$9),1)</f>
        <v>45078</v>
      </c>
      <c r="M4" s="113">
        <f>DATE(PPFirstYear+3,MONTH('Input|General'!$G$9),1)</f>
        <v>45444</v>
      </c>
      <c r="N4" s="113">
        <f>DATE(PPFirstYear+4,MONTH('Input|General'!$G$9),1)</f>
        <v>45809</v>
      </c>
      <c r="O4" s="113">
        <f>DATE(PPFirstYear+5,MONTH('Input|General'!$G$9),1)</f>
        <v>46174</v>
      </c>
      <c r="P4" s="113">
        <f>DATE(PPFirstYear+6,MONTH('Input|General'!$G$9),1)</f>
        <v>46539</v>
      </c>
      <c r="Q4" s="113">
        <f>DATE(PPFirstYear+7,MONTH('Input|General'!$G$9),1)</f>
        <v>46905</v>
      </c>
      <c r="R4" s="113">
        <f>DATE(PPFirstYear+8,MONTH('Input|General'!$G$9),1)</f>
        <v>47270</v>
      </c>
      <c r="S4" s="113">
        <f>DATE(PPFirstYear+9,MONTH('Input|General'!$G$9),1)</f>
        <v>47635</v>
      </c>
      <c r="T4" s="66"/>
      <c r="U4" s="66"/>
      <c r="V4" s="67"/>
      <c r="W4" s="67"/>
    </row>
    <row r="5" spans="1:30" s="6" customFormat="1" ht="3" customHeight="1">
      <c r="D5" s="27"/>
      <c r="E5" s="27"/>
      <c r="F5" s="27"/>
      <c r="G5" s="27"/>
      <c r="H5" s="27"/>
      <c r="I5" s="27"/>
    </row>
    <row r="6" spans="1:30" s="6" customFormat="1" ht="9" customHeight="1">
      <c r="D6" s="27"/>
      <c r="E6" s="27"/>
      <c r="F6" s="27"/>
      <c r="G6" s="27"/>
      <c r="H6" s="27"/>
      <c r="I6" s="27"/>
    </row>
    <row r="7" spans="1:30" s="6" customFormat="1" ht="3" customHeight="1">
      <c r="D7" s="27"/>
      <c r="E7" s="27"/>
      <c r="F7" s="27"/>
      <c r="G7" s="27"/>
      <c r="H7" s="27"/>
      <c r="I7" s="27"/>
    </row>
    <row r="8" spans="1:30" customFormat="1" ht="12.75">
      <c r="A8" s="37"/>
      <c r="B8" s="43" t="s">
        <v>130</v>
      </c>
      <c r="C8" s="37"/>
      <c r="D8" s="37"/>
      <c r="E8" s="58" t="s">
        <v>61</v>
      </c>
      <c r="F8" s="152">
        <f>DATE(PPLastYear,MONTH('Input|General'!$G$9),1)</f>
        <v>45809</v>
      </c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40"/>
      <c r="W8" s="40"/>
      <c r="X8" s="41"/>
      <c r="Y8" s="41"/>
      <c r="Z8" s="41"/>
      <c r="AA8" s="41"/>
      <c r="AB8" s="41"/>
      <c r="AC8" s="42"/>
      <c r="AD8" s="42"/>
    </row>
    <row r="9" spans="1:30" outlineLevel="1"/>
    <row r="10" spans="1:30" outlineLevel="1">
      <c r="C10" s="9"/>
      <c r="D10" s="21" t="s">
        <v>33</v>
      </c>
      <c r="E10" s="21" t="s">
        <v>53</v>
      </c>
      <c r="F10" s="21" t="s">
        <v>56</v>
      </c>
      <c r="J10" s="120">
        <f t="shared" ref="J10:S10" si="0">IF(YEAR(J$4)&lt;=PPLastYear,J$4,"")</f>
        <v>44348</v>
      </c>
      <c r="K10" s="120">
        <f t="shared" si="0"/>
        <v>44713</v>
      </c>
      <c r="L10" s="120">
        <f t="shared" si="0"/>
        <v>45078</v>
      </c>
      <c r="M10" s="120">
        <f t="shared" si="0"/>
        <v>45444</v>
      </c>
      <c r="N10" s="120">
        <f t="shared" si="0"/>
        <v>45809</v>
      </c>
      <c r="O10" s="120" t="str">
        <f t="shared" si="0"/>
        <v/>
      </c>
      <c r="P10" s="120" t="str">
        <f t="shared" si="0"/>
        <v/>
      </c>
      <c r="Q10" s="120" t="str">
        <f t="shared" si="0"/>
        <v/>
      </c>
      <c r="R10" s="120" t="str">
        <f t="shared" si="0"/>
        <v/>
      </c>
      <c r="S10" s="120" t="str">
        <f t="shared" si="0"/>
        <v/>
      </c>
    </row>
    <row r="11" spans="1:30" outlineLevel="1">
      <c r="C11" s="15"/>
      <c r="J11" s="71"/>
      <c r="K11" s="71"/>
      <c r="L11" s="71"/>
      <c r="M11" s="71"/>
      <c r="N11" s="71"/>
      <c r="O11" s="71"/>
      <c r="P11" s="71"/>
      <c r="Q11" s="71"/>
      <c r="R11" s="71"/>
      <c r="S11" s="71"/>
    </row>
    <row r="12" spans="1:30" outlineLevel="1">
      <c r="C12" s="15" t="s">
        <v>131</v>
      </c>
      <c r="D12" s="72" t="s">
        <v>132</v>
      </c>
      <c r="E12" s="16" t="str">
        <f>'Input|Reported opex'!E56</f>
        <v>$millions</v>
      </c>
      <c r="F12" s="118" t="str">
        <f>'Input|Reported opex'!F56</f>
        <v>nominal</v>
      </c>
      <c r="J12" s="73">
        <f>IF(YEAR(J$4)=BaseYear,'Input|Reported opex'!J47,0)</f>
        <v>0</v>
      </c>
      <c r="K12" s="73">
        <f>IF(YEAR(K$4)=BaseYear,'Input|Reported opex'!K47,0)</f>
        <v>0</v>
      </c>
      <c r="L12" s="73">
        <f>IF(YEAR(L$4)=BaseYear,'Input|Reported opex'!L47,0)</f>
        <v>0</v>
      </c>
      <c r="M12" s="73">
        <f>IF(YEAR(M$4)=BaseYear,'Input|Reported opex'!M47,0)</f>
        <v>471.51085183310488</v>
      </c>
      <c r="N12" s="73">
        <f>IF(YEAR(N$4)=BaseYear,'Input|Reported opex'!N47,0)</f>
        <v>0</v>
      </c>
      <c r="O12" s="73">
        <f>IF(YEAR(O$4)=BaseYear,'Input|Reported opex'!O47,0)</f>
        <v>0</v>
      </c>
      <c r="P12" s="176">
        <f>IF(YEAR(P$4)=BaseYear,'Input|Reported opex'!P47,0)</f>
        <v>0</v>
      </c>
      <c r="Q12" s="73">
        <f>IF(YEAR(Q$4)=BaseYear,'Input|Reported opex'!Q47,0)</f>
        <v>0</v>
      </c>
      <c r="R12" s="73">
        <f>IF(YEAR(R$4)=BaseYear,'Input|Reported opex'!R47,0)</f>
        <v>0</v>
      </c>
      <c r="S12" s="73">
        <f>IF(YEAR(S$4)=BaseYear,'Input|Reported opex'!S47,0)</f>
        <v>0</v>
      </c>
    </row>
    <row r="13" spans="1:30" outlineLevel="1">
      <c r="C13" s="15" t="s">
        <v>131</v>
      </c>
      <c r="D13" s="16" t="s">
        <v>52</v>
      </c>
      <c r="E13" s="16" t="str">
        <f>$E$8</f>
        <v>$millions</v>
      </c>
      <c r="F13" s="118">
        <f>$F$8</f>
        <v>45809</v>
      </c>
      <c r="J13" s="73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73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73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73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494.80062037890127</v>
      </c>
      <c r="N13" s="73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73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73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73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73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73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0" outlineLevel="1">
      <c r="C14" s="15" t="s">
        <v>133</v>
      </c>
      <c r="D14" s="72" t="s">
        <v>132</v>
      </c>
      <c r="E14" s="16" t="str">
        <f>'Input|Reported opex'!E15</f>
        <v>$millions</v>
      </c>
      <c r="F14" s="118">
        <f>'Input|Reported opex'!F15</f>
        <v>43983</v>
      </c>
      <c r="J14" s="73">
        <f>IF(YEAR(J$4)=BaseYear,'Input|Reported opex'!J15,0)</f>
        <v>0</v>
      </c>
      <c r="K14" s="73">
        <f>IF(YEAR(K$4)=BaseYear,'Input|Reported opex'!K15,0)</f>
        <v>0</v>
      </c>
      <c r="L14" s="73">
        <f>IF(YEAR(L$4)=BaseYear,'Input|Reported opex'!L15,0)</f>
        <v>0</v>
      </c>
      <c r="M14" s="73">
        <f>IF(YEAR(M$4)=BaseYear,'Input|Reported opex'!M15,0)</f>
        <v>353.23596068114847</v>
      </c>
      <c r="N14" s="73">
        <f>IF(YEAR(N$4)=BaseYear,'Input|Reported opex'!N15,0)</f>
        <v>0</v>
      </c>
      <c r="O14" s="73">
        <f>IF(YEAR(O$4)=BaseYear,'Input|Reported opex'!O15,0)</f>
        <v>0</v>
      </c>
      <c r="P14" s="73">
        <f>IF(YEAR(P$4)=BaseYear,'Input|Reported opex'!P15,0)</f>
        <v>0</v>
      </c>
      <c r="Q14" s="73">
        <f>IF(YEAR(Q$4)=BaseYear,'Input|Reported opex'!Q15,0)</f>
        <v>0</v>
      </c>
      <c r="R14" s="73">
        <f>IF(YEAR(R$4)=BaseYear,'Input|Reported opex'!R15,0)</f>
        <v>0</v>
      </c>
      <c r="S14" s="73">
        <f>IF(YEAR(S$4)=BaseYear,'Input|Reported opex'!S15,0)</f>
        <v>0</v>
      </c>
    </row>
    <row r="15" spans="1:30" outlineLevel="1">
      <c r="C15" s="15" t="s">
        <v>133</v>
      </c>
      <c r="D15" s="16" t="s">
        <v>52</v>
      </c>
      <c r="E15" s="16" t="str">
        <f>$E$8</f>
        <v>$millions</v>
      </c>
      <c r="F15" s="118">
        <f>$F$8</f>
        <v>45809</v>
      </c>
      <c r="J15" s="73">
        <f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73">
        <f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73">
        <f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M15" s="73">
        <f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440.94935673391313</v>
      </c>
      <c r="N15" s="73">
        <f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73">
        <f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73">
        <f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73">
        <f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73">
        <f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73">
        <f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30" outlineLevel="1">
      <c r="C16" s="15" t="s">
        <v>134</v>
      </c>
      <c r="D16" s="72" t="s">
        <v>132</v>
      </c>
      <c r="E16" s="16" t="str">
        <f>'Input|Reported opex'!E15</f>
        <v>$millions</v>
      </c>
      <c r="F16" s="118">
        <f>'Input|Reported opex'!F15</f>
        <v>43983</v>
      </c>
      <c r="J16" s="73">
        <f>IF(YEAR(J$4)=PPLastYear,'Input|Reported opex'!J15,0)</f>
        <v>0</v>
      </c>
      <c r="K16" s="73">
        <f>IF(YEAR(K$4)=PPLastYear,'Input|Reported opex'!K15,0)</f>
        <v>0</v>
      </c>
      <c r="L16" s="73">
        <f>IF(YEAR(L$4)=PPLastYear,'Input|Reported opex'!L15,0)</f>
        <v>0</v>
      </c>
      <c r="M16" s="73">
        <f>IF(YEAR(M$4)=PPLastYear,'Input|Reported opex'!M15,0)</f>
        <v>0</v>
      </c>
      <c r="N16" s="73">
        <f>IF(YEAR(N$4)=PPLastYear,'Input|Reported opex'!N15,0)</f>
        <v>351.20546531668901</v>
      </c>
      <c r="O16" s="73">
        <f>IF(YEAR(O$4)=PPLastYear,'Input|Reported opex'!O15,0)</f>
        <v>0</v>
      </c>
      <c r="P16" s="73">
        <f>IF(YEAR(P$4)=PPLastYear,'Input|Reported opex'!P15,0)</f>
        <v>0</v>
      </c>
      <c r="Q16" s="73">
        <f>IF(YEAR(Q$4)=PPLastYear,'Input|Reported opex'!Q15,0)</f>
        <v>0</v>
      </c>
      <c r="R16" s="73">
        <f>IF(YEAR(R$4)=PPLastYear,'Input|Reported opex'!R15,0)</f>
        <v>0</v>
      </c>
      <c r="S16" s="73">
        <f>IF(YEAR(S$4)=PPLastYear,'Input|Reported opex'!S15,0)</f>
        <v>0</v>
      </c>
    </row>
    <row r="17" spans="3:19" outlineLevel="1">
      <c r="C17" s="15" t="s">
        <v>134</v>
      </c>
      <c r="D17" s="16" t="s">
        <v>52</v>
      </c>
      <c r="E17" s="16" t="str">
        <f>$E$8</f>
        <v>$millions</v>
      </c>
      <c r="F17" s="118">
        <f>$F$8</f>
        <v>45809</v>
      </c>
      <c r="J17" s="73">
        <f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73">
        <f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73">
        <f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73">
        <f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73">
        <f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438.41466116361198</v>
      </c>
      <c r="O17" s="73">
        <f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73">
        <f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73">
        <f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73">
        <f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73">
        <f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5"/>
      <c r="F18" s="118"/>
      <c r="J18" s="73"/>
      <c r="K18" s="73"/>
      <c r="L18" s="73"/>
      <c r="M18" s="73"/>
      <c r="N18" s="73"/>
      <c r="O18" s="73"/>
      <c r="P18" s="73"/>
      <c r="Q18" s="73"/>
      <c r="R18" s="73"/>
      <c r="S18" s="73"/>
    </row>
    <row r="19" spans="3:19" outlineLevel="1">
      <c r="C19" s="15" t="s">
        <v>135</v>
      </c>
      <c r="D19" s="72" t="s">
        <v>132</v>
      </c>
      <c r="E19" s="16" t="str">
        <f>'Input|Reported opex'!E63</f>
        <v>$millions</v>
      </c>
      <c r="F19" s="118" t="str">
        <f>'Input|Reported opex'!F56</f>
        <v>nominal</v>
      </c>
      <c r="J19" s="73">
        <f>IF(YEAR(J$4)=BaseYear,'Input|Reported opex'!J56,0)</f>
        <v>0</v>
      </c>
      <c r="K19" s="73">
        <f>IF(YEAR(K$4)=BaseYear,'Input|Reported opex'!K56,0)</f>
        <v>0</v>
      </c>
      <c r="L19" s="73">
        <f>IF(YEAR(L$4)=BaseYear,'Input|Reported opex'!L56,0)</f>
        <v>0</v>
      </c>
      <c r="M19" s="73">
        <f>IF(YEAR(M$4)=BaseYear,'Input|Reported opex'!M56,0)</f>
        <v>6.199284859258392</v>
      </c>
      <c r="N19" s="73">
        <f>IF(YEAR(N$4)=BaseYear,'Input|Reported opex'!N56,0)</f>
        <v>0</v>
      </c>
      <c r="O19" s="73">
        <f>IF(YEAR(O$4)=BaseYear,'Input|Reported opex'!O56,0)</f>
        <v>0</v>
      </c>
      <c r="P19" s="73">
        <f>IF(YEAR(P$4)=BaseYear,'Input|Reported opex'!P56,0)</f>
        <v>0</v>
      </c>
      <c r="Q19" s="73">
        <f>IF(YEAR(Q$4)=BaseYear,'Input|Reported opex'!Q56,0)</f>
        <v>0</v>
      </c>
      <c r="R19" s="73">
        <f>IF(YEAR(R$4)=BaseYear,'Input|Reported opex'!R56,0)</f>
        <v>0</v>
      </c>
      <c r="S19" s="73">
        <f>IF(YEAR(S$4)=BaseYear,'Input|Reported opex'!S56,0)</f>
        <v>0</v>
      </c>
    </row>
    <row r="20" spans="3:19" outlineLevel="1">
      <c r="C20" s="15" t="s">
        <v>135</v>
      </c>
      <c r="D20" s="16" t="s">
        <v>52</v>
      </c>
      <c r="E20" s="16" t="str">
        <f>$E$8</f>
        <v>$millions</v>
      </c>
      <c r="F20" s="118">
        <f>$F$8</f>
        <v>45809</v>
      </c>
      <c r="J20" s="73">
        <f>J19*IF($F19="nominal",LOOKUP($F20,Nominal_to_Real,'Input|Rate of change'!K$25:K$30),INDEX('Input|Rate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K20" s="73">
        <f>K19*IF($F19="nominal",LOOKUP($F20,Nominal_to_Real,'Input|Rate of change'!L$25:L$30),INDEX('Input|Rate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L20" s="73">
        <f>L19*IF($F19="nominal",LOOKUP($F20,Nominal_to_Real,'Input|Rate of change'!M$25:M$30),INDEX('Input|Rate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M20" s="73">
        <f>M19*IF($F19="nominal",LOOKUP($F20,Nominal_to_Real,'Input|Rate of change'!N$25:N$30),INDEX('Input|Rate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6.5054918298090767</v>
      </c>
      <c r="N20" s="73">
        <f>N19*IF($F19="nominal",LOOKUP($F20,Nominal_to_Real,'Input|Rate of change'!O$25:O$30),INDEX('Input|Rate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O20" s="73">
        <f>O19*IF($F19="nominal",LOOKUP($F20,Nominal_to_Real,'Input|Rate of change'!P$25:P$30),INDEX('Input|Rate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P20" s="73">
        <f>P19*IF($F19="nominal",LOOKUP($F20,Nominal_to_Real,'Input|Rate of change'!Q$25:Q$30),INDEX('Input|Rate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Q20" s="73">
        <f>Q19*IF($F19="nominal",LOOKUP($F20,Nominal_to_Real,'Input|Rate of change'!R$25:R$30),INDEX('Input|Rate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R20" s="73">
        <f>R19*IF($F19="nominal",LOOKUP($F20,Nominal_to_Real,'Input|Rate of change'!S$25:S$30),INDEX('Input|Rate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S20" s="73">
        <f>S19*IF($F19="nominal",LOOKUP($F20,Nominal_to_Real,'Input|Rate of change'!T$25:T$30),INDEX('Input|Rate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</row>
    <row r="21" spans="3:19" outlineLevel="1">
      <c r="C21" s="15" t="s">
        <v>136</v>
      </c>
      <c r="D21" s="72" t="s">
        <v>132</v>
      </c>
      <c r="E21" s="16" t="str">
        <f>'Input|Reported opex'!E22</f>
        <v>$millions</v>
      </c>
      <c r="F21" s="118">
        <f>'Input|Reported opex'!F29</f>
        <v>43983</v>
      </c>
      <c r="J21" s="73">
        <f>IF(YEAR(J$4)=BaseYear,'Input|Reported opex'!J29,0)</f>
        <v>0</v>
      </c>
      <c r="K21" s="73">
        <f>IF(YEAR(K$4)=BaseYear,'Input|Reported opex'!K29,0)</f>
        <v>0</v>
      </c>
      <c r="L21" s="73">
        <f>IF(YEAR(L$4)=BaseYear,'Input|Reported opex'!L29,0)</f>
        <v>0</v>
      </c>
      <c r="M21" s="73">
        <f>IF(YEAR(M$4)=BaseYear,'Input|Reported opex'!M29,0)</f>
        <v>6.199284859258392</v>
      </c>
      <c r="N21" s="73">
        <f>IF(YEAR(N$4)=BaseYear,'Input|Reported opex'!N29,0)</f>
        <v>0</v>
      </c>
      <c r="O21" s="73">
        <f>IF(YEAR(O$4)=BaseYear,'Input|Reported opex'!O29,0)</f>
        <v>0</v>
      </c>
      <c r="P21" s="73">
        <f>IF(YEAR(P$4)=BaseYear,'Input|Reported opex'!P29,0)</f>
        <v>0</v>
      </c>
      <c r="Q21" s="73">
        <f>IF(YEAR(Q$4)=BaseYear,'Input|Reported opex'!Q29,0)</f>
        <v>0</v>
      </c>
      <c r="R21" s="73">
        <f>IF(YEAR(R$4)=BaseYear,'Input|Reported opex'!R29,0)</f>
        <v>0</v>
      </c>
      <c r="S21" s="73">
        <f>IF(YEAR(S$4)=BaseYear,'Input|Reported opex'!S29,0)</f>
        <v>0</v>
      </c>
    </row>
    <row r="22" spans="3:19" outlineLevel="1">
      <c r="C22" s="15" t="s">
        <v>136</v>
      </c>
      <c r="D22" s="16" t="s">
        <v>52</v>
      </c>
      <c r="E22" s="16" t="str">
        <f>$E$8</f>
        <v>$millions</v>
      </c>
      <c r="F22" s="118">
        <f>$F$8</f>
        <v>45809</v>
      </c>
      <c r="J22" s="73">
        <f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73">
        <f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73">
        <f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M22" s="73">
        <f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7.7386534078498217</v>
      </c>
      <c r="N22" s="73">
        <f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73">
        <f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73">
        <f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73">
        <f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73">
        <f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73">
        <f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5" t="s">
        <v>137</v>
      </c>
      <c r="D23" s="72" t="s">
        <v>132</v>
      </c>
      <c r="E23" s="16" t="str">
        <f>'Input|Reported opex'!E22</f>
        <v>$millions</v>
      </c>
      <c r="F23" s="118">
        <f>'Input|Reported opex'!F29</f>
        <v>43983</v>
      </c>
      <c r="J23" s="73">
        <f>IF(YEAR(J$4)=PPLastYear,'Input|Reported opex'!J29,0)</f>
        <v>0</v>
      </c>
      <c r="K23" s="73">
        <f>IF(YEAR(K$4)=PPLastYear,'Input|Reported opex'!K29,0)</f>
        <v>0</v>
      </c>
      <c r="L23" s="73">
        <f>IF(YEAR(L$4)=PPLastYear,'Input|Reported opex'!L29,0)</f>
        <v>0</v>
      </c>
      <c r="M23" s="73">
        <f>IF(YEAR(M$4)=PPLastYear,'Input|Reported opex'!M29,0)</f>
        <v>0</v>
      </c>
      <c r="N23" s="73">
        <f>IF(YEAR(N$4)=PPLastYear,'Input|Reported opex'!N29,0)</f>
        <v>6.1738172083459428</v>
      </c>
      <c r="O23" s="73">
        <f>IF(YEAR(O$4)=PPLastYear,'Input|Reported opex'!O29,0)</f>
        <v>0</v>
      </c>
      <c r="P23" s="73">
        <f>IF(YEAR(P$4)=PPLastYear,'Input|Reported opex'!P29,0)</f>
        <v>0</v>
      </c>
      <c r="Q23" s="73">
        <f>IF(YEAR(Q$4)=PPLastYear,'Input|Reported opex'!Q29,0)</f>
        <v>0</v>
      </c>
      <c r="R23" s="73">
        <f>IF(YEAR(R$4)=PPLastYear,'Input|Reported opex'!R29,0)</f>
        <v>0</v>
      </c>
      <c r="S23" s="73">
        <f>IF(YEAR(S$4)=PPLastYear,'Input|Reported opex'!S29,0)</f>
        <v>0</v>
      </c>
    </row>
    <row r="24" spans="3:19" outlineLevel="1">
      <c r="C24" s="15" t="s">
        <v>137</v>
      </c>
      <c r="D24" s="16" t="s">
        <v>52</v>
      </c>
      <c r="E24" s="16" t="str">
        <f>$E$8</f>
        <v>$millions</v>
      </c>
      <c r="F24" s="118">
        <f>$F$8</f>
        <v>45809</v>
      </c>
      <c r="J24" s="73">
        <f>J23*IF($F23="nominal",LOOKUP($F24,Nominal_to_Real,'Input|Rate of change'!K$25:K$30),INDEX('Input|Rate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K24" s="73">
        <f>K23*IF($F23="nominal",LOOKUP($F24,Nominal_to_Real,'Input|Rate of change'!L$25:L$30),INDEX('Input|Rate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L24" s="73">
        <f>L23*IF($F23="nominal",LOOKUP($F24,Nominal_to_Real,'Input|Rate of change'!M$25:M$30),INDEX('Input|Rate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M24" s="73">
        <f>M23*IF($F23="nominal",LOOKUP($F24,Nominal_to_Real,'Input|Rate of change'!N$25:N$30),INDEX('Input|Rate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N24" s="73">
        <f>N23*IF($F23="nominal",LOOKUP($F24,Nominal_to_Real,'Input|Rate of change'!O$25:O$30),INDEX('Input|Rate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7.7068617854291785</v>
      </c>
      <c r="O24" s="73">
        <f>O23*IF($F23="nominal",LOOKUP($F24,Nominal_to_Real,'Input|Rate of change'!P$25:P$30),INDEX('Input|Rate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73">
        <f>P23*IF($F23="nominal",LOOKUP($F24,Nominal_to_Real,'Input|Rate of change'!Q$25:Q$30),INDEX('Input|Rate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73">
        <f>Q23*IF($F23="nominal",LOOKUP($F24,Nominal_to_Real,'Input|Rate of change'!R$25:R$30),INDEX('Input|Rate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73">
        <f>R23*IF($F23="nominal",LOOKUP($F24,Nominal_to_Real,'Input|Rate of change'!S$25:S$30),INDEX('Input|Rate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73">
        <f>S23*IF($F23="nominal",LOOKUP($F24,Nominal_to_Real,'Input|Rate of change'!T$25:T$30),INDEX('Input|Rate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5"/>
      <c r="F25" s="74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3:19" outlineLevel="1">
      <c r="C26" s="75" t="s">
        <v>138</v>
      </c>
      <c r="D26" s="76" t="s">
        <v>52</v>
      </c>
      <c r="E26" s="76" t="str">
        <f>$E$8</f>
        <v>$millions</v>
      </c>
      <c r="F26" s="118">
        <f>$F$8</f>
        <v>45809</v>
      </c>
      <c r="J26" s="77">
        <f>J13</f>
        <v>0</v>
      </c>
      <c r="K26" s="77">
        <f t="shared" ref="K26:S26" si="1">K13</f>
        <v>0</v>
      </c>
      <c r="L26" s="77">
        <f t="shared" si="1"/>
        <v>0</v>
      </c>
      <c r="M26" s="77">
        <f t="shared" si="1"/>
        <v>494.80062037890127</v>
      </c>
      <c r="N26" s="77">
        <f t="shared" si="1"/>
        <v>0</v>
      </c>
      <c r="O26" s="77">
        <f t="shared" si="1"/>
        <v>0</v>
      </c>
      <c r="P26" s="77">
        <f t="shared" si="1"/>
        <v>0</v>
      </c>
      <c r="Q26" s="77">
        <f t="shared" si="1"/>
        <v>0</v>
      </c>
      <c r="R26" s="77">
        <f t="shared" si="1"/>
        <v>0</v>
      </c>
      <c r="S26" s="77">
        <f t="shared" si="1"/>
        <v>0</v>
      </c>
    </row>
    <row r="27" spans="3:19" outlineLevel="1">
      <c r="C27" s="84"/>
      <c r="F27" s="118"/>
      <c r="J27" s="77"/>
      <c r="K27" s="77"/>
      <c r="L27" s="77"/>
      <c r="M27" s="77"/>
      <c r="N27" s="77"/>
      <c r="O27" s="77"/>
      <c r="P27" s="77"/>
      <c r="Q27" s="77"/>
      <c r="R27" s="77"/>
      <c r="S27" s="77"/>
    </row>
    <row r="28" spans="3:19" outlineLevel="1">
      <c r="C28" s="84" t="s">
        <v>139</v>
      </c>
      <c r="D28" s="72" t="s">
        <v>132</v>
      </c>
      <c r="E28" s="16" t="str">
        <f>'Input|Reported opex'!E68</f>
        <v>$millions</v>
      </c>
      <c r="F28" s="118">
        <f>'Input|Reported opex'!F68</f>
        <v>44713</v>
      </c>
      <c r="J28" s="77">
        <f>IF('Input|Reported opex'!J$60='Input|Reported opex'!J$10,'Input|Reported opex'!J68,0)</f>
        <v>0</v>
      </c>
      <c r="K28" s="77">
        <f>IF('Input|Reported opex'!K$60='Input|Reported opex'!K$10,'Input|Reported opex'!K68,0)</f>
        <v>0</v>
      </c>
      <c r="L28" s="77">
        <f>IF('Input|Reported opex'!L$60='Input|Reported opex'!L$10,'Input|Reported opex'!L68,0)</f>
        <v>0</v>
      </c>
      <c r="M28" s="77">
        <f>IF('Input|Reported opex'!M$60='Input|Reported opex'!M$10,'Input|Reported opex'!M68,0)</f>
        <v>0</v>
      </c>
      <c r="N28" s="77">
        <f>IF('Input|Reported opex'!N$60='Input|Reported opex'!N$10,'Input|Reported opex'!N68,0)</f>
        <v>0</v>
      </c>
      <c r="O28" s="77">
        <f>IF('Input|Reported opex'!O$60='Input|Reported opex'!O$10,'Input|Reported opex'!O68,0)</f>
        <v>0</v>
      </c>
      <c r="P28" s="77">
        <f>IF('Input|Reported opex'!P$60='Input|Reported opex'!P$10,'Input|Reported opex'!P68,0)</f>
        <v>0</v>
      </c>
      <c r="Q28" s="77">
        <f>IF('Input|Reported opex'!Q$60='Input|Reported opex'!Q$10,'Input|Reported opex'!Q68,0)</f>
        <v>0</v>
      </c>
      <c r="R28" s="77">
        <f>IF('Input|Reported opex'!R$60='Input|Reported opex'!R$10,'Input|Reported opex'!R68,0)</f>
        <v>0</v>
      </c>
      <c r="S28" s="77">
        <f>IF('Input|Reported opex'!S$60='Input|Reported opex'!S$10,'Input|Reported opex'!S68,0)</f>
        <v>0</v>
      </c>
    </row>
    <row r="29" spans="3:19" outlineLevel="1">
      <c r="C29" s="84" t="str">
        <f>C28</f>
        <v>Add back non-recurrent efficiency gains in the base year</v>
      </c>
      <c r="D29" s="16" t="s">
        <v>52</v>
      </c>
      <c r="E29" s="16" t="str">
        <f>$E$8</f>
        <v>$millions</v>
      </c>
      <c r="F29" s="118">
        <f>$F$8</f>
        <v>45809</v>
      </c>
      <c r="J29" s="77">
        <f>J28*IF($F28="nominal",LOOKUP($F29,Nominal_to_Real,'Input|Rate of change'!K$25:K$30),INDEX('Input|Rate of change'!$C$14:$O$21,MATCH($F28,'Input|Rate of change'!$C$14:$C$21,0),MATCH($F29,'Input|Rate of change'!$C$14:$O$14,0)))*IF($E28="$millions",1000000,IF($E28="$000",1000,1))/IF($E29="$millions",1000000,IF($E29="$000",1000,1))</f>
        <v>0</v>
      </c>
      <c r="K29" s="77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77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77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77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77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77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77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77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77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84"/>
      <c r="F30" s="118"/>
      <c r="J30" s="77"/>
      <c r="K30" s="77"/>
      <c r="L30" s="77"/>
      <c r="M30" s="77"/>
      <c r="N30" s="77"/>
      <c r="O30" s="77"/>
      <c r="P30" s="77"/>
      <c r="Q30" s="77"/>
      <c r="R30" s="77"/>
      <c r="S30" s="77"/>
    </row>
    <row r="31" spans="3:19" outlineLevel="1">
      <c r="C31" s="84" t="s">
        <v>140</v>
      </c>
      <c r="D31" s="16" t="s">
        <v>52</v>
      </c>
      <c r="E31" s="16" t="str">
        <f>$E$8</f>
        <v>$millions</v>
      </c>
      <c r="F31" s="118">
        <f>$F$8</f>
        <v>45809</v>
      </c>
      <c r="J31" s="77">
        <f t="shared" ref="J31:S31" si="2">IF(YEAR(J$4)=PPLastYear,-SUM($J15:$S15)+SUM($J17:$S17),0)</f>
        <v>0</v>
      </c>
      <c r="K31" s="77">
        <f t="shared" si="2"/>
        <v>0</v>
      </c>
      <c r="L31" s="77">
        <f t="shared" si="2"/>
        <v>0</v>
      </c>
      <c r="M31" s="77">
        <f t="shared" si="2"/>
        <v>0</v>
      </c>
      <c r="N31" s="77">
        <f t="shared" si="2"/>
        <v>-2.5346955703011531</v>
      </c>
      <c r="O31" s="77">
        <f t="shared" si="2"/>
        <v>0</v>
      </c>
      <c r="P31" s="77">
        <f t="shared" si="2"/>
        <v>0</v>
      </c>
      <c r="Q31" s="77">
        <f t="shared" si="2"/>
        <v>0</v>
      </c>
      <c r="R31" s="77">
        <f t="shared" si="2"/>
        <v>0</v>
      </c>
      <c r="S31" s="77">
        <f t="shared" si="2"/>
        <v>0</v>
      </c>
    </row>
    <row r="32" spans="3:19" outlineLevel="1">
      <c r="C32" s="84"/>
      <c r="F32" s="118"/>
      <c r="J32" s="77"/>
      <c r="K32" s="77"/>
      <c r="L32" s="77"/>
      <c r="M32" s="77"/>
      <c r="N32" s="77"/>
      <c r="O32" s="77"/>
      <c r="P32" s="77"/>
      <c r="Q32" s="77"/>
      <c r="R32" s="77"/>
      <c r="S32" s="77"/>
    </row>
    <row r="33" spans="3:19" outlineLevel="1">
      <c r="C33" s="84" t="s">
        <v>141</v>
      </c>
      <c r="D33" s="16" t="s">
        <v>52</v>
      </c>
      <c r="E33" s="16" t="str">
        <f>$E$8</f>
        <v>$millions</v>
      </c>
      <c r="F33" s="118">
        <f>$F$8</f>
        <v>45809</v>
      </c>
      <c r="J33" s="77">
        <f t="shared" ref="J33:S33" si="3">IF(YEAR(J$4)=PPLastYear,SUM($J26:$S26,$J29:$S29,$J31:$S31),0)</f>
        <v>0</v>
      </c>
      <c r="K33" s="77">
        <f t="shared" si="3"/>
        <v>0</v>
      </c>
      <c r="L33" s="77">
        <f t="shared" si="3"/>
        <v>0</v>
      </c>
      <c r="M33" s="77">
        <f t="shared" si="3"/>
        <v>0</v>
      </c>
      <c r="N33" s="77">
        <f t="shared" si="3"/>
        <v>492.26592480860012</v>
      </c>
      <c r="O33" s="77">
        <f t="shared" si="3"/>
        <v>0</v>
      </c>
      <c r="P33" s="77">
        <f t="shared" si="3"/>
        <v>0</v>
      </c>
      <c r="Q33" s="77">
        <f t="shared" si="3"/>
        <v>0</v>
      </c>
      <c r="R33" s="77">
        <f t="shared" si="3"/>
        <v>0</v>
      </c>
      <c r="S33" s="77">
        <f t="shared" si="3"/>
        <v>0</v>
      </c>
    </row>
    <row r="34" spans="3:19" outlineLevel="1">
      <c r="C34" s="84"/>
      <c r="F34" s="118"/>
      <c r="J34" s="77"/>
      <c r="K34" s="77"/>
      <c r="L34" s="77"/>
      <c r="M34" s="77"/>
      <c r="N34" s="77"/>
      <c r="O34" s="77"/>
      <c r="P34" s="77"/>
      <c r="Q34" s="77"/>
      <c r="R34" s="77"/>
      <c r="S34" s="77"/>
    </row>
    <row r="35" spans="3:19" outlineLevel="1">
      <c r="C35" s="84" t="s">
        <v>142</v>
      </c>
      <c r="D35" s="16" t="s">
        <v>52</v>
      </c>
      <c r="E35" s="16" t="str">
        <f>$E$8</f>
        <v>$millions</v>
      </c>
      <c r="F35" s="118">
        <f>$F$8</f>
        <v>45809</v>
      </c>
      <c r="J35" s="77">
        <f t="shared" ref="J35:S35" si="4">IF(YEAR(J$4)=PPLastYear,-(SUM($J20:$S20)-SUM($J22:$S22)+SUM($J24:$S24)),0)</f>
        <v>0</v>
      </c>
      <c r="K35" s="77">
        <f t="shared" si="4"/>
        <v>0</v>
      </c>
      <c r="L35" s="77">
        <f t="shared" si="4"/>
        <v>0</v>
      </c>
      <c r="M35" s="77">
        <f t="shared" si="4"/>
        <v>0</v>
      </c>
      <c r="N35" s="77">
        <f t="shared" si="4"/>
        <v>-6.4737002073884335</v>
      </c>
      <c r="O35" s="77">
        <f t="shared" si="4"/>
        <v>0</v>
      </c>
      <c r="P35" s="77">
        <f t="shared" si="4"/>
        <v>0</v>
      </c>
      <c r="Q35" s="77">
        <f t="shared" si="4"/>
        <v>0</v>
      </c>
      <c r="R35" s="77">
        <f t="shared" si="4"/>
        <v>0</v>
      </c>
      <c r="S35" s="77">
        <f t="shared" si="4"/>
        <v>0</v>
      </c>
    </row>
    <row r="36" spans="3:19" outlineLevel="1">
      <c r="C36" s="84"/>
      <c r="F36" s="118"/>
      <c r="J36" s="77"/>
      <c r="K36" s="77"/>
      <c r="L36" s="77"/>
      <c r="M36" s="77"/>
      <c r="N36" s="77"/>
      <c r="O36" s="77"/>
      <c r="P36" s="77"/>
      <c r="Q36" s="77"/>
      <c r="R36" s="77"/>
      <c r="S36" s="77"/>
    </row>
    <row r="37" spans="3:19" outlineLevel="1">
      <c r="C37" s="84" t="str">
        <f>'Input|Reported opex'!$C$62</f>
        <v>ESO Levy Removal</v>
      </c>
      <c r="D37" s="72" t="s">
        <v>132</v>
      </c>
      <c r="E37" s="16" t="str">
        <f>'Input|Reported opex'!E62</f>
        <v>$millions</v>
      </c>
      <c r="F37" s="118">
        <f>'Input|Reported opex'!F62</f>
        <v>45078</v>
      </c>
      <c r="J37" s="73">
        <f>IF(YEAR(J$4)=PPLastYear,'Input|Reported opex'!J62,0)</f>
        <v>0</v>
      </c>
      <c r="K37" s="73">
        <f>IF(YEAR(K$4)=PPLastYear,'Input|Reported opex'!K62,0)</f>
        <v>0</v>
      </c>
      <c r="L37" s="73">
        <f>IF(YEAR(L$4)=PPLastYear,'Input|Reported opex'!L62,0)</f>
        <v>0</v>
      </c>
      <c r="M37" s="73">
        <f>IF(YEAR(M$4)=PPLastYear,'Input|Reported opex'!M62,0)</f>
        <v>0</v>
      </c>
      <c r="N37" s="73">
        <f>IF(YEAR(N$4)=PPLastYear,'Input|Reported opex'!N62,0)</f>
        <v>-12.776199999999999</v>
      </c>
      <c r="O37" s="73">
        <f>IF(YEAR(O$4)=PPLastYear,'Input|Reported opex'!O62,0)</f>
        <v>0</v>
      </c>
      <c r="P37" s="73">
        <f>IF(YEAR(P$4)=PPLastYear,'Input|Reported opex'!P62,0)</f>
        <v>0</v>
      </c>
      <c r="Q37" s="73">
        <f>IF(YEAR(Q$4)=PPLastYear,'Input|Reported opex'!Q62,0)</f>
        <v>0</v>
      </c>
      <c r="R37" s="73">
        <f>IF(YEAR(R$4)=PPLastYear,'Input|Reported opex'!R62,0)</f>
        <v>0</v>
      </c>
      <c r="S37" s="73">
        <f>IF(YEAR(S$4)=PPLastYear,'Input|Reported opex'!S62,0)</f>
        <v>0</v>
      </c>
    </row>
    <row r="38" spans="3:19" outlineLevel="1">
      <c r="C38" s="84" t="str">
        <f>C37</f>
        <v>ESO Levy Removal</v>
      </c>
      <c r="D38" s="16" t="s">
        <v>52</v>
      </c>
      <c r="E38" s="16" t="str">
        <f>$E$8</f>
        <v>$millions</v>
      </c>
      <c r="F38" s="118">
        <f>$F$8</f>
        <v>45809</v>
      </c>
      <c r="J38" s="77">
        <f>J37*IF($F37="nominal",LOOKUP($F38,Nominal_to_Real,'Input|Rate of change'!K$25:K$30),INDEX('Input|Rate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K38" s="77">
        <f>K37*IF($F37="nominal",LOOKUP($F38,Nominal_to_Real,'Input|Rate of change'!L$25:L$30),INDEX('Input|Rate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L38" s="77">
        <f>L37*IF($F37="nominal",LOOKUP($F38,Nominal_to_Real,'Input|Rate of change'!M$25:M$30),INDEX('Input|Rate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M38" s="77">
        <f>M37*IF($F37="nominal",LOOKUP($F38,Nominal_to_Real,'Input|Rate of change'!N$25:N$30),INDEX('Input|Rate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N38" s="110">
        <f>N37*IF($F37="nominal",LOOKUP($F38,Nominal_to_Real,'Input|Rate of change'!O$25:O$30),INDEX('Input|Rate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-13.646463639199997</v>
      </c>
      <c r="O38" s="77">
        <f>O37*IF($F37="nominal",LOOKUP($F38,Nominal_to_Real,'Input|Rate of change'!P$25:P$30),INDEX('Input|Rate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77">
        <f>P37*IF($F37="nominal",LOOKUP($F38,Nominal_to_Real,'Input|Rate of change'!Q$25:Q$30),INDEX('Input|Rate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77">
        <f>Q37*IF($F37="nominal",LOOKUP($F38,Nominal_to_Real,'Input|Rate of change'!R$25:R$30),INDEX('Input|Rate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77">
        <f>R37*IF($F37="nominal",LOOKUP($F38,Nominal_to_Real,'Input|Rate of change'!S$25:S$30),INDEX('Input|Rate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77">
        <f>S37*IF($F37="nominal",LOOKUP($F38,Nominal_to_Real,'Input|Rate of change'!T$25:T$30),INDEX('Input|Rate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outlineLevel="1">
      <c r="C39" s="84"/>
      <c r="F39" s="118"/>
      <c r="J39" s="77"/>
      <c r="K39" s="77"/>
      <c r="L39" s="77"/>
      <c r="M39" s="77"/>
      <c r="N39" s="77"/>
      <c r="O39" s="77"/>
      <c r="P39" s="77"/>
      <c r="Q39" s="77"/>
      <c r="R39" s="73"/>
      <c r="S39" s="73"/>
    </row>
    <row r="40" spans="3:19" outlineLevel="1">
      <c r="C40" s="84" t="str">
        <f>'Input|Reported opex'!$C$63</f>
        <v>Property Leases Removal (SCS Opex portion only)</v>
      </c>
      <c r="D40" s="72" t="s">
        <v>132</v>
      </c>
      <c r="E40" s="16" t="str">
        <f>'Input|Reported opex'!$E$63</f>
        <v>$millions</v>
      </c>
      <c r="F40" s="118">
        <f>'Input|Reported opex'!$F$63</f>
        <v>45078</v>
      </c>
      <c r="J40" s="73">
        <f>IF(YEAR(J$4)=PPLastYear,'Input|Reported opex'!J63,0)</f>
        <v>0</v>
      </c>
      <c r="K40" s="73">
        <f>IF(YEAR(K$4)=PPLastYear,'Input|Reported opex'!K63,0)</f>
        <v>0</v>
      </c>
      <c r="L40" s="73">
        <f>IF(YEAR(L$4)=PPLastYear,'Input|Reported opex'!L63,0)</f>
        <v>0</v>
      </c>
      <c r="M40" s="73">
        <f>IF(YEAR(M$4)=PPLastYear,'Input|Reported opex'!M63,0)</f>
        <v>0</v>
      </c>
      <c r="N40" s="73">
        <f>IF(YEAR(N$4)=PPLastYear,'Input|Reported opex'!N63,0)</f>
        <v>-6.2742539712069316</v>
      </c>
      <c r="O40" s="73">
        <f>IF(YEAR(O$4)=PPLastYear,'Input|Reported opex'!O63,0)</f>
        <v>0</v>
      </c>
      <c r="P40" s="73">
        <f>IF(YEAR(P$4)=PPLastYear,'Input|Reported opex'!P63,0)</f>
        <v>0</v>
      </c>
      <c r="Q40" s="73">
        <f>IF(YEAR(Q$4)=PPLastYear,'Input|Reported opex'!Q63,0)</f>
        <v>0</v>
      </c>
      <c r="R40" s="73">
        <f>IF(YEAR(R$4)=PPLastYear,'Input|Reported opex'!R63,0)</f>
        <v>0</v>
      </c>
      <c r="S40" s="73">
        <f>IF(YEAR(S$4)=PPLastYear,'Input|Reported opex'!S63,0)</f>
        <v>0</v>
      </c>
    </row>
    <row r="41" spans="3:19" outlineLevel="1">
      <c r="C41" s="84" t="str">
        <f>C40</f>
        <v>Property Leases Removal (SCS Opex portion only)</v>
      </c>
      <c r="D41" s="16" t="s">
        <v>52</v>
      </c>
      <c r="E41" s="16" t="str">
        <f>$E$8</f>
        <v>$millions</v>
      </c>
      <c r="F41" s="118">
        <f>$F$8</f>
        <v>45809</v>
      </c>
      <c r="J41" s="77">
        <f>J40*IF($F40="nominal",LOOKUP($F41,Nominal_to_Real,'Input|Rate of change'!K$25:K$30),INDEX('Input|Rate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K41" s="77">
        <f>K40*IF($F40="nominal",LOOKUP($F41,Nominal_to_Real,'Input|Rate of change'!L$25:L$30),INDEX('Input|Rate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L41" s="77">
        <f>L40*IF($F40="nominal",LOOKUP($F41,Nominal_to_Real,'Input|Rate of change'!M$25:M$30),INDEX('Input|Rate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M41" s="77">
        <f>M40*IF($F40="nominal",LOOKUP($F41,Nominal_to_Real,'Input|Rate of change'!N$25:N$30),INDEX('Input|Rate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N41" s="110">
        <f>N40*IF($F40="nominal",LOOKUP($F41,Nominal_to_Real,'Input|Rate of change'!O$25:O$30),INDEX('Input|Rate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-6.7016310547096616</v>
      </c>
      <c r="O41" s="77">
        <f>O40*IF($F40="nominal",LOOKUP($F41,Nominal_to_Real,'Input|Rate of change'!P$25:P$30),INDEX('Input|Rate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77">
        <f>P40*IF($F40="nominal",LOOKUP($F41,Nominal_to_Real,'Input|Rate of change'!Q$25:Q$30),INDEX('Input|Rate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77">
        <f>Q40*IF($F40="nominal",LOOKUP($F41,Nominal_to_Real,'Input|Rate of change'!R$25:R$30),INDEX('Input|Rate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77">
        <f>R40*IF($F40="nominal",LOOKUP($F41,Nominal_to_Real,'Input|Rate of change'!S$25:S$30),INDEX('Input|Rate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77">
        <f>S40*IF($F40="nominal",LOOKUP($F41,Nominal_to_Real,'Input|Rate of change'!T$25:T$30),INDEX('Input|Rate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outlineLevel="1">
      <c r="C42" s="84"/>
      <c r="F42" s="118"/>
      <c r="J42" s="77"/>
      <c r="K42" s="77"/>
      <c r="L42" s="77"/>
      <c r="M42" s="77"/>
      <c r="N42" s="77"/>
      <c r="O42" s="77"/>
      <c r="P42" s="77"/>
      <c r="Q42" s="77"/>
      <c r="R42" s="73"/>
      <c r="S42" s="73"/>
    </row>
    <row r="43" spans="3:19" outlineLevel="1">
      <c r="C43" s="84" t="str">
        <f>'Input|Reported opex'!$C$64</f>
        <v>Adjustment 3</v>
      </c>
      <c r="D43" s="72" t="s">
        <v>132</v>
      </c>
      <c r="E43" s="16" t="str">
        <f>'Input|Reported opex'!$E$64</f>
        <v>$millions</v>
      </c>
      <c r="F43" s="118">
        <f>'Input|Reported opex'!$F$64</f>
        <v>44713</v>
      </c>
      <c r="J43" s="73">
        <f>IF(YEAR(J$4)=PPLastYear,'Input|Reported opex'!J64,0)</f>
        <v>0</v>
      </c>
      <c r="K43" s="73">
        <f>IF(YEAR(K$4)=PPLastYear,'Input|Reported opex'!K64,0)</f>
        <v>0</v>
      </c>
      <c r="L43" s="73">
        <f>IF(YEAR(L$4)=PPLastYear,'Input|Reported opex'!L64,0)</f>
        <v>0</v>
      </c>
      <c r="M43" s="73">
        <f>IF(YEAR(M$4)=PPLastYear,'Input|Reported opex'!M64,0)</f>
        <v>0</v>
      </c>
      <c r="N43" s="73">
        <f>IF(YEAR(N$4)=PPLastYear,'Input|Reported opex'!N64,0)</f>
        <v>0</v>
      </c>
      <c r="O43" s="73">
        <f>IF(YEAR(O$4)=PPLastYear,'Input|Reported opex'!O64,0)</f>
        <v>0</v>
      </c>
      <c r="P43" s="73">
        <f>IF(YEAR(P$4)=PPLastYear,'Input|Reported opex'!P64,0)</f>
        <v>0</v>
      </c>
      <c r="Q43" s="73">
        <f>IF(YEAR(Q$4)=PPLastYear,'Input|Reported opex'!Q64,0)</f>
        <v>0</v>
      </c>
      <c r="R43" s="73">
        <f>IF(YEAR(R$4)=PPLastYear,'Input|Reported opex'!R64,0)</f>
        <v>0</v>
      </c>
      <c r="S43" s="73">
        <f>IF(YEAR(S$4)=PPLastYear,'Input|Reported opex'!S64,0)</f>
        <v>0</v>
      </c>
    </row>
    <row r="44" spans="3:19" outlineLevel="1">
      <c r="C44" s="84" t="str">
        <f>C43</f>
        <v>Adjustment 3</v>
      </c>
      <c r="D44" s="16" t="s">
        <v>52</v>
      </c>
      <c r="E44" s="16" t="str">
        <f>$E$8</f>
        <v>$millions</v>
      </c>
      <c r="F44" s="118">
        <f>$F$8</f>
        <v>45809</v>
      </c>
      <c r="J44" s="77">
        <f>J43*IF($F43="nominal",LOOKUP($F44,Nominal_to_Real,'Input|Rate of change'!K$25:K$30),INDEX('Input|Rate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K44" s="77">
        <f>K43*IF($F43="nominal",LOOKUP($F44,Nominal_to_Real,'Input|Rate of change'!L$25:L$30),INDEX('Input|Rate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L44" s="77">
        <f>L43*IF($F43="nominal",LOOKUP($F44,Nominal_to_Real,'Input|Rate of change'!M$25:M$30),INDEX('Input|Rate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M44" s="77">
        <f>M43*IF($F43="nominal",LOOKUP($F44,Nominal_to_Real,'Input|Rate of change'!N$25:N$30),INDEX('Input|Rate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N44" s="110">
        <f>N43*IF($F43="nominal",LOOKUP($F44,Nominal_to_Real,'Input|Rate of change'!O$25:O$30),INDEX('Input|Rate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O44" s="77">
        <f>O43*IF($F43="nominal",LOOKUP($F44,Nominal_to_Real,'Input|Rate of change'!P$25:P$30),INDEX('Input|Rate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P44" s="77">
        <f>P43*IF($F43="nominal",LOOKUP($F44,Nominal_to_Real,'Input|Rate of change'!Q$25:Q$30),INDEX('Input|Rate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77">
        <f>Q43*IF($F43="nominal",LOOKUP($F44,Nominal_to_Real,'Input|Rate of change'!R$25:R$30),INDEX('Input|Rate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77">
        <f>R43*IF($F43="nominal",LOOKUP($F44,Nominal_to_Real,'Input|Rate of change'!S$25:S$30),INDEX('Input|Rate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77">
        <f>S43*IF($F43="nominal",LOOKUP($F44,Nominal_to_Real,'Input|Rate of change'!T$25:T$30),INDEX('Input|Rate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outlineLevel="1">
      <c r="C45" s="84"/>
      <c r="F45" s="118"/>
      <c r="J45" s="77"/>
      <c r="K45" s="77"/>
      <c r="L45" s="77"/>
      <c r="M45" s="77"/>
      <c r="N45" s="77"/>
      <c r="O45" s="77"/>
      <c r="P45" s="77"/>
      <c r="Q45" s="77"/>
      <c r="R45" s="73"/>
      <c r="S45" s="73"/>
    </row>
    <row r="46" spans="3:19" outlineLevel="1">
      <c r="C46" s="84" t="str">
        <f>'Input|Reported opex'!$C$65</f>
        <v>Adjustment 4</v>
      </c>
      <c r="D46" s="72" t="s">
        <v>132</v>
      </c>
      <c r="E46" s="16" t="str">
        <f>'Input|Reported opex'!$E$65</f>
        <v>$millions</v>
      </c>
      <c r="F46" s="118">
        <f>'Input|Reported opex'!$F$65</f>
        <v>44713</v>
      </c>
      <c r="J46" s="73">
        <f>IF(YEAR(J$4)=PPLastYear,'Input|Reported opex'!J65,0)</f>
        <v>0</v>
      </c>
      <c r="K46" s="73">
        <f>IF(YEAR(K$4)=PPLastYear,'Input|Reported opex'!K65,0)</f>
        <v>0</v>
      </c>
      <c r="L46" s="73">
        <f>IF(YEAR(L$4)=PPLastYear,'Input|Reported opex'!L65,0)</f>
        <v>0</v>
      </c>
      <c r="M46" s="73">
        <f>IF(YEAR(M$4)=PPLastYear,'Input|Reported opex'!M65,0)</f>
        <v>0</v>
      </c>
      <c r="N46" s="73">
        <f>IF(YEAR(N$4)=PPLastYear,'Input|Reported opex'!N65,0)</f>
        <v>0</v>
      </c>
      <c r="O46" s="73">
        <f>IF(YEAR(O$4)=PPLastYear,'Input|Reported opex'!O65,0)</f>
        <v>0</v>
      </c>
      <c r="P46" s="73">
        <f>IF(YEAR(P$4)=PPLastYear,'Input|Reported opex'!P65,0)</f>
        <v>0</v>
      </c>
      <c r="Q46" s="73">
        <f>IF(YEAR(Q$4)=PPLastYear,'Input|Reported opex'!Q65,0)</f>
        <v>0</v>
      </c>
      <c r="R46" s="73">
        <f>IF(YEAR(R$4)=PPLastYear,'Input|Reported opex'!R65,0)</f>
        <v>0</v>
      </c>
      <c r="S46" s="73">
        <f>IF(YEAR(S$4)=PPLastYear,'Input|Reported opex'!S65,0)</f>
        <v>0</v>
      </c>
    </row>
    <row r="47" spans="3:19" outlineLevel="1">
      <c r="C47" s="84" t="str">
        <f>C46</f>
        <v>Adjustment 4</v>
      </c>
      <c r="D47" s="16" t="s">
        <v>52</v>
      </c>
      <c r="E47" s="16" t="str">
        <f>$E$8</f>
        <v>$millions</v>
      </c>
      <c r="F47" s="118">
        <f>$F$8</f>
        <v>45809</v>
      </c>
      <c r="J47" s="77">
        <f>J46*IF($F46="nominal",LOOKUP($F47,Nominal_to_Real,'Input|Rate of change'!K$25:K$30),INDEX('Input|Rate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K47" s="77">
        <f>K46*IF($F46="nominal",LOOKUP($F47,Nominal_to_Real,'Input|Rate of change'!L$25:L$30),INDEX('Input|Rate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L47" s="77">
        <f>L46*IF($F46="nominal",LOOKUP($F47,Nominal_to_Real,'Input|Rate of change'!M$25:M$30),INDEX('Input|Rate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M47" s="77">
        <f>M46*IF($F46="nominal",LOOKUP($F47,Nominal_to_Real,'Input|Rate of change'!N$25:N$30),INDEX('Input|Rate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N47" s="110">
        <f>N46*IF($F46="nominal",LOOKUP($F47,Nominal_to_Real,'Input|Rate of change'!O$25:O$30),INDEX('Input|Rate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O47" s="77">
        <f>O46*IF($F46="nominal",LOOKUP($F47,Nominal_to_Real,'Input|Rate of change'!P$25:P$30),INDEX('Input|Rate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P47" s="77">
        <f>P46*IF($F46="nominal",LOOKUP($F47,Nominal_to_Real,'Input|Rate of change'!Q$25:Q$30),INDEX('Input|Rate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Q47" s="77">
        <f>Q46*IF($F46="nominal",LOOKUP($F47,Nominal_to_Real,'Input|Rate of change'!R$25:R$30),INDEX('Input|Rate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R47" s="77">
        <f>R46*IF($F46="nominal",LOOKUP($F47,Nominal_to_Real,'Input|Rate of change'!S$25:S$30),INDEX('Input|Rate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S47" s="77">
        <f>S46*IF($F46="nominal",LOOKUP($F47,Nominal_to_Real,'Input|Rate of change'!T$25:T$30),INDEX('Input|Rate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</row>
    <row r="48" spans="3:19" outlineLevel="1">
      <c r="C48" s="84"/>
      <c r="F48" s="118"/>
      <c r="J48" s="77"/>
      <c r="K48" s="77"/>
      <c r="L48" s="77"/>
      <c r="M48" s="77"/>
      <c r="N48" s="77"/>
      <c r="O48" s="77"/>
      <c r="P48" s="77"/>
      <c r="Q48" s="77"/>
      <c r="R48" s="73"/>
      <c r="S48" s="73"/>
    </row>
    <row r="49" spans="1:30" outlineLevel="1">
      <c r="C49" s="84" t="str">
        <f>'Input|Reported opex'!$C$66</f>
        <v>Adjustment 5</v>
      </c>
      <c r="D49" s="72" t="s">
        <v>132</v>
      </c>
      <c r="E49" s="16" t="str">
        <f>'Input|Reported opex'!$E$66</f>
        <v>$millions</v>
      </c>
      <c r="F49" s="118">
        <f>'Input|Reported opex'!$F$66</f>
        <v>44713</v>
      </c>
      <c r="J49" s="73">
        <f>IF(YEAR(J$4)=PPLastYear,'Input|Reported opex'!J66,0)</f>
        <v>0</v>
      </c>
      <c r="K49" s="73">
        <f>IF(YEAR(K$4)=PPLastYear,'Input|Reported opex'!K66,0)</f>
        <v>0</v>
      </c>
      <c r="L49" s="73">
        <f>IF(YEAR(L$4)=PPLastYear,'Input|Reported opex'!L66,0)</f>
        <v>0</v>
      </c>
      <c r="M49" s="73">
        <f>IF(YEAR(M$4)=PPLastYear,'Input|Reported opex'!M66,0)</f>
        <v>0</v>
      </c>
      <c r="N49" s="73">
        <f>IF(YEAR(N$4)=PPLastYear,'Input|Reported opex'!N66,0)</f>
        <v>0</v>
      </c>
      <c r="O49" s="73">
        <f>IF(YEAR(O$4)=PPLastYear,'Input|Reported opex'!O66,0)</f>
        <v>0</v>
      </c>
      <c r="P49" s="73">
        <f>IF(YEAR(P$4)=PPLastYear,'Input|Reported opex'!P66,0)</f>
        <v>0</v>
      </c>
      <c r="Q49" s="73">
        <f>IF(YEAR(Q$4)=PPLastYear,'Input|Reported opex'!Q66,0)</f>
        <v>0</v>
      </c>
      <c r="R49" s="73">
        <f>IF(YEAR(R$4)=PPLastYear,'Input|Reported opex'!R66,0)</f>
        <v>0</v>
      </c>
      <c r="S49" s="73">
        <f>IF(YEAR(S$4)=PPLastYear,'Input|Reported opex'!S66,0)</f>
        <v>0</v>
      </c>
    </row>
    <row r="50" spans="1:30" outlineLevel="1">
      <c r="C50" s="84" t="str">
        <f>C49</f>
        <v>Adjustment 5</v>
      </c>
      <c r="D50" s="16" t="s">
        <v>52</v>
      </c>
      <c r="E50" s="16" t="str">
        <f>$E$8</f>
        <v>$millions</v>
      </c>
      <c r="F50" s="118">
        <f>$F$8</f>
        <v>45809</v>
      </c>
      <c r="J50" s="77">
        <f>J49*IF($F49="nominal",LOOKUP($F50,Nominal_to_Real,'Input|Rate of change'!K$25:K$30),INDEX('Input|Rate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K50" s="77">
        <f>K49*IF($F49="nominal",LOOKUP($F50,Nominal_to_Real,'Input|Rate of change'!L$25:L$30),INDEX('Input|Rate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L50" s="77">
        <f>L49*IF($F49="nominal",LOOKUP($F50,Nominal_to_Real,'Input|Rate of change'!M$25:M$30),INDEX('Input|Rate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M50" s="77">
        <f>M49*IF($F49="nominal",LOOKUP($F50,Nominal_to_Real,'Input|Rate of change'!N$25:N$30),INDEX('Input|Rate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N50" s="110">
        <f>N49*IF($F49="nominal",LOOKUP($F50,Nominal_to_Real,'Input|Rate of change'!O$25:O$30),INDEX('Input|Rate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O50" s="77">
        <f>O49*IF($F49="nominal",LOOKUP($F50,Nominal_to_Real,'Input|Rate of change'!P$25:P$30),INDEX('Input|Rate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P50" s="77">
        <f>P49*IF($F49="nominal",LOOKUP($F50,Nominal_to_Real,'Input|Rate of change'!Q$25:Q$30),INDEX('Input|Rate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Q50" s="77">
        <f>Q49*IF($F49="nominal",LOOKUP($F50,Nominal_to_Real,'Input|Rate of change'!R$25:R$30),INDEX('Input|Rate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R50" s="77">
        <f>R49*IF($F49="nominal",LOOKUP($F50,Nominal_to_Real,'Input|Rate of change'!S$25:S$30),INDEX('Input|Rate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S50" s="77">
        <f>S49*IF($F49="nominal",LOOKUP($F50,Nominal_to_Real,'Input|Rate of change'!T$25:T$30),INDEX('Input|Rate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</row>
    <row r="51" spans="1:30" outlineLevel="1">
      <c r="C51" s="84"/>
      <c r="F51" s="118"/>
      <c r="J51" s="77"/>
      <c r="K51" s="77"/>
      <c r="L51" s="77"/>
      <c r="M51" s="77"/>
      <c r="N51" s="77"/>
      <c r="O51" s="77"/>
      <c r="P51" s="77"/>
      <c r="Q51" s="77"/>
      <c r="R51" s="77"/>
      <c r="S51" s="77"/>
    </row>
    <row r="52" spans="1:30" outlineLevel="1">
      <c r="C52" s="84" t="s">
        <v>88</v>
      </c>
      <c r="D52" s="16" t="s">
        <v>91</v>
      </c>
      <c r="E52" s="16" t="str">
        <f>$E$8</f>
        <v>$millions</v>
      </c>
      <c r="F52" s="118">
        <f>$F$8</f>
        <v>45809</v>
      </c>
      <c r="J52" s="77">
        <f>SUM(J33,J38,J41,J44,J47,J50)*'Input|Reported opex'!J70</f>
        <v>0</v>
      </c>
      <c r="K52" s="77">
        <f>SUM(K33,K38,K41,K44,K47,K50)*'Input|Reported opex'!K70</f>
        <v>0</v>
      </c>
      <c r="L52" s="77">
        <f>SUM(L33,L38,L41,L44,L47,L50)*'Input|Reported opex'!L70</f>
        <v>0</v>
      </c>
      <c r="M52" s="77">
        <f>SUM(M33,M38,M41,M44,M47,M50)*'Input|Reported opex'!M70</f>
        <v>0</v>
      </c>
      <c r="N52" s="77">
        <f>SUM(N33,N38,N41,N44,N47,N50)*'Input|Reported opex'!N70</f>
        <v>-27.771376658220468</v>
      </c>
      <c r="O52" s="77">
        <f>SUM(O33,O38,O41,O44,O47,O50)*'Input|Reported opex'!O70</f>
        <v>0</v>
      </c>
      <c r="P52" s="77">
        <f>SUM(P33,P38,P41,P44,P47,P50)*'Input|Reported opex'!P70</f>
        <v>0</v>
      </c>
      <c r="Q52" s="77">
        <f>SUM(Q33,Q38,Q41,Q44,Q47,Q50)*'Input|Reported opex'!Q70</f>
        <v>0</v>
      </c>
      <c r="R52" s="77">
        <f>SUM(R33,R38,R41,R44,R47,R50)*'Input|Reported opex'!R70</f>
        <v>0</v>
      </c>
      <c r="S52" s="77">
        <f>SUM(S33,S38,S41,S44,S47,S50)*'Input|Reported opex'!S70</f>
        <v>0</v>
      </c>
    </row>
    <row r="53" spans="1:30" outlineLevel="1">
      <c r="C53" s="84"/>
      <c r="F53" s="118"/>
      <c r="J53" s="77"/>
      <c r="K53" s="77"/>
      <c r="L53" s="77"/>
      <c r="M53" s="77"/>
      <c r="N53" s="77"/>
      <c r="O53" s="77"/>
      <c r="P53" s="77"/>
      <c r="Q53" s="77"/>
      <c r="R53" s="77"/>
      <c r="S53" s="77"/>
    </row>
    <row r="54" spans="1:30" outlineLevel="1">
      <c r="C54" s="128" t="s">
        <v>143</v>
      </c>
      <c r="D54" s="74" t="s">
        <v>91</v>
      </c>
      <c r="E54" s="74" t="str">
        <f>$E$8</f>
        <v>$millions</v>
      </c>
      <c r="F54" s="129">
        <f>$F$8</f>
        <v>45809</v>
      </c>
      <c r="J54" s="77">
        <f>SUM(J33,J35,J38,J41,J44,J47,J50,J52)</f>
        <v>0</v>
      </c>
      <c r="K54" s="77">
        <f t="shared" ref="K54:S54" si="5">SUM(K33,K35,K38,K41,K44,K47,K50,K52)</f>
        <v>0</v>
      </c>
      <c r="L54" s="77">
        <f t="shared" si="5"/>
        <v>0</v>
      </c>
      <c r="M54" s="77">
        <f t="shared" si="5"/>
        <v>0</v>
      </c>
      <c r="N54" s="77">
        <f t="shared" si="5"/>
        <v>437.67275324908155</v>
      </c>
      <c r="O54" s="77">
        <f t="shared" si="5"/>
        <v>0</v>
      </c>
      <c r="P54" s="77">
        <f t="shared" si="5"/>
        <v>0</v>
      </c>
      <c r="Q54" s="77">
        <f t="shared" si="5"/>
        <v>0</v>
      </c>
      <c r="R54" s="77">
        <f t="shared" si="5"/>
        <v>0</v>
      </c>
      <c r="S54" s="77">
        <f t="shared" si="5"/>
        <v>0</v>
      </c>
    </row>
    <row r="55" spans="1:30">
      <c r="J55" s="71"/>
      <c r="K55" s="71"/>
      <c r="L55" s="71"/>
    </row>
    <row r="56" spans="1:30" customFormat="1" ht="12.75">
      <c r="A56" s="37"/>
      <c r="B56" s="43" t="s">
        <v>144</v>
      </c>
      <c r="C56" s="37"/>
      <c r="D56" s="37"/>
      <c r="E56" s="37"/>
      <c r="F56" s="38"/>
      <c r="G56" s="38"/>
      <c r="H56" s="38"/>
      <c r="I56" s="38"/>
      <c r="J56" s="39"/>
      <c r="K56" s="40"/>
      <c r="L56" s="39"/>
      <c r="M56" s="40"/>
      <c r="N56" s="39"/>
      <c r="O56" s="39"/>
      <c r="P56" s="39"/>
      <c r="Q56" s="39"/>
      <c r="R56" s="39"/>
      <c r="S56" s="39"/>
      <c r="T56" s="39"/>
      <c r="U56" s="39"/>
      <c r="V56" s="40"/>
      <c r="W56" s="40"/>
      <c r="X56" s="41"/>
      <c r="Y56" s="41"/>
      <c r="Z56" s="41"/>
      <c r="AA56" s="41"/>
      <c r="AB56" s="41"/>
      <c r="AC56" s="42"/>
      <c r="AD56" s="42"/>
    </row>
    <row r="57" spans="1:30" outlineLevel="1"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1:30" outlineLevel="1">
      <c r="C58" s="9" t="s">
        <v>145</v>
      </c>
      <c r="D58" s="21" t="s">
        <v>33</v>
      </c>
      <c r="E58" s="21" t="s">
        <v>53</v>
      </c>
      <c r="F58" s="21" t="s">
        <v>56</v>
      </c>
      <c r="J58" s="120" t="str">
        <f>IF(YEAR(J$4)&gt;='Input|General'!$G$13,IF(YEAR(J$4)&lt;='Input|General'!$G$14,J$4,""),"")</f>
        <v/>
      </c>
      <c r="K58" s="120" t="str">
        <f>IF(YEAR(K$4)&gt;='Input|General'!$G$13,IF(YEAR(K$4)&lt;='Input|General'!$G$14,K$4,""),"")</f>
        <v/>
      </c>
      <c r="L58" s="120" t="str">
        <f>IF(YEAR(L$4)&gt;='Input|General'!$G$13,IF(YEAR(L$4)&lt;='Input|General'!$G$14,L$4,""),"")</f>
        <v/>
      </c>
      <c r="M58" s="120" t="str">
        <f>IF(YEAR(M$4)&gt;='Input|General'!$G$13,IF(YEAR(M$4)&lt;='Input|General'!$G$14,M$4,""),"")</f>
        <v/>
      </c>
      <c r="N58" s="120" t="str">
        <f>IF(YEAR(N$4)&gt;='Input|General'!$G$13,IF(YEAR(N$4)&lt;='Input|General'!$G$14,N$4,""),"")</f>
        <v/>
      </c>
      <c r="O58" s="120">
        <f>IF(YEAR(O$4)&gt;='Input|General'!$G$13,IF(YEAR(O$4)&lt;='Input|General'!$G$14,O$4,""),"")</f>
        <v>46174</v>
      </c>
      <c r="P58" s="120">
        <f>IF(YEAR(P$4)&gt;='Input|General'!$G$13,IF(YEAR(P$4)&lt;='Input|General'!$G$14,P$4,""),"")</f>
        <v>46539</v>
      </c>
      <c r="Q58" s="120">
        <f>IF(YEAR(Q$4)&gt;='Input|General'!$G$13,IF(YEAR(Q$4)&lt;='Input|General'!$G$14,Q$4,""),"")</f>
        <v>46905</v>
      </c>
      <c r="R58" s="120">
        <f>IF(YEAR(R$4)&gt;='Input|General'!$G$13,IF(YEAR(R$4)&lt;='Input|General'!$G$14,R$4,""),"")</f>
        <v>47270</v>
      </c>
      <c r="S58" s="120">
        <f>IF(YEAR(S$4)&gt;='Input|General'!$G$13,IF(YEAR(S$4)&lt;='Input|General'!$G$14,S$4,""),"")</f>
        <v>47635</v>
      </c>
    </row>
    <row r="59" spans="1:30" outlineLevel="1">
      <c r="C59" s="9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1:30" outlineLevel="1">
      <c r="B60" s="9"/>
      <c r="C60" s="78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1:30" outlineLevel="1">
      <c r="C61" s="15" t="s">
        <v>146</v>
      </c>
      <c r="D61" s="16" t="s">
        <v>52</v>
      </c>
      <c r="E61" s="16" t="s">
        <v>89</v>
      </c>
      <c r="F61" s="16" t="s">
        <v>105</v>
      </c>
      <c r="J61" s="79">
        <f ca="1">IF(J58=J4,AVERAGE(OFFSET('Input|Rate of change'!K95,0,0,COUNTA('Input|Rate of change'!$J$82:$M$82),1)),0)</f>
        <v>0</v>
      </c>
      <c r="K61" s="79">
        <f ca="1">IF(K58=K4,AVERAGE(OFFSET('Input|Rate of change'!L95,0,0,COUNTA('Input|Rate of change'!$J$82:$M$82),1)),0)</f>
        <v>0</v>
      </c>
      <c r="L61" s="79">
        <f ca="1">IF(L58=L4,AVERAGE(OFFSET('Input|Rate of change'!M95,0,0,COUNTA('Input|Rate of change'!$J$82:$M$82),1)),0)</f>
        <v>0</v>
      </c>
      <c r="M61" s="79">
        <f ca="1">IF(M58=M4,AVERAGE(OFFSET('Input|Rate of change'!N95,0,0,COUNTA('Input|Rate of change'!$J$82:$M$82),1)),0)</f>
        <v>0</v>
      </c>
      <c r="N61" s="79">
        <f ca="1">IF(N58=N4,AVERAGE(OFFSET('Input|Rate of change'!O95,0,0,COUNTA('Input|Rate of change'!$J$82:$M$82),1)),0)</f>
        <v>0</v>
      </c>
      <c r="O61" s="79">
        <f ca="1">IF(O58=O4,AVERAGE(OFFSET('Input|Rate of change'!P95,0,0,COUNTA('Input|Rate of change'!$J$82:$N82),1)),0)</f>
        <v>9.2676640752123157E-3</v>
      </c>
      <c r="P61" s="79">
        <f ca="1">IF(P58=P4,AVERAGE(OFFSET('Input|Rate of change'!Q95,0,0,COUNTA('Input|Rate of change'!$J$82:$N82),1)),0)</f>
        <v>8.8423333077578617E-3</v>
      </c>
      <c r="Q61" s="79">
        <f ca="1">IF(Q58=Q4,AVERAGE(OFFSET('Input|Rate of change'!R95,0,0,COUNTA('Input|Rate of change'!$J$82:$N82),1)),0)</f>
        <v>8.8458308531185054E-3</v>
      </c>
      <c r="R61" s="79">
        <f ca="1">IF(R58=R4,AVERAGE(OFFSET('Input|Rate of change'!S95,0,0,COUNTA('Input|Rate of change'!$J$82:$N82),1)),0)</f>
        <v>8.8289595445846351E-3</v>
      </c>
      <c r="S61" s="79">
        <f ca="1">IF(S58=S4,AVERAGE(OFFSET('Input|Rate of change'!T95,0,0,COUNTA('Input|Rate of change'!$J$82:$N82),1)),0)</f>
        <v>8.6818962844817348E-3</v>
      </c>
    </row>
    <row r="62" spans="1:30" outlineLevel="1">
      <c r="J62" s="79"/>
      <c r="K62" s="79"/>
      <c r="L62" s="79"/>
      <c r="M62" s="79"/>
      <c r="N62" s="79"/>
      <c r="O62" s="79"/>
      <c r="P62" s="79"/>
      <c r="Q62" s="79"/>
      <c r="R62" s="79"/>
      <c r="S62" s="79"/>
    </row>
    <row r="63" spans="1:30" outlineLevel="1">
      <c r="C63" s="15" t="s">
        <v>95</v>
      </c>
      <c r="D63" s="16" t="s">
        <v>52</v>
      </c>
      <c r="E63" s="16" t="s">
        <v>89</v>
      </c>
      <c r="F63" s="16" t="s">
        <v>105</v>
      </c>
      <c r="J63" s="79">
        <f>SUMPRODUCT('Input|Rate of change'!K36:K43,'Input|Rate of change'!K49:K56)</f>
        <v>0</v>
      </c>
      <c r="K63" s="79">
        <f>SUMPRODUCT('Input|Rate of change'!L36:L43,'Input|Rate of change'!L49:L56)</f>
        <v>0</v>
      </c>
      <c r="L63" s="79">
        <f>SUMPRODUCT('Input|Rate of change'!M36:M43,'Input|Rate of change'!M49:M56)</f>
        <v>0</v>
      </c>
      <c r="M63" s="79">
        <f>SUMPRODUCT('Input|Rate of change'!N36:N43,'Input|Rate of change'!N49:N56)</f>
        <v>0</v>
      </c>
      <c r="N63" s="79">
        <f>SUMPRODUCT('Input|Rate of change'!O36:O43,'Input|Rate of change'!O49:O56)</f>
        <v>0</v>
      </c>
      <c r="O63" s="79">
        <f>SUMPRODUCT('Input|Rate of change'!P36:P43,'Input|Rate of change'!P49:P56)</f>
        <v>9.4841715883541532E-3</v>
      </c>
      <c r="P63" s="79">
        <f>SUMPRODUCT('Input|Rate of change'!Q36:Q43,'Input|Rate of change'!Q49:Q56)</f>
        <v>6.7589859909169773E-3</v>
      </c>
      <c r="Q63" s="79">
        <f>SUMPRODUCT('Input|Rate of change'!R36:R43,'Input|Rate of change'!R49:R56)</f>
        <v>5.9823219186585326E-3</v>
      </c>
      <c r="R63" s="79">
        <f>SUMPRODUCT('Input|Rate of change'!S36:S43,'Input|Rate of change'!S49:S56)</f>
        <v>6.8668790652467674E-3</v>
      </c>
      <c r="S63" s="79">
        <f>SUMPRODUCT('Input|Rate of change'!T36:T43,'Input|Rate of change'!T49:T56)</f>
        <v>7.3403188199932384E-3</v>
      </c>
    </row>
    <row r="64" spans="1:30" outlineLevel="1">
      <c r="C64" s="15"/>
      <c r="J64" s="79"/>
      <c r="K64" s="79"/>
      <c r="L64" s="79"/>
      <c r="M64" s="79"/>
      <c r="N64" s="79"/>
      <c r="O64" s="79"/>
      <c r="P64" s="79"/>
      <c r="Q64" s="79"/>
      <c r="R64" s="79"/>
      <c r="S64" s="79"/>
    </row>
    <row r="65" spans="1:30" outlineLevel="1">
      <c r="C65" s="15" t="s">
        <v>147</v>
      </c>
      <c r="D65" s="16" t="s">
        <v>52</v>
      </c>
      <c r="E65" s="16" t="s">
        <v>89</v>
      </c>
      <c r="F65" s="16" t="s">
        <v>105</v>
      </c>
      <c r="J65" s="79">
        <f>'Input|Rate of change'!K105</f>
        <v>0</v>
      </c>
      <c r="K65" s="79">
        <f>'Input|Rate of change'!L105</f>
        <v>0</v>
      </c>
      <c r="L65" s="79">
        <f>'Input|Rate of change'!M105</f>
        <v>0</v>
      </c>
      <c r="M65" s="79">
        <f>'Input|Rate of change'!N105</f>
        <v>0</v>
      </c>
      <c r="N65" s="79">
        <f>'Input|Rate of change'!O105</f>
        <v>0</v>
      </c>
      <c r="O65" s="79">
        <f>'Input|Rate of change'!P105</f>
        <v>0.01</v>
      </c>
      <c r="P65" s="79">
        <f>'Input|Rate of change'!Q105</f>
        <v>0.01</v>
      </c>
      <c r="Q65" s="79">
        <f>'Input|Rate of change'!R105</f>
        <v>0.01</v>
      </c>
      <c r="R65" s="79">
        <f>'Input|Rate of change'!S105</f>
        <v>0.01</v>
      </c>
      <c r="S65" s="79">
        <f>'Input|Rate of change'!T105</f>
        <v>0.01</v>
      </c>
    </row>
    <row r="66" spans="1:30" outlineLevel="1">
      <c r="C66" s="15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1:30" outlineLevel="1">
      <c r="C67" s="80" t="s">
        <v>148</v>
      </c>
      <c r="D67" s="76" t="s">
        <v>52</v>
      </c>
      <c r="E67" s="76" t="s">
        <v>89</v>
      </c>
      <c r="F67" s="76" t="s">
        <v>105</v>
      </c>
      <c r="J67" s="100">
        <f ca="1">(1+J61)*(1+J63)*(1-J65)-1</f>
        <v>0</v>
      </c>
      <c r="K67" s="100">
        <f t="shared" ref="K67:S67" ca="1" si="6">(1+K61)*(1+K63)*(1-K65)-1</f>
        <v>0</v>
      </c>
      <c r="L67" s="100">
        <f t="shared" ca="1" si="6"/>
        <v>0</v>
      </c>
      <c r="M67" s="100">
        <f t="shared" ca="1" si="6"/>
        <v>0</v>
      </c>
      <c r="N67" s="100">
        <f t="shared" ca="1" si="6"/>
        <v>0</v>
      </c>
      <c r="O67" s="100">
        <f t="shared" ca="1" si="6"/>
        <v>8.6513344620802179E-3</v>
      </c>
      <c r="P67" s="100">
        <f t="shared" ca="1" si="6"/>
        <v>5.5044736605724953E-3</v>
      </c>
      <c r="Q67" s="100">
        <f t="shared" ca="1" si="6"/>
        <v>4.7322606657826949E-3</v>
      </c>
      <c r="R67" s="100">
        <f t="shared" ca="1" si="6"/>
        <v>5.5989013472232951E-3</v>
      </c>
      <c r="S67" s="100">
        <f t="shared" ca="1" si="6"/>
        <v>5.9250835612534303E-3</v>
      </c>
    </row>
    <row r="68" spans="1:30" outlineLevel="1">
      <c r="C68" s="9" t="s">
        <v>149</v>
      </c>
      <c r="D68" s="16" t="s">
        <v>52</v>
      </c>
      <c r="E68" s="16" t="s">
        <v>89</v>
      </c>
      <c r="F68" s="16" t="s">
        <v>105</v>
      </c>
      <c r="J68" s="79" t="str">
        <f t="array" ref="J68">IF(J$58=J$4,PRODUCT(1+$J67:J67)-1,"")</f>
        <v/>
      </c>
      <c r="K68" s="79" t="str">
        <f t="array" ref="K68">IF(K$58=K$4,PRODUCT(1+$J67:K67)-1,"")</f>
        <v/>
      </c>
      <c r="L68" s="79" t="str">
        <f t="array" ref="L68">IF(L$58=L$4,PRODUCT(1+$J67:L67)-1,"")</f>
        <v/>
      </c>
      <c r="M68" s="79" t="str">
        <f t="array" ref="M68">IF(M$58=M$4,PRODUCT(1+$J67:M67)-1,"")</f>
        <v/>
      </c>
      <c r="N68" s="79" t="str">
        <f t="array" ref="N68">IF(N$58=N$4,PRODUCT(1+$J67:N67)-1,"")</f>
        <v/>
      </c>
      <c r="O68" s="79">
        <f t="array" aca="1" ref="O68" ca="1">IF(O$58=O$4,PRODUCT(1+$J67:O67)-1,"")</f>
        <v>8.6513344620802179E-3</v>
      </c>
      <c r="P68" s="79">
        <f t="array" aca="1" ref="P68" ca="1">IF(P$58=P$4,PRODUCT(1+$J67:P67)-1,"")</f>
        <v>1.420342916532813E-2</v>
      </c>
      <c r="Q68" s="79">
        <f t="array" aca="1" ref="Q68" ca="1">IF(Q$58=Q$4,PRODUCT(1+$J67:Q67)-1,"")</f>
        <v>1.9002904160269063E-2</v>
      </c>
      <c r="R68" s="79">
        <f t="array" aca="1" ref="R68" ca="1">IF(R$58=R$4,PRODUCT(1+$J67:R67)-1,"")</f>
        <v>2.4708200893196475E-2</v>
      </c>
      <c r="S68" s="79">
        <f t="array" aca="1" ref="S68" ca="1">IF(S$58=S$4,PRODUCT(1+$J67:S67)-1,"")</f>
        <v>3.0779682609390235E-2</v>
      </c>
    </row>
    <row r="69" spans="1:30">
      <c r="J69" s="71"/>
      <c r="K69" s="71"/>
      <c r="L69" s="71"/>
      <c r="M69" s="71"/>
      <c r="N69" s="71"/>
      <c r="O69" s="81"/>
      <c r="P69" s="81"/>
      <c r="Q69" s="81"/>
      <c r="R69" s="81"/>
      <c r="S69" s="81"/>
    </row>
    <row r="70" spans="1:30" customFormat="1" ht="12.75">
      <c r="A70" s="37"/>
      <c r="B70" s="43" t="s">
        <v>150</v>
      </c>
      <c r="C70" s="37"/>
      <c r="D70" s="37"/>
      <c r="E70" s="37"/>
      <c r="F70" s="38"/>
      <c r="G70" s="38"/>
      <c r="H70" s="38"/>
      <c r="I70" s="38"/>
      <c r="J70" s="39"/>
      <c r="K70" s="40"/>
      <c r="L70" s="39"/>
      <c r="M70" s="40"/>
      <c r="N70" s="39"/>
      <c r="O70" s="39"/>
      <c r="P70" s="39"/>
      <c r="Q70" s="39"/>
      <c r="R70" s="39"/>
      <c r="S70" s="39"/>
      <c r="T70" s="39"/>
      <c r="U70" s="39"/>
      <c r="V70" s="40"/>
      <c r="W70" s="40"/>
      <c r="X70" s="41"/>
      <c r="Y70" s="41"/>
      <c r="Z70" s="41"/>
      <c r="AA70" s="41"/>
      <c r="AB70" s="41"/>
      <c r="AC70" s="42"/>
      <c r="AD70" s="42"/>
    </row>
    <row r="71" spans="1:30" outlineLevel="1">
      <c r="C71" s="15"/>
      <c r="J71" s="71"/>
      <c r="K71" s="71"/>
      <c r="L71" s="71"/>
    </row>
    <row r="72" spans="1:30" outlineLevel="1">
      <c r="C72" s="9" t="s">
        <v>151</v>
      </c>
      <c r="D72" s="21" t="s">
        <v>33</v>
      </c>
      <c r="E72" s="21" t="s">
        <v>53</v>
      </c>
      <c r="F72" s="21" t="s">
        <v>56</v>
      </c>
      <c r="J72" s="120" t="str">
        <f>IF(YEAR(J$4)&gt;='Input|General'!$G$13,IF(YEAR(J$4)&lt;='Input|General'!$G$14,J$4,""),"")</f>
        <v/>
      </c>
      <c r="K72" s="120" t="str">
        <f>IF(YEAR(K$4)&gt;='Input|General'!$G$13,IF(YEAR(K$4)&lt;='Input|General'!$G$14,K$4,""),"")</f>
        <v/>
      </c>
      <c r="L72" s="120" t="str">
        <f>IF(YEAR(L$4)&gt;='Input|General'!$G$13,IF(YEAR(L$4)&lt;='Input|General'!$G$14,L$4,""),"")</f>
        <v/>
      </c>
      <c r="M72" s="120" t="str">
        <f>IF(YEAR(M$4)&gt;='Input|General'!$G$13,IF(YEAR(M$4)&lt;='Input|General'!$G$14,M$4,""),"")</f>
        <v/>
      </c>
      <c r="N72" s="120" t="str">
        <f>IF(YEAR(N$4)&gt;='Input|General'!$G$13,IF(YEAR(N$4)&lt;='Input|General'!$G$14,N$4,""),"")</f>
        <v/>
      </c>
      <c r="O72" s="120">
        <f>IF(YEAR(O$4)&gt;='Input|General'!$G$13,IF(YEAR(O$4)&lt;='Input|General'!$G$14,O$4,""),"")</f>
        <v>46174</v>
      </c>
      <c r="P72" s="120">
        <f>IF(YEAR(P$4)&gt;='Input|General'!$G$13,IF(YEAR(P$4)&lt;='Input|General'!$G$14,P$4,""),"")</f>
        <v>46539</v>
      </c>
      <c r="Q72" s="120">
        <f>IF(YEAR(Q$4)&gt;='Input|General'!$G$13,IF(YEAR(Q$4)&lt;='Input|General'!$G$14,Q$4,""),"")</f>
        <v>46905</v>
      </c>
      <c r="R72" s="120">
        <f>IF(YEAR(R$4)&gt;='Input|General'!$G$13,IF(YEAR(R$4)&lt;='Input|General'!$G$14,R$4,""),"")</f>
        <v>47270</v>
      </c>
      <c r="S72" s="120">
        <f>IF(YEAR(S$4)&gt;='Input|General'!$G$13,IF(YEAR(S$4)&lt;='Input|General'!$G$14,S$4,""),"")</f>
        <v>47635</v>
      </c>
    </row>
    <row r="73" spans="1:30" outlineLevel="1">
      <c r="C73" s="9"/>
      <c r="J73" s="14"/>
      <c r="K73" s="14"/>
      <c r="L73" s="14"/>
      <c r="M73" s="14"/>
      <c r="N73" s="14"/>
      <c r="O73" s="14"/>
      <c r="P73" s="14"/>
      <c r="Q73" s="14"/>
      <c r="R73" s="14"/>
      <c r="S73" s="14"/>
    </row>
    <row r="74" spans="1:30" outlineLevel="1">
      <c r="C74" s="82" t="str">
        <f>'Input|Step changes'!C12</f>
        <v>Smart Meter Data Storage</v>
      </c>
      <c r="D74" s="16" t="s">
        <v>52</v>
      </c>
      <c r="E74" s="16" t="str">
        <f t="shared" ref="E74:E92" si="7">$E$8</f>
        <v>$millions</v>
      </c>
      <c r="F74" s="118">
        <f t="shared" ref="F74:F84" si="8">$F$8</f>
        <v>45809</v>
      </c>
      <c r="J74" s="86">
        <f>'Input|Step changes'!J12*IF('Input|Step changes'!$F12="nominal",LOOKUP($F74,Nominal_to_Real,'Input|Rate of change'!N$25:N$30),INDEX('Input|Rate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K74" s="86">
        <f>'Input|Step changes'!K12*IF('Input|Step changes'!$F12="nominal",LOOKUP($F74,Nominal_to_Real,'Input|Rate of change'!O$25:O$30),INDEX('Input|Rate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L74" s="86">
        <f>'Input|Step changes'!L12*IF('Input|Step changes'!$F12="nominal",LOOKUP($F74,Nominal_to_Real,'Input|Rate of change'!P$25:P$30),INDEX('Input|Rate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M74" s="86">
        <f>'Input|Step changes'!M12*IF('Input|Step changes'!$F12="nominal",LOOKUP($F74,Nominal_to_Real,'Input|Rate of change'!Q$25:Q$30),INDEX('Input|Rate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N74" s="86">
        <f>'Input|Step changes'!N12*IF('Input|Step changes'!$F12="nominal",LOOKUP($F74,Nominal_to_Real,'Input|Rate of change'!R$25:R$30),INDEX('Input|Rate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O74" s="86">
        <f>'Input|Step changes'!O12*IF('Input|Step changes'!$F12="nominal",LOOKUP($F74,Nominal_to_Real,'Input|Rate of change'!S$25:S$30),INDEX('Input|Rate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2.1056069780480002</v>
      </c>
      <c r="P74" s="86">
        <f>'Input|Step changes'!P12*IF('Input|Step changes'!$F12="nominal",LOOKUP($F74,Nominal_to_Real,'Input|Rate of change'!T$25:T$30),INDEX('Input|Rate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2.541965475644</v>
      </c>
      <c r="Q74" s="86">
        <f>'Input|Step changes'!Q12*IF('Input|Step changes'!$F12="nominal",LOOKUP($F74,Nominal_to_Real,'Input|Rate of change'!U$25:U$30),INDEX('Input|Rate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2.9386552131159993</v>
      </c>
      <c r="R74" s="86">
        <f>'Input|Step changes'!R12*IF('Input|Step changes'!$F12="nominal",LOOKUP($F74,Nominal_to_Real,'Input|Rate of change'!V$25:V$30),INDEX('Input|Rate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3.3353449505879995</v>
      </c>
      <c r="S74" s="86">
        <f>'Input|Step changes'!S12*IF('Input|Step changes'!$F12="nominal",LOOKUP($F74,Nominal_to_Real,'Input|Rate of change'!W$25:W$30),INDEX('Input|Rate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3.7241413108199999</v>
      </c>
    </row>
    <row r="75" spans="1:30" outlineLevel="1">
      <c r="C75" s="82">
        <f>'Input|Step changes'!C13</f>
        <v>0</v>
      </c>
      <c r="D75" s="16" t="s">
        <v>52</v>
      </c>
      <c r="E75" s="16" t="str">
        <f t="shared" si="7"/>
        <v>$millions</v>
      </c>
      <c r="F75" s="118">
        <f t="shared" si="8"/>
        <v>45809</v>
      </c>
      <c r="J75" s="86">
        <f>'Input|Step changes'!J13*IF('Input|Step changes'!$F13="nominal",LOOKUP($F75,Nominal_to_Real,'Input|Rate of change'!N$25:N$30),INDEX('Input|Rate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K75" s="86">
        <f>'Input|Step changes'!K13*IF('Input|Step changes'!$F13="nominal",LOOKUP($F75,Nominal_to_Real,'Input|Rate of change'!O$25:O$30),INDEX('Input|Rate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L75" s="86">
        <f>'Input|Step changes'!L13*IF('Input|Step changes'!$F13="nominal",LOOKUP($F75,Nominal_to_Real,'Input|Rate of change'!P$25:P$30),INDEX('Input|Rate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M75" s="86">
        <f>'Input|Step changes'!M13*IF('Input|Step changes'!$F13="nominal",LOOKUP($F75,Nominal_to_Real,'Input|Rate of change'!Q$25:Q$30),INDEX('Input|Rate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N75" s="86">
        <f>'Input|Step changes'!N13*IF('Input|Step changes'!$F13="nominal",LOOKUP($F75,Nominal_to_Real,'Input|Rate of change'!R$25:R$30),INDEX('Input|Rate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O75" s="86">
        <f>'Input|Step changes'!O13*IF('Input|Step changes'!$F13="nominal",LOOKUP($F75,Nominal_to_Real,'Input|Rate of change'!S$25:S$30),INDEX('Input|Rate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P75" s="86">
        <f>'Input|Step changes'!P13*IF('Input|Step changes'!$F13="nominal",LOOKUP($F75,Nominal_to_Real,'Input|Rate of change'!T$25:T$30),INDEX('Input|Rate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Q75" s="86">
        <f>'Input|Step changes'!Q13*IF('Input|Step changes'!$F13="nominal",LOOKUP($F75,Nominal_to_Real,'Input|Rate of change'!U$25:U$30),INDEX('Input|Rate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R75" s="86">
        <f>'Input|Step changes'!R13*IF('Input|Step changes'!$F13="nominal",LOOKUP($F75,Nominal_to_Real,'Input|Rate of change'!V$25:V$30),INDEX('Input|Rate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S75" s="86">
        <f>'Input|Step changes'!S13*IF('Input|Step changes'!$F13="nominal",LOOKUP($F75,Nominal_to_Real,'Input|Rate of change'!W$25:W$30),INDEX('Input|Rate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</row>
    <row r="76" spans="1:30" outlineLevel="1">
      <c r="C76" s="82">
        <f>'Input|Step changes'!C14</f>
        <v>0</v>
      </c>
      <c r="D76" s="16" t="s">
        <v>52</v>
      </c>
      <c r="E76" s="16" t="str">
        <f t="shared" si="7"/>
        <v>$millions</v>
      </c>
      <c r="F76" s="118">
        <f t="shared" si="8"/>
        <v>45809</v>
      </c>
      <c r="J76" s="86">
        <f>'Input|Step changes'!J14*IF('Input|Step changes'!$F14="nominal",LOOKUP($F76,Nominal_to_Real,'Input|Rate of change'!N$25:N$30),INDEX('Input|Rate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K76" s="86">
        <f>'Input|Step changes'!K14*IF('Input|Step changes'!$F14="nominal",LOOKUP($F76,Nominal_to_Real,'Input|Rate of change'!O$25:O$30),INDEX('Input|Rate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L76" s="86">
        <f>'Input|Step changes'!L14*IF('Input|Step changes'!$F14="nominal",LOOKUP($F76,Nominal_to_Real,'Input|Rate of change'!P$25:P$30),INDEX('Input|Rate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M76" s="86">
        <f>'Input|Step changes'!M14*IF('Input|Step changes'!$F14="nominal",LOOKUP($F76,Nominal_to_Real,'Input|Rate of change'!Q$25:Q$30),INDEX('Input|Rate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N76" s="86">
        <f>'Input|Step changes'!N14*IF('Input|Step changes'!$F14="nominal",LOOKUP($F76,Nominal_to_Real,'Input|Rate of change'!R$25:R$30),INDEX('Input|Rate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O76" s="86">
        <f>'Input|Step changes'!O14*IF('Input|Step changes'!$F14="nominal",LOOKUP($F76,Nominal_to_Real,'Input|Rate of change'!S$25:S$30),INDEX('Input|Rate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P76" s="86">
        <f>'Input|Step changes'!P14*IF('Input|Step changes'!$F14="nominal",LOOKUP($F76,Nominal_to_Real,'Input|Rate of change'!T$25:T$30),INDEX('Input|Rate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Q76" s="86">
        <f>'Input|Step changes'!Q14*IF('Input|Step changes'!$F14="nominal",LOOKUP($F76,Nominal_to_Real,'Input|Rate of change'!U$25:U$30),INDEX('Input|Rate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R76" s="86">
        <f>'Input|Step changes'!R14*IF('Input|Step changes'!$F14="nominal",LOOKUP($F76,Nominal_to_Real,'Input|Rate of change'!V$25:V$30),INDEX('Input|Rate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S76" s="86">
        <f>'Input|Step changes'!S14*IF('Input|Step changes'!$F14="nominal",LOOKUP($F76,Nominal_to_Real,'Input|Rate of change'!W$25:W$30),INDEX('Input|Rate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</row>
    <row r="77" spans="1:30" outlineLevel="1">
      <c r="C77" s="82">
        <f>'Input|Step changes'!C15</f>
        <v>0</v>
      </c>
      <c r="D77" s="16" t="s">
        <v>52</v>
      </c>
      <c r="E77" s="16" t="str">
        <f t="shared" si="7"/>
        <v>$millions</v>
      </c>
      <c r="F77" s="118">
        <f t="shared" si="8"/>
        <v>45809</v>
      </c>
      <c r="J77" s="86">
        <f>'Input|Step changes'!J15*IF('Input|Step changes'!$F15="nominal",LOOKUP($F77,Nominal_to_Real,'Input|Rate of change'!N$25:N$30),INDEX('Input|Rate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K77" s="86">
        <f>'Input|Step changes'!K15*IF('Input|Step changes'!$F15="nominal",LOOKUP($F77,Nominal_to_Real,'Input|Rate of change'!O$25:O$30),INDEX('Input|Rate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L77" s="86">
        <f>'Input|Step changes'!L15*IF('Input|Step changes'!$F15="nominal",LOOKUP($F77,Nominal_to_Real,'Input|Rate of change'!P$25:P$30),INDEX('Input|Rate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M77" s="86">
        <f>'Input|Step changes'!M15*IF('Input|Step changes'!$F15="nominal",LOOKUP($F77,Nominal_to_Real,'Input|Rate of change'!Q$25:Q$30),INDEX('Input|Rate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N77" s="86">
        <f>'Input|Step changes'!N15*IF('Input|Step changes'!$F15="nominal",LOOKUP($F77,Nominal_to_Real,'Input|Rate of change'!R$25:R$30),INDEX('Input|Rate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O77" s="86">
        <f>'Input|Step changes'!O15*IF('Input|Step changes'!$F15="nominal",LOOKUP($F77,Nominal_to_Real,'Input|Rate of change'!S$25:S$30),INDEX('Input|Rate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P77" s="86">
        <f>'Input|Step changes'!P15*IF('Input|Step changes'!$F15="nominal",LOOKUP($F77,Nominal_to_Real,'Input|Rate of change'!T$25:T$30),INDEX('Input|Rate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Q77" s="86">
        <f>'Input|Step changes'!Q15*IF('Input|Step changes'!$F15="nominal",LOOKUP($F77,Nominal_to_Real,'Input|Rate of change'!U$25:U$30),INDEX('Input|Rate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R77" s="86">
        <f>'Input|Step changes'!R15*IF('Input|Step changes'!$F15="nominal",LOOKUP($F77,Nominal_to_Real,'Input|Rate of change'!V$25:V$30),INDEX('Input|Rate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S77" s="86">
        <f>'Input|Step changes'!S15*IF('Input|Step changes'!$F15="nominal",LOOKUP($F77,Nominal_to_Real,'Input|Rate of change'!W$25:W$30),INDEX('Input|Rate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</row>
    <row r="78" spans="1:30" outlineLevel="1">
      <c r="C78" s="82">
        <f>'Input|Step changes'!C16</f>
        <v>0</v>
      </c>
      <c r="D78" s="16" t="s">
        <v>52</v>
      </c>
      <c r="E78" s="16" t="str">
        <f t="shared" si="7"/>
        <v>$millions</v>
      </c>
      <c r="F78" s="118">
        <f t="shared" si="8"/>
        <v>45809</v>
      </c>
      <c r="J78" s="86">
        <f>'Input|Step changes'!J16*IF('Input|Step changes'!$F16="nominal",LOOKUP($F78,Nominal_to_Real,'Input|Rate of change'!N$25:N$30),INDEX('Input|Rate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K78" s="86">
        <f>'Input|Step changes'!K16*IF('Input|Step changes'!$F16="nominal",LOOKUP($F78,Nominal_to_Real,'Input|Rate of change'!O$25:O$30),INDEX('Input|Rate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L78" s="86">
        <f>'Input|Step changes'!L16*IF('Input|Step changes'!$F16="nominal",LOOKUP($F78,Nominal_to_Real,'Input|Rate of change'!P$25:P$30),INDEX('Input|Rate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M78" s="86">
        <f>'Input|Step changes'!M16*IF('Input|Step changes'!$F16="nominal",LOOKUP($F78,Nominal_to_Real,'Input|Rate of change'!Q$25:Q$30),INDEX('Input|Rate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N78" s="86">
        <f>'Input|Step changes'!N16*IF('Input|Step changes'!$F16="nominal",LOOKUP($F78,Nominal_to_Real,'Input|Rate of change'!R$25:R$30),INDEX('Input|Rate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O78" s="86">
        <f>'Input|Step changes'!O16*IF('Input|Step changes'!$F16="nominal",LOOKUP($F78,Nominal_to_Real,'Input|Rate of change'!S$25:S$30),INDEX('Input|Rate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P78" s="86">
        <f>'Input|Step changes'!P16*IF('Input|Step changes'!$F16="nominal",LOOKUP($F78,Nominal_to_Real,'Input|Rate of change'!T$25:T$30),INDEX('Input|Rate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Q78" s="86">
        <f>'Input|Step changes'!Q16*IF('Input|Step changes'!$F16="nominal",LOOKUP($F78,Nominal_to_Real,'Input|Rate of change'!U$25:U$30),INDEX('Input|Rate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R78" s="86">
        <f>'Input|Step changes'!R16*IF('Input|Step changes'!$F16="nominal",LOOKUP($F78,Nominal_to_Real,'Input|Rate of change'!V$25:V$30),INDEX('Input|Rate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S78" s="86">
        <f>'Input|Step changes'!S16*IF('Input|Step changes'!$F16="nominal",LOOKUP($F78,Nominal_to_Real,'Input|Rate of change'!W$25:W$30),INDEX('Input|Rate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</row>
    <row r="79" spans="1:30" outlineLevel="1">
      <c r="C79" s="82">
        <f>'Input|Step changes'!C17</f>
        <v>0</v>
      </c>
      <c r="D79" s="16" t="s">
        <v>52</v>
      </c>
      <c r="E79" s="16" t="str">
        <f t="shared" si="7"/>
        <v>$millions</v>
      </c>
      <c r="F79" s="118">
        <f t="shared" si="8"/>
        <v>45809</v>
      </c>
      <c r="J79" s="86">
        <f>'Input|Step changes'!J17*IF('Input|Step changes'!$F17="nominal",LOOKUP($F79,Nominal_to_Real,'Input|Rate of change'!N$25:N$30),INDEX('Input|Rate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K79" s="86">
        <f>'Input|Step changes'!K17*IF('Input|Step changes'!$F17="nominal",LOOKUP($F79,Nominal_to_Real,'Input|Rate of change'!O$25:O$30),INDEX('Input|Rate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L79" s="86">
        <f>'Input|Step changes'!L17*IF('Input|Step changes'!$F17="nominal",LOOKUP($F79,Nominal_to_Real,'Input|Rate of change'!P$25:P$30),INDEX('Input|Rate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M79" s="86">
        <f>'Input|Step changes'!M17*IF('Input|Step changes'!$F17="nominal",LOOKUP($F79,Nominal_to_Real,'Input|Rate of change'!Q$25:Q$30),INDEX('Input|Rate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N79" s="86">
        <f>'Input|Step changes'!N17*IF('Input|Step changes'!$F17="nominal",LOOKUP($F79,Nominal_to_Real,'Input|Rate of change'!R$25:R$30),INDEX('Input|Rate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O79" s="86">
        <f>'Input|Step changes'!O17*IF('Input|Step changes'!$F17="nominal",LOOKUP($F79,Nominal_to_Real,'Input|Rate of change'!S$25:S$30),INDEX('Input|Rate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P79" s="86">
        <f>'Input|Step changes'!P17*IF('Input|Step changes'!$F17="nominal",LOOKUP($F79,Nominal_to_Real,'Input|Rate of change'!T$25:T$30),INDEX('Input|Rate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Q79" s="86">
        <f>'Input|Step changes'!Q17*IF('Input|Step changes'!$F17="nominal",LOOKUP($F79,Nominal_to_Real,'Input|Rate of change'!U$25:U$30),INDEX('Input|Rate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R79" s="86">
        <f>'Input|Step changes'!R17*IF('Input|Step changes'!$F17="nominal",LOOKUP($F79,Nominal_to_Real,'Input|Rate of change'!V$25:V$30),INDEX('Input|Rate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S79" s="86">
        <f>'Input|Step changes'!S17*IF('Input|Step changes'!$F17="nominal",LOOKUP($F79,Nominal_to_Real,'Input|Rate of change'!W$25:W$30),INDEX('Input|Rate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</row>
    <row r="80" spans="1:30" outlineLevel="1">
      <c r="C80" s="82">
        <f>'Input|Step changes'!C18</f>
        <v>0</v>
      </c>
      <c r="D80" s="16" t="s">
        <v>52</v>
      </c>
      <c r="E80" s="16" t="str">
        <f t="shared" si="7"/>
        <v>$millions</v>
      </c>
      <c r="F80" s="118">
        <f t="shared" si="8"/>
        <v>45809</v>
      </c>
      <c r="J80" s="86">
        <f>'Input|Step changes'!J18*IF('Input|Step changes'!$F18="nominal",LOOKUP($F80,Nominal_to_Real,'Input|Rate of change'!N$25:N$30),INDEX('Input|Rate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K80" s="86">
        <f>'Input|Step changes'!K18*IF('Input|Step changes'!$F18="nominal",LOOKUP($F80,Nominal_to_Real,'Input|Rate of change'!O$25:O$30),INDEX('Input|Rate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L80" s="86">
        <f>'Input|Step changes'!L18*IF('Input|Step changes'!$F18="nominal",LOOKUP($F80,Nominal_to_Real,'Input|Rate of change'!P$25:P$30),INDEX('Input|Rate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M80" s="86">
        <f>'Input|Step changes'!M18*IF('Input|Step changes'!$F18="nominal",LOOKUP($F80,Nominal_to_Real,'Input|Rate of change'!Q$25:Q$30),INDEX('Input|Rate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N80" s="86">
        <f>'Input|Step changes'!N18*IF('Input|Step changes'!$F18="nominal",LOOKUP($F80,Nominal_to_Real,'Input|Rate of change'!R$25:R$30),INDEX('Input|Rate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O80" s="86">
        <f>'Input|Step changes'!O18*IF('Input|Step changes'!$F18="nominal",LOOKUP($F80,Nominal_to_Real,'Input|Rate of change'!S$25:S$30),INDEX('Input|Rate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P80" s="86">
        <f>'Input|Step changes'!P18*IF('Input|Step changes'!$F18="nominal",LOOKUP($F80,Nominal_to_Real,'Input|Rate of change'!T$25:T$30),INDEX('Input|Rate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Q80" s="86">
        <f>'Input|Step changes'!Q18*IF('Input|Step changes'!$F18="nominal",LOOKUP($F80,Nominal_to_Real,'Input|Rate of change'!U$25:U$30),INDEX('Input|Rate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R80" s="86">
        <f>'Input|Step changes'!R18*IF('Input|Step changes'!$F18="nominal",LOOKUP($F80,Nominal_to_Real,'Input|Rate of change'!V$25:V$30),INDEX('Input|Rate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S80" s="86">
        <f>'Input|Step changes'!S18*IF('Input|Step changes'!$F18="nominal",LOOKUP($F80,Nominal_to_Real,'Input|Rate of change'!W$25:W$30),INDEX('Input|Rate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</row>
    <row r="81" spans="1:38" outlineLevel="1">
      <c r="C81" s="82">
        <f>'Input|Step changes'!C19</f>
        <v>0</v>
      </c>
      <c r="D81" s="16" t="s">
        <v>52</v>
      </c>
      <c r="E81" s="16" t="str">
        <f t="shared" si="7"/>
        <v>$millions</v>
      </c>
      <c r="F81" s="118">
        <f t="shared" si="8"/>
        <v>45809</v>
      </c>
      <c r="J81" s="86">
        <f>'Input|Step changes'!J19*IF('Input|Step changes'!$F19="nominal",LOOKUP($F81,Nominal_to_Real,'Input|Rate of change'!N$25:N$30),INDEX('Input|Rate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K81" s="86">
        <f>'Input|Step changes'!K19*IF('Input|Step changes'!$F19="nominal",LOOKUP($F81,Nominal_to_Real,'Input|Rate of change'!O$25:O$30),INDEX('Input|Rate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L81" s="86">
        <f>'Input|Step changes'!L19*IF('Input|Step changes'!$F19="nominal",LOOKUP($F81,Nominal_to_Real,'Input|Rate of change'!P$25:P$30),INDEX('Input|Rate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M81" s="86">
        <f>'Input|Step changes'!M19*IF('Input|Step changes'!$F19="nominal",LOOKUP($F81,Nominal_to_Real,'Input|Rate of change'!Q$25:Q$30),INDEX('Input|Rate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N81" s="86">
        <f>'Input|Step changes'!N19*IF('Input|Step changes'!$F19="nominal",LOOKUP($F81,Nominal_to_Real,'Input|Rate of change'!R$25:R$30),INDEX('Input|Rate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O81" s="86">
        <f>'Input|Step changes'!O19*IF('Input|Step changes'!$F19="nominal",LOOKUP($F81,Nominal_to_Real,'Input|Rate of change'!S$25:S$30),INDEX('Input|Rate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P81" s="86">
        <f>'Input|Step changes'!P19*IF('Input|Step changes'!$F19="nominal",LOOKUP($F81,Nominal_to_Real,'Input|Rate of change'!T$25:T$30),INDEX('Input|Rate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Q81" s="86">
        <f>'Input|Step changes'!Q19*IF('Input|Step changes'!$F19="nominal",LOOKUP($F81,Nominal_to_Real,'Input|Rate of change'!U$25:U$30),INDEX('Input|Rate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R81" s="86">
        <f>'Input|Step changes'!R19*IF('Input|Step changes'!$F19="nominal",LOOKUP($F81,Nominal_to_Real,'Input|Rate of change'!V$25:V$30),INDEX('Input|Rate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S81" s="86">
        <f>'Input|Step changes'!S19*IF('Input|Step changes'!$F19="nominal",LOOKUP($F81,Nominal_to_Real,'Input|Rate of change'!W$25:W$30),INDEX('Input|Rate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</row>
    <row r="82" spans="1:38" outlineLevel="1">
      <c r="C82" s="82">
        <f>'Input|Step changes'!C20</f>
        <v>0</v>
      </c>
      <c r="D82" s="16" t="s">
        <v>52</v>
      </c>
      <c r="E82" s="16" t="str">
        <f t="shared" si="7"/>
        <v>$millions</v>
      </c>
      <c r="F82" s="118">
        <f t="shared" si="8"/>
        <v>45809</v>
      </c>
      <c r="J82" s="86">
        <f>'Input|Step changes'!J20*IF('Input|Step changes'!$F20="nominal",LOOKUP($F82,Nominal_to_Real,'Input|Rate of change'!N$25:N$30),INDEX('Input|Rate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K82" s="86">
        <f>'Input|Step changes'!K20*IF('Input|Step changes'!$F20="nominal",LOOKUP($F82,Nominal_to_Real,'Input|Rate of change'!O$25:O$30),INDEX('Input|Rate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L82" s="86">
        <f>'Input|Step changes'!L20*IF('Input|Step changes'!$F20="nominal",LOOKUP($F82,Nominal_to_Real,'Input|Rate of change'!P$25:P$30),INDEX('Input|Rate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M82" s="86">
        <f>'Input|Step changes'!M20*IF('Input|Step changes'!$F20="nominal",LOOKUP($F82,Nominal_to_Real,'Input|Rate of change'!Q$25:Q$30),INDEX('Input|Rate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N82" s="86">
        <f>'Input|Step changes'!N20*IF('Input|Step changes'!$F20="nominal",LOOKUP($F82,Nominal_to_Real,'Input|Rate of change'!R$25:R$30),INDEX('Input|Rate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O82" s="86">
        <f>'Input|Step changes'!O20*IF('Input|Step changes'!$F20="nominal",LOOKUP($F82,Nominal_to_Real,'Input|Rate of change'!S$25:S$30),INDEX('Input|Rate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P82" s="86">
        <f>'Input|Step changes'!P20*IF('Input|Step changes'!$F20="nominal",LOOKUP($F82,Nominal_to_Real,'Input|Rate of change'!T$25:T$30),INDEX('Input|Rate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Q82" s="86">
        <f>'Input|Step changes'!Q20*IF('Input|Step changes'!$F20="nominal",LOOKUP($F82,Nominal_to_Real,'Input|Rate of change'!U$25:U$30),INDEX('Input|Rate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R82" s="86">
        <f>'Input|Step changes'!R20*IF('Input|Step changes'!$F20="nominal",LOOKUP($F82,Nominal_to_Real,'Input|Rate of change'!V$25:V$30),INDEX('Input|Rate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S82" s="86">
        <f>'Input|Step changes'!S20*IF('Input|Step changes'!$F20="nominal",LOOKUP($F82,Nominal_to_Real,'Input|Rate of change'!W$25:W$30),INDEX('Input|Rate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</row>
    <row r="83" spans="1:38" outlineLevel="1">
      <c r="C83" s="82"/>
      <c r="F83" s="74"/>
      <c r="J83" s="86"/>
      <c r="K83" s="86"/>
      <c r="L83" s="86"/>
      <c r="M83" s="86"/>
      <c r="N83" s="86"/>
      <c r="O83" s="86"/>
      <c r="P83" s="86"/>
      <c r="Q83" s="86"/>
      <c r="R83" s="86"/>
      <c r="S83" s="86"/>
    </row>
    <row r="84" spans="1:38" outlineLevel="1">
      <c r="C84" s="75" t="s">
        <v>152</v>
      </c>
      <c r="D84" s="83" t="s">
        <v>52</v>
      </c>
      <c r="E84" s="83" t="str">
        <f>$E$8</f>
        <v>$millions</v>
      </c>
      <c r="F84" s="127">
        <f t="shared" si="8"/>
        <v>45809</v>
      </c>
      <c r="G84" s="21"/>
      <c r="H84" s="21"/>
      <c r="I84" s="21"/>
      <c r="J84" s="87">
        <f>SUM(J73:J83)</f>
        <v>0</v>
      </c>
      <c r="K84" s="87">
        <f t="shared" ref="K84:S84" si="9">SUM(K73:K83)</f>
        <v>0</v>
      </c>
      <c r="L84" s="87">
        <f t="shared" si="9"/>
        <v>0</v>
      </c>
      <c r="M84" s="87">
        <f t="shared" si="9"/>
        <v>0</v>
      </c>
      <c r="N84" s="87">
        <f t="shared" si="9"/>
        <v>0</v>
      </c>
      <c r="O84" s="87">
        <f t="shared" si="9"/>
        <v>2.1056069780480002</v>
      </c>
      <c r="P84" s="87">
        <f t="shared" si="9"/>
        <v>2.541965475644</v>
      </c>
      <c r="Q84" s="87">
        <f t="shared" si="9"/>
        <v>2.9386552131159993</v>
      </c>
      <c r="R84" s="87">
        <f t="shared" si="9"/>
        <v>3.3353449505879995</v>
      </c>
      <c r="S84" s="87">
        <f t="shared" si="9"/>
        <v>3.7241413108199999</v>
      </c>
    </row>
    <row r="85" spans="1:38">
      <c r="C85" s="84"/>
      <c r="J85" s="71"/>
      <c r="K85" s="71"/>
      <c r="L85" s="71"/>
      <c r="M85" s="71"/>
      <c r="N85" s="23"/>
      <c r="O85" s="23"/>
      <c r="P85" s="23"/>
      <c r="Q85" s="23"/>
      <c r="R85" s="23"/>
      <c r="S85" s="23"/>
    </row>
    <row r="86" spans="1:38" customFormat="1" ht="12.75">
      <c r="A86" s="37"/>
      <c r="B86" s="43" t="s">
        <v>153</v>
      </c>
      <c r="C86" s="37"/>
      <c r="D86" s="37"/>
      <c r="E86" s="37"/>
      <c r="F86" s="38"/>
      <c r="G86" s="38"/>
      <c r="H86" s="38"/>
      <c r="I86" s="38"/>
      <c r="J86" s="39"/>
      <c r="K86" s="40"/>
      <c r="L86" s="39"/>
      <c r="M86" s="40"/>
      <c r="N86" s="39"/>
      <c r="O86" s="39"/>
      <c r="P86" s="39"/>
      <c r="Q86" s="39"/>
      <c r="R86" s="39"/>
      <c r="S86" s="39"/>
      <c r="T86" s="39"/>
      <c r="U86" s="39"/>
      <c r="V86" s="40"/>
      <c r="W86" s="40"/>
      <c r="X86" s="41"/>
      <c r="Y86" s="41"/>
      <c r="Z86" s="41"/>
      <c r="AA86" s="41"/>
      <c r="AB86" s="41"/>
      <c r="AC86" s="42"/>
      <c r="AD86" s="42"/>
    </row>
    <row r="87" spans="1:38" outlineLevel="1">
      <c r="C87" s="15"/>
      <c r="J87" s="71"/>
      <c r="K87" s="71"/>
      <c r="L87" s="71"/>
    </row>
    <row r="88" spans="1:38" outlineLevel="1">
      <c r="C88" s="9" t="s">
        <v>126</v>
      </c>
      <c r="D88" s="21" t="s">
        <v>33</v>
      </c>
      <c r="E88" s="21" t="s">
        <v>53</v>
      </c>
      <c r="F88" s="21" t="s">
        <v>56</v>
      </c>
      <c r="J88" s="120" t="str">
        <f>IF(YEAR(J$4)&gt;='Input|General'!$G$13,IF(YEAR(J$4)&lt;='Input|General'!$G$14,J$4,""),"")</f>
        <v/>
      </c>
      <c r="K88" s="120" t="str">
        <f>IF(YEAR(K$4)&gt;='Input|General'!$G$13,IF(YEAR(K$4)&lt;='Input|General'!$G$14,K$4,""),"")</f>
        <v/>
      </c>
      <c r="L88" s="120" t="str">
        <f>IF(YEAR(L$4)&gt;='Input|General'!$G$13,IF(YEAR(L$4)&lt;='Input|General'!$G$14,L$4,""),"")</f>
        <v/>
      </c>
      <c r="M88" s="120" t="str">
        <f>IF(YEAR(M$4)&gt;='Input|General'!$G$13,IF(YEAR(M$4)&lt;='Input|General'!$G$14,M$4,""),"")</f>
        <v/>
      </c>
      <c r="N88" s="120" t="str">
        <f>IF(YEAR(N$4)&gt;='Input|General'!$G$13,IF(YEAR(N$4)&lt;='Input|General'!$G$14,N$4,""),"")</f>
        <v/>
      </c>
      <c r="O88" s="120">
        <f>IF(YEAR(O$4)&gt;='Input|General'!$G$13,IF(YEAR(O$4)&lt;='Input|General'!$G$14,O$4,""),"")</f>
        <v>46174</v>
      </c>
      <c r="P88" s="120">
        <f>IF(YEAR(P$4)&gt;='Input|General'!$G$13,IF(YEAR(P$4)&lt;='Input|General'!$G$14,P$4,""),"")</f>
        <v>46539</v>
      </c>
      <c r="Q88" s="120">
        <f>IF(YEAR(Q$4)&gt;='Input|General'!$G$13,IF(YEAR(Q$4)&lt;='Input|General'!$G$14,Q$4,""),"")</f>
        <v>46905</v>
      </c>
      <c r="R88" s="120">
        <f>IF(YEAR(R$4)&gt;='Input|General'!$G$13,IF(YEAR(R$4)&lt;='Input|General'!$G$14,R$4,""),"")</f>
        <v>47270</v>
      </c>
      <c r="S88" s="120">
        <f>IF(YEAR(S$4)&gt;='Input|General'!$G$13,IF(YEAR(S$4)&lt;='Input|General'!$G$14,S$4,""),"")</f>
        <v>47635</v>
      </c>
    </row>
    <row r="89" spans="1:38" outlineLevel="1">
      <c r="C89" s="9"/>
      <c r="J89" s="14"/>
      <c r="K89" s="14"/>
      <c r="L89" s="14"/>
      <c r="M89" s="14"/>
      <c r="N89" s="14"/>
      <c r="O89" s="14"/>
      <c r="P89" s="14"/>
      <c r="Q89" s="14"/>
      <c r="R89" s="14"/>
      <c r="S89" s="14"/>
    </row>
    <row r="90" spans="1:38" outlineLevel="1">
      <c r="C90" s="82">
        <f>'Input|Step changes'!C28</f>
        <v>0</v>
      </c>
      <c r="D90" s="16" t="s">
        <v>52</v>
      </c>
      <c r="E90" s="16" t="str">
        <f t="shared" si="7"/>
        <v>$millions</v>
      </c>
      <c r="F90" s="118">
        <f t="shared" ref="F90:F92" si="10">$F$8</f>
        <v>45809</v>
      </c>
      <c r="J90" s="86">
        <f>'Input|Step changes'!J28*IF('Input|Step changes'!$F28="nominal",LOOKUP($F90,Nominal_to_Real,'Input|Rate of change'!N$25:N$30),INDEX('Input|Rate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K90" s="86">
        <f>'Input|Step changes'!K28*IF('Input|Step changes'!$F28="nominal",LOOKUP($F90,Nominal_to_Real,'Input|Rate of change'!O$25:O$30),INDEX('Input|Rate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L90" s="86">
        <f>'Input|Step changes'!L28*IF('Input|Step changes'!$F28="nominal",LOOKUP($F90,Nominal_to_Real,'Input|Rate of change'!P$25:P$30),INDEX('Input|Rate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M90" s="86">
        <f>'Input|Step changes'!M28*IF('Input|Step changes'!$F28="nominal",LOOKUP($F90,Nominal_to_Real,'Input|Rate of change'!Q$25:Q$30),INDEX('Input|Rate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N90" s="86">
        <f>'Input|Step changes'!N28*IF('Input|Step changes'!$F28="nominal",LOOKUP($F90,Nominal_to_Real,'Input|Rate of change'!R$25:R$30),INDEX('Input|Rate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O90" s="86">
        <f>'Input|Step changes'!O28*IF('Input|Step changes'!$F28="nominal",LOOKUP($F90,Nominal_to_Real,'Input|Rate of change'!S$25:S$30),INDEX('Input|Rate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P90" s="86">
        <f>'Input|Step changes'!P28*IF('Input|Step changes'!$F28="nominal",LOOKUP($F90,Nominal_to_Real,'Input|Rate of change'!T$25:T$30),INDEX('Input|Rate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Q90" s="86">
        <f>'Input|Step changes'!Q28*IF('Input|Step changes'!$F28="nominal",LOOKUP($F90,Nominal_to_Real,'Input|Rate of change'!U$25:U$30),INDEX('Input|Rate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R90" s="86">
        <f>'Input|Step changes'!R28*IF('Input|Step changes'!$F28="nominal",LOOKUP($F90,Nominal_to_Real,'Input|Rate of change'!V$25:V$30),INDEX('Input|Rate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S90" s="86">
        <f>'Input|Step changes'!S28*IF('Input|Step changes'!$F28="nominal",LOOKUP($F90,Nominal_to_Real,'Input|Rate of change'!W$25:W$30),INDEX('Input|Rate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</row>
    <row r="91" spans="1:38" outlineLevel="1">
      <c r="C91" s="82">
        <f>'Input|Step changes'!C29</f>
        <v>0</v>
      </c>
      <c r="D91" s="16" t="s">
        <v>52</v>
      </c>
      <c r="E91" s="16" t="str">
        <f t="shared" si="7"/>
        <v>$millions</v>
      </c>
      <c r="F91" s="118">
        <f t="shared" si="10"/>
        <v>45809</v>
      </c>
      <c r="J91" s="86">
        <f>'Input|Step changes'!J29*IF('Input|Step changes'!$F29="nominal",LOOKUP($F91,Nominal_to_Real,'Input|Rate of change'!N$25:N$30),INDEX('Input|Rate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K91" s="86">
        <f>'Input|Step changes'!K29*IF('Input|Step changes'!$F29="nominal",LOOKUP($F91,Nominal_to_Real,'Input|Rate of change'!O$25:O$30),INDEX('Input|Rate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L91" s="86">
        <f>'Input|Step changes'!L29*IF('Input|Step changes'!$F29="nominal",LOOKUP($F91,Nominal_to_Real,'Input|Rate of change'!P$25:P$30),INDEX('Input|Rate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M91" s="86">
        <f>'Input|Step changes'!M29*IF('Input|Step changes'!$F29="nominal",LOOKUP($F91,Nominal_to_Real,'Input|Rate of change'!Q$25:Q$30),INDEX('Input|Rate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N91" s="86">
        <f>'Input|Step changes'!N29*IF('Input|Step changes'!$F29="nominal",LOOKUP($F91,Nominal_to_Real,'Input|Rate of change'!R$25:R$30),INDEX('Input|Rate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O91" s="86">
        <f>'Input|Step changes'!O29*IF('Input|Step changes'!$F29="nominal",LOOKUP($F91,Nominal_to_Real,'Input|Rate of change'!S$25:S$30),INDEX('Input|Rate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P91" s="86">
        <f>'Input|Step changes'!P29*IF('Input|Step changes'!$F29="nominal",LOOKUP($F91,Nominal_to_Real,'Input|Rate of change'!T$25:T$30),INDEX('Input|Rate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Q91" s="86">
        <f>'Input|Step changes'!Q29*IF('Input|Step changes'!$F29="nominal",LOOKUP($F91,Nominal_to_Real,'Input|Rate of change'!U$25:U$30),INDEX('Input|Rate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R91" s="86">
        <f>'Input|Step changes'!R29*IF('Input|Step changes'!$F29="nominal",LOOKUP($F91,Nominal_to_Real,'Input|Rate of change'!V$25:V$30),INDEX('Input|Rate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S91" s="86">
        <f>'Input|Step changes'!S29*IF('Input|Step changes'!$F29="nominal",LOOKUP($F91,Nominal_to_Real,'Input|Rate of change'!W$25:W$30),INDEX('Input|Rate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</row>
    <row r="92" spans="1:38" outlineLevel="1">
      <c r="C92" s="82">
        <f>'Input|Step changes'!C30</f>
        <v>0</v>
      </c>
      <c r="D92" s="16" t="s">
        <v>52</v>
      </c>
      <c r="E92" s="16" t="str">
        <f t="shared" si="7"/>
        <v>$millions</v>
      </c>
      <c r="F92" s="118">
        <f t="shared" si="10"/>
        <v>45809</v>
      </c>
      <c r="J92" s="86">
        <f>'Input|Step changes'!J30*IF('Input|Step changes'!$F30="nominal",LOOKUP($F92,Nominal_to_Real,'Input|Rate of change'!N$25:N$30),INDEX('Input|Rate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K92" s="86">
        <f>'Input|Step changes'!K30*IF('Input|Step changes'!$F30="nominal",LOOKUP($F92,Nominal_to_Real,'Input|Rate of change'!O$25:O$30),INDEX('Input|Rate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L92" s="86">
        <f>'Input|Step changes'!L30*IF('Input|Step changes'!$F30="nominal",LOOKUP($F92,Nominal_to_Real,'Input|Rate of change'!P$25:P$30),INDEX('Input|Rate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M92" s="86">
        <f>'Input|Step changes'!M30*IF('Input|Step changes'!$F30="nominal",LOOKUP($F92,Nominal_to_Real,'Input|Rate of change'!Q$25:Q$30),INDEX('Input|Rate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N92" s="86">
        <f>'Input|Step changes'!N30*IF('Input|Step changes'!$F30="nominal",LOOKUP($F92,Nominal_to_Real,'Input|Rate of change'!R$25:R$30),INDEX('Input|Rate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O92" s="86">
        <f>'Input|Step changes'!O30*IF('Input|Step changes'!$F30="nominal",LOOKUP($F92,Nominal_to_Real,'Input|Rate of change'!S$25:S$30),INDEX('Input|Rate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P92" s="86">
        <f>'Input|Step changes'!P30*IF('Input|Step changes'!$F30="nominal",LOOKUP($F92,Nominal_to_Real,'Input|Rate of change'!T$25:T$30),INDEX('Input|Rate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Q92" s="86">
        <f>'Input|Step changes'!Q30*IF('Input|Step changes'!$F30="nominal",LOOKUP($F92,Nominal_to_Real,'Input|Rate of change'!U$25:U$30),INDEX('Input|Rate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R92" s="86">
        <f>'Input|Step changes'!R30*IF('Input|Step changes'!$F30="nominal",LOOKUP($F92,Nominal_to_Real,'Input|Rate of change'!V$25:V$30),INDEX('Input|Rate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S92" s="86">
        <f>'Input|Step changes'!S30*IF('Input|Step changes'!$F30="nominal",LOOKUP($F92,Nominal_to_Real,'Input|Rate of change'!W$25:W$30),INDEX('Input|Rate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</row>
    <row r="93" spans="1:38" outlineLevel="1">
      <c r="C93" s="82"/>
      <c r="D93" s="72"/>
      <c r="F93" s="74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</row>
    <row r="94" spans="1:38" outlineLevel="1">
      <c r="C94" s="75" t="s">
        <v>154</v>
      </c>
      <c r="D94" s="83" t="s">
        <v>52</v>
      </c>
      <c r="E94" s="83" t="str">
        <f>$E$8</f>
        <v>$millions</v>
      </c>
      <c r="F94" s="127">
        <f t="shared" ref="F94" si="11">$F$8</f>
        <v>45809</v>
      </c>
      <c r="G94" s="21"/>
      <c r="H94" s="21"/>
      <c r="I94" s="21"/>
      <c r="J94" s="87">
        <f>SUM(J89:J93)</f>
        <v>0</v>
      </c>
      <c r="K94" s="87">
        <f t="shared" ref="K94:S94" si="12">SUM(K89:K93)</f>
        <v>0</v>
      </c>
      <c r="L94" s="87">
        <f t="shared" si="12"/>
        <v>0</v>
      </c>
      <c r="M94" s="87">
        <f t="shared" si="12"/>
        <v>0</v>
      </c>
      <c r="N94" s="87">
        <f t="shared" si="12"/>
        <v>0</v>
      </c>
      <c r="O94" s="87">
        <f t="shared" si="12"/>
        <v>0</v>
      </c>
      <c r="P94" s="87">
        <f t="shared" si="12"/>
        <v>0</v>
      </c>
      <c r="Q94" s="87">
        <f t="shared" si="12"/>
        <v>0</v>
      </c>
      <c r="R94" s="87">
        <f t="shared" si="12"/>
        <v>0</v>
      </c>
      <c r="S94" s="87">
        <f t="shared" si="12"/>
        <v>0</v>
      </c>
    </row>
    <row r="95" spans="1:38">
      <c r="C95" s="84"/>
      <c r="J95" s="71"/>
      <c r="K95" s="71"/>
      <c r="L95" s="71"/>
      <c r="M95" s="71"/>
      <c r="N95" s="23"/>
      <c r="O95" s="23"/>
      <c r="P95" s="23"/>
      <c r="Q95" s="23"/>
      <c r="R95" s="23"/>
      <c r="S95" s="23"/>
    </row>
    <row r="96" spans="1:38" customFormat="1" ht="12.75">
      <c r="A96" s="37"/>
      <c r="B96" s="43" t="s">
        <v>155</v>
      </c>
      <c r="C96" s="37"/>
      <c r="D96" s="37"/>
      <c r="E96" s="37"/>
      <c r="F96" s="38"/>
      <c r="G96" s="38"/>
      <c r="H96" s="38"/>
      <c r="I96" s="38"/>
      <c r="J96" s="39"/>
      <c r="K96" s="40"/>
      <c r="L96" s="39"/>
      <c r="M96" s="40"/>
      <c r="N96" s="39"/>
      <c r="O96" s="39"/>
      <c r="P96" s="39"/>
      <c r="Q96" s="39"/>
      <c r="R96" s="39"/>
      <c r="S96" s="39"/>
      <c r="T96" s="39"/>
      <c r="U96" s="39"/>
      <c r="V96" s="40"/>
      <c r="W96" s="40"/>
      <c r="X96" s="41"/>
      <c r="Y96" s="41"/>
      <c r="Z96" s="41"/>
      <c r="AA96" s="41"/>
      <c r="AB96" s="41"/>
      <c r="AC96" s="42"/>
      <c r="AD96" s="42"/>
    </row>
    <row r="97" spans="1:30" outlineLevel="1">
      <c r="C97" s="15"/>
      <c r="J97" s="71"/>
      <c r="K97" s="71"/>
      <c r="L97" s="71"/>
    </row>
    <row r="98" spans="1:30" outlineLevel="1">
      <c r="C98" s="9"/>
      <c r="J98" s="120" t="str">
        <f>IF(YEAR(J$4)&gt;='Input|General'!$G$13,IF(YEAR(J$4)&lt;='Input|General'!$G$14,J$4,""),"")</f>
        <v/>
      </c>
      <c r="K98" s="120" t="str">
        <f>IF(YEAR(K$4)&gt;='Input|General'!$G$13,IF(YEAR(K$4)&lt;='Input|General'!$G$14,K$4,""),"")</f>
        <v/>
      </c>
      <c r="L98" s="120" t="str">
        <f>IF(YEAR(L$4)&gt;='Input|General'!$G$13,IF(YEAR(L$4)&lt;='Input|General'!$G$14,L$4,""),"")</f>
        <v/>
      </c>
      <c r="M98" s="120" t="str">
        <f>IF(YEAR(M$4)&gt;='Input|General'!$G$13,IF(YEAR(M$4)&lt;='Input|General'!$G$14,M$4,""),"")</f>
        <v/>
      </c>
      <c r="N98" s="120" t="str">
        <f>IF(YEAR(N$4)&gt;='Input|General'!$G$13,IF(YEAR(N$4)&lt;='Input|General'!$G$14,N$4,""),"")</f>
        <v/>
      </c>
      <c r="O98" s="120">
        <f>IF(YEAR(O$4)&gt;='Input|General'!$G$13,IF(YEAR(O$4)&lt;='Input|General'!$G$14,O$4,""),"")</f>
        <v>46174</v>
      </c>
      <c r="P98" s="120">
        <f>IF(YEAR(P$4)&gt;='Input|General'!$G$13,IF(YEAR(P$4)&lt;='Input|General'!$G$14,P$4,""),"")</f>
        <v>46539</v>
      </c>
      <c r="Q98" s="120">
        <f>IF(YEAR(Q$4)&gt;='Input|General'!$G$13,IF(YEAR(Q$4)&lt;='Input|General'!$G$14,Q$4,""),"")</f>
        <v>46905</v>
      </c>
      <c r="R98" s="120">
        <f>IF(YEAR(R$4)&gt;='Input|General'!$G$13,IF(YEAR(R$4)&lt;='Input|General'!$G$14,R$4,""),"")</f>
        <v>47270</v>
      </c>
      <c r="S98" s="120">
        <f>IF(YEAR(S$4)&gt;='Input|General'!$G$13,IF(YEAR(S$4)&lt;='Input|General'!$G$14,S$4,""),"")</f>
        <v>47635</v>
      </c>
    </row>
    <row r="99" spans="1:30" outlineLevel="1">
      <c r="C99" s="9"/>
      <c r="J99" s="85"/>
      <c r="K99" s="85"/>
      <c r="L99" s="85"/>
      <c r="M99" s="85"/>
      <c r="N99" s="85"/>
      <c r="O99" s="85"/>
      <c r="P99" s="85"/>
      <c r="Q99" s="85"/>
      <c r="R99" s="85"/>
      <c r="S99" s="85"/>
    </row>
    <row r="100" spans="1:30" outlineLevel="1">
      <c r="C100" s="84" t="s">
        <v>156</v>
      </c>
      <c r="D100" s="21" t="s">
        <v>52</v>
      </c>
      <c r="E100" s="21" t="str">
        <f>$E$8</f>
        <v>$millions</v>
      </c>
      <c r="F100" s="127">
        <f t="shared" ref="F100:F102" si="13">$F$8</f>
        <v>45809</v>
      </c>
      <c r="J100" s="108" t="str">
        <f t="shared" ref="J100:S100" si="14">IF(YEAR(J$4)&gt;=FPFirstYear,IF(YEAR(J$4)&lt;=FPLastYear,IF(ISBLANK(J98),"",(1+J68)*SUM($J54:$S54)+J84),""),"")</f>
        <v/>
      </c>
      <c r="K100" s="108" t="str">
        <f t="shared" si="14"/>
        <v/>
      </c>
      <c r="L100" s="108" t="str">
        <f t="shared" si="14"/>
        <v/>
      </c>
      <c r="M100" s="108" t="str">
        <f t="shared" si="14"/>
        <v/>
      </c>
      <c r="N100" s="108" t="str">
        <f t="shared" si="14"/>
        <v/>
      </c>
      <c r="O100" s="108">
        <f t="shared" ca="1" si="14"/>
        <v>443.56481360042687</v>
      </c>
      <c r="P100" s="108">
        <f t="shared" ca="1" si="14"/>
        <v>446.43117267309304</v>
      </c>
      <c r="Q100" s="108">
        <f t="shared" ca="1" si="14"/>
        <v>448.92846184575097</v>
      </c>
      <c r="R100" s="108">
        <f t="shared" ca="1" si="14"/>
        <v>451.82220451242631</v>
      </c>
      <c r="S100" s="108">
        <f t="shared" ca="1" si="14"/>
        <v>454.86832299168628</v>
      </c>
    </row>
    <row r="101" spans="1:30" outlineLevel="1">
      <c r="C101" s="84" t="s">
        <v>157</v>
      </c>
      <c r="D101" s="21" t="s">
        <v>52</v>
      </c>
      <c r="E101" s="21" t="str">
        <f>$E$8</f>
        <v>$millions</v>
      </c>
      <c r="F101" s="127">
        <f t="shared" si="13"/>
        <v>45809</v>
      </c>
      <c r="J101" s="108" t="str">
        <f t="shared" ref="J101:S101" si="15">IF(YEAR(J$4)&gt;=FPFirstYear,IF(YEAR(J$4)&lt;=FPLastYear,IF(ISBLANK(J98),"",(1+J68)*SUM($J54:$S54)+J84+J94),""),"")</f>
        <v/>
      </c>
      <c r="K101" s="108" t="str">
        <f t="shared" si="15"/>
        <v/>
      </c>
      <c r="L101" s="108" t="str">
        <f t="shared" si="15"/>
        <v/>
      </c>
      <c r="M101" s="108" t="str">
        <f t="shared" si="15"/>
        <v/>
      </c>
      <c r="N101" s="108" t="str">
        <f t="shared" si="15"/>
        <v/>
      </c>
      <c r="O101" s="108">
        <f t="shared" ca="1" si="15"/>
        <v>443.56481360042687</v>
      </c>
      <c r="P101" s="108">
        <f t="shared" ca="1" si="15"/>
        <v>446.43117267309304</v>
      </c>
      <c r="Q101" s="108">
        <f t="shared" ca="1" si="15"/>
        <v>448.92846184575097</v>
      </c>
      <c r="R101" s="108">
        <f t="shared" ca="1" si="15"/>
        <v>451.82220451242631</v>
      </c>
      <c r="S101" s="108">
        <f t="shared" ca="1" si="15"/>
        <v>454.86832299168628</v>
      </c>
    </row>
    <row r="102" spans="1:30" outlineLevel="1">
      <c r="C102" s="84" t="s">
        <v>158</v>
      </c>
      <c r="D102" s="21" t="s">
        <v>52</v>
      </c>
      <c r="E102" s="21" t="str">
        <f>$E$8</f>
        <v>$millions</v>
      </c>
      <c r="F102" s="127">
        <f t="shared" si="13"/>
        <v>45809</v>
      </c>
      <c r="J102" s="108" t="str">
        <f>IF(YEAR(J$4)&gt;=FPFirstYear,IF(YEAR(J$4)&lt;=FPLastYear,J101+'Input|Step changes'!J38,""),"")</f>
        <v/>
      </c>
      <c r="K102" s="108" t="str">
        <f>IF(YEAR(K$4)&gt;=FPFirstYear,IF(YEAR(K$4)&lt;=FPLastYear,K101+'Input|Step changes'!K38,""),"")</f>
        <v/>
      </c>
      <c r="L102" s="108" t="str">
        <f>IF(YEAR(L$4)&gt;=FPFirstYear,IF(YEAR(L$4)&lt;=FPLastYear,L101+'Input|Step changes'!L38,""),"")</f>
        <v/>
      </c>
      <c r="M102" s="108" t="str">
        <f>IF(YEAR(M$4)&gt;=FPFirstYear,IF(YEAR(M$4)&lt;=FPLastYear,M101+'Input|Step changes'!M38,""),"")</f>
        <v/>
      </c>
      <c r="N102" s="108" t="str">
        <f>IF(YEAR(N$4)&gt;=FPFirstYear,IF(YEAR(N$4)&lt;=FPLastYear,N101+'Input|Step changes'!N38,""),"")</f>
        <v/>
      </c>
      <c r="O102" s="108">
        <f ca="1">IF(YEAR(O$4)&gt;=FPFirstYear,IF(YEAR(O$4)&lt;=FPLastYear,O101+'Input|Step changes'!O38,""),"")</f>
        <v>451.37820856943591</v>
      </c>
      <c r="P102" s="108">
        <f ca="1">IF(YEAR(P$4)&gt;=FPFirstYear,IF(YEAR(P$4)&lt;=FPLastYear,P101+'Input|Step changes'!P38,""),"")</f>
        <v>454.2804546518903</v>
      </c>
      <c r="Q102" s="108">
        <f ca="1">IF(YEAR(Q$4)&gt;=FPFirstYear,IF(YEAR(Q$4)&lt;=FPLastYear,Q101+'Input|Step changes'!Q38,""),"")</f>
        <v>456.81352992286594</v>
      </c>
      <c r="R102" s="108">
        <f ca="1">IF(YEAR(R$4)&gt;=FPFirstYear,IF(YEAR(R$4)&lt;=FPLastYear,R101+'Input|Step changes'!R38,""),"")</f>
        <v>459.70989274144239</v>
      </c>
      <c r="S102" s="108">
        <f ca="1">IF(YEAR(S$4)&gt;=FPFirstYear,IF(YEAR(S$4)&lt;=FPLastYear,S101+'Input|Step changes'!S38,""),"")</f>
        <v>462.7479557544163</v>
      </c>
    </row>
    <row r="103" spans="1:30">
      <c r="C103" s="84"/>
      <c r="J103" s="71"/>
      <c r="K103" s="71"/>
      <c r="L103" s="71"/>
      <c r="M103" s="71"/>
      <c r="N103" s="23"/>
      <c r="O103" s="23"/>
      <c r="P103" s="23"/>
      <c r="Q103" s="23"/>
      <c r="R103" s="23"/>
      <c r="S103" s="23"/>
    </row>
    <row r="104" spans="1:30" customFormat="1" ht="12.75">
      <c r="A104" s="37"/>
      <c r="B104" s="43" t="s">
        <v>23</v>
      </c>
      <c r="C104" s="37"/>
      <c r="D104" s="37"/>
      <c r="E104" s="37"/>
      <c r="F104" s="38"/>
      <c r="G104" s="38"/>
      <c r="H104" s="38"/>
      <c r="I104" s="38"/>
      <c r="J104" s="39"/>
      <c r="K104" s="40"/>
      <c r="L104" s="39"/>
      <c r="M104" s="40"/>
      <c r="N104" s="39"/>
      <c r="O104" s="39"/>
      <c r="P104" s="39"/>
      <c r="Q104" s="39"/>
      <c r="R104" s="39"/>
      <c r="S104" s="39"/>
      <c r="T104" s="39"/>
      <c r="U104" s="39"/>
      <c r="V104" s="40"/>
      <c r="W104" s="40"/>
      <c r="X104" s="41"/>
      <c r="Y104" s="41"/>
      <c r="Z104" s="41"/>
      <c r="AA104" s="41"/>
      <c r="AB104" s="41"/>
      <c r="AC104" s="42"/>
      <c r="AD104" s="42"/>
    </row>
    <row r="113" s="8" customFormat="1" hidden="1"/>
    <row r="114" s="8" customFormat="1" hidden="1"/>
    <row r="115" s="8" customFormat="1" hidden="1"/>
    <row r="116" s="8" customFormat="1" hidden="1"/>
    <row r="117" s="8" customFormat="1" hidden="1"/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</sheetData>
  <mergeCells count="1">
    <mergeCell ref="N3:S3"/>
  </mergeCells>
  <conditionalFormatting sqref="S1">
    <cfRule type="cellIs" dxfId="88" priority="99" operator="equal">
      <formula>"Check"</formula>
    </cfRule>
    <cfRule type="cellIs" dxfId="87" priority="100" operator="equal">
      <formula>"Ok"</formula>
    </cfRule>
  </conditionalFormatting>
  <conditionalFormatting sqref="V1">
    <cfRule type="cellIs" dxfId="86" priority="101" operator="equal">
      <formula>"Check"</formula>
    </cfRule>
    <cfRule type="cellIs" dxfId="85" priority="102" operator="equal">
      <formula>"Ok"</formula>
    </cfRule>
  </conditionalFormatting>
  <conditionalFormatting sqref="R39:S39 R42:S42 R45:S45 R48:S48 J12:S18">
    <cfRule type="cellIs" dxfId="84" priority="98" operator="equal">
      <formula>0</formula>
    </cfRule>
  </conditionalFormatting>
  <conditionalFormatting sqref="J13:S13">
    <cfRule type="cellIs" dxfId="83" priority="97" operator="equal">
      <formula>0</formula>
    </cfRule>
  </conditionalFormatting>
  <conditionalFormatting sqref="J14:S14">
    <cfRule type="cellIs" dxfId="82" priority="96" operator="equal">
      <formula>0</formula>
    </cfRule>
  </conditionalFormatting>
  <conditionalFormatting sqref="J15:S15">
    <cfRule type="cellIs" dxfId="81" priority="95" operator="equal">
      <formula>0</formula>
    </cfRule>
  </conditionalFormatting>
  <conditionalFormatting sqref="J16:S16">
    <cfRule type="cellIs" dxfId="80" priority="94" operator="equal">
      <formula>0</formula>
    </cfRule>
  </conditionalFormatting>
  <conditionalFormatting sqref="J17:S18">
    <cfRule type="cellIs" dxfId="79" priority="93" operator="equal">
      <formula>0</formula>
    </cfRule>
  </conditionalFormatting>
  <conditionalFormatting sqref="J61:S65">
    <cfRule type="cellIs" dxfId="78" priority="92" operator="equal">
      <formula>0</formula>
    </cfRule>
  </conditionalFormatting>
  <conditionalFormatting sqref="J74:S82 J90:S92">
    <cfRule type="cellIs" dxfId="77" priority="90" operator="equal">
      <formula>0</formula>
    </cfRule>
  </conditionalFormatting>
  <conditionalFormatting sqref="J36:S36 J33:S34 J51:S54">
    <cfRule type="cellIs" dxfId="76" priority="87" operator="equal">
      <formula>0</formula>
    </cfRule>
  </conditionalFormatting>
  <conditionalFormatting sqref="J101:S102">
    <cfRule type="cellIs" dxfId="75" priority="86" operator="equal">
      <formula>0</formula>
    </cfRule>
  </conditionalFormatting>
  <conditionalFormatting sqref="J101:S102">
    <cfRule type="cellIs" dxfId="74" priority="85" operator="equal">
      <formula>0</formula>
    </cfRule>
  </conditionalFormatting>
  <conditionalFormatting sqref="J46:S46">
    <cfRule type="cellIs" dxfId="73" priority="48" operator="equal">
      <formula>0</formula>
    </cfRule>
  </conditionalFormatting>
  <conditionalFormatting sqref="J39:Q39 J42:Q42 J45:Q45">
    <cfRule type="cellIs" dxfId="72" priority="66" operator="equal">
      <formula>0</formula>
    </cfRule>
  </conditionalFormatting>
  <conditionalFormatting sqref="J39:Q39 J42:Q42 J45:Q45">
    <cfRule type="cellIs" dxfId="71" priority="65" operator="equal">
      <formula>0</formula>
    </cfRule>
  </conditionalFormatting>
  <conditionalFormatting sqref="J37:S37">
    <cfRule type="cellIs" dxfId="70" priority="61" operator="equal">
      <formula>0</formula>
    </cfRule>
  </conditionalFormatting>
  <conditionalFormatting sqref="J37:S37">
    <cfRule type="cellIs" dxfId="69" priority="60" operator="equal">
      <formula>0</formula>
    </cfRule>
  </conditionalFormatting>
  <conditionalFormatting sqref="J48:Q48">
    <cfRule type="cellIs" dxfId="68" priority="51" operator="equal">
      <formula>0</formula>
    </cfRule>
  </conditionalFormatting>
  <conditionalFormatting sqref="J48:Q48">
    <cfRule type="cellIs" dxfId="67" priority="50" operator="equal">
      <formula>0</formula>
    </cfRule>
  </conditionalFormatting>
  <conditionalFormatting sqref="J40:S40">
    <cfRule type="cellIs" dxfId="66" priority="57" operator="equal">
      <formula>0</formula>
    </cfRule>
  </conditionalFormatting>
  <conditionalFormatting sqref="J40:S40">
    <cfRule type="cellIs" dxfId="65" priority="56" operator="equal">
      <formula>0</formula>
    </cfRule>
  </conditionalFormatting>
  <conditionalFormatting sqref="J46:S46">
    <cfRule type="cellIs" dxfId="64" priority="49" operator="equal">
      <formula>0</formula>
    </cfRule>
  </conditionalFormatting>
  <conditionalFormatting sqref="J43:S43">
    <cfRule type="cellIs" dxfId="63" priority="53" operator="equal">
      <formula>0</formula>
    </cfRule>
  </conditionalFormatting>
  <conditionalFormatting sqref="J43:S43">
    <cfRule type="cellIs" dxfId="62" priority="52" operator="equal">
      <formula>0</formula>
    </cfRule>
  </conditionalFormatting>
  <conditionalFormatting sqref="J49:S49">
    <cfRule type="cellIs" dxfId="61" priority="43" operator="equal">
      <formula>0</formula>
    </cfRule>
  </conditionalFormatting>
  <conditionalFormatting sqref="J49:S49">
    <cfRule type="cellIs" dxfId="60" priority="44" operator="equal">
      <formula>0</formula>
    </cfRule>
  </conditionalFormatting>
  <conditionalFormatting sqref="J38:S38">
    <cfRule type="cellIs" dxfId="59" priority="42" operator="equal">
      <formula>0</formula>
    </cfRule>
  </conditionalFormatting>
  <conditionalFormatting sqref="J38:S38">
    <cfRule type="cellIs" dxfId="58" priority="41" operator="equal">
      <formula>0</formula>
    </cfRule>
  </conditionalFormatting>
  <conditionalFormatting sqref="J41:S41">
    <cfRule type="cellIs" dxfId="57" priority="40" operator="equal">
      <formula>0</formula>
    </cfRule>
  </conditionalFormatting>
  <conditionalFormatting sqref="J41:S41">
    <cfRule type="cellIs" dxfId="56" priority="39" operator="equal">
      <formula>0</formula>
    </cfRule>
  </conditionalFormatting>
  <conditionalFormatting sqref="J44:S44">
    <cfRule type="cellIs" dxfId="55" priority="38" operator="equal">
      <formula>0</formula>
    </cfRule>
  </conditionalFormatting>
  <conditionalFormatting sqref="J44:S44">
    <cfRule type="cellIs" dxfId="54" priority="37" operator="equal">
      <formula>0</formula>
    </cfRule>
  </conditionalFormatting>
  <conditionalFormatting sqref="J47:S47">
    <cfRule type="cellIs" dxfId="53" priority="36" operator="equal">
      <formula>0</formula>
    </cfRule>
  </conditionalFormatting>
  <conditionalFormatting sqref="J47:S47">
    <cfRule type="cellIs" dxfId="52" priority="35" operator="equal">
      <formula>0</formula>
    </cfRule>
  </conditionalFormatting>
  <conditionalFormatting sqref="J50:S50">
    <cfRule type="cellIs" dxfId="51" priority="34" operator="equal">
      <formula>0</formula>
    </cfRule>
  </conditionalFormatting>
  <conditionalFormatting sqref="J50:S50">
    <cfRule type="cellIs" dxfId="50" priority="33" operator="equal">
      <formula>0</formula>
    </cfRule>
  </conditionalFormatting>
  <conditionalFormatting sqref="J100:S100">
    <cfRule type="cellIs" dxfId="49" priority="22" operator="equal">
      <formula>0</formula>
    </cfRule>
  </conditionalFormatting>
  <conditionalFormatting sqref="J100:S100">
    <cfRule type="cellIs" dxfId="48" priority="21" operator="equal">
      <formula>0</formula>
    </cfRule>
  </conditionalFormatting>
  <conditionalFormatting sqref="J10:S10">
    <cfRule type="expression" dxfId="47" priority="20">
      <formula>J$10=J$4</formula>
    </cfRule>
  </conditionalFormatting>
  <conditionalFormatting sqref="J25:S25">
    <cfRule type="expression" dxfId="46" priority="19">
      <formula>J$10=J$4</formula>
    </cfRule>
  </conditionalFormatting>
  <conditionalFormatting sqref="J54:S54">
    <cfRule type="expression" dxfId="45" priority="18">
      <formula>J$10=J$4</formula>
    </cfRule>
  </conditionalFormatting>
  <conditionalFormatting sqref="J26:S28 J30:S30">
    <cfRule type="cellIs" dxfId="44" priority="15" operator="equal">
      <formula>0</formula>
    </cfRule>
  </conditionalFormatting>
  <conditionalFormatting sqref="J31:S32">
    <cfRule type="cellIs" dxfId="43" priority="14" operator="equal">
      <formula>0</formula>
    </cfRule>
  </conditionalFormatting>
  <conditionalFormatting sqref="J68:S68">
    <cfRule type="cellIs" dxfId="42" priority="11" operator="equal">
      <formula>0</formula>
    </cfRule>
  </conditionalFormatting>
  <conditionalFormatting sqref="J35:S35">
    <cfRule type="cellIs" dxfId="41" priority="10" operator="equal">
      <formula>0</formula>
    </cfRule>
  </conditionalFormatting>
  <conditionalFormatting sqref="J35:S35">
    <cfRule type="cellIs" dxfId="40" priority="9" operator="equal">
      <formula>0</formula>
    </cfRule>
  </conditionalFormatting>
  <conditionalFormatting sqref="J29:S29">
    <cfRule type="cellIs" dxfId="39" priority="8" operator="equal">
      <formula>0</formula>
    </cfRule>
  </conditionalFormatting>
  <conditionalFormatting sqref="J29:S29">
    <cfRule type="cellIs" dxfId="38" priority="7" operator="equal">
      <formula>0</formula>
    </cfRule>
  </conditionalFormatting>
  <conditionalFormatting sqref="J19:S24">
    <cfRule type="cellIs" dxfId="37" priority="6" operator="equal">
      <formula>0</formula>
    </cfRule>
  </conditionalFormatting>
  <conditionalFormatting sqref="J20:S20">
    <cfRule type="cellIs" dxfId="36" priority="5" operator="equal">
      <formula>0</formula>
    </cfRule>
  </conditionalFormatting>
  <conditionalFormatting sqref="J21:S21">
    <cfRule type="cellIs" dxfId="35" priority="4" operator="equal">
      <formula>0</formula>
    </cfRule>
  </conditionalFormatting>
  <conditionalFormatting sqref="J22:S22">
    <cfRule type="cellIs" dxfId="34" priority="3" operator="equal">
      <formula>0</formula>
    </cfRule>
  </conditionalFormatting>
  <conditionalFormatting sqref="J23:S23">
    <cfRule type="cellIs" dxfId="33" priority="2" operator="equal">
      <formula>0</formula>
    </cfRule>
  </conditionalFormatting>
  <conditionalFormatting sqref="J24:S24">
    <cfRule type="cellIs" dxfId="32" priority="1" operator="equal">
      <formula>0</formula>
    </cfRule>
  </conditionalFormatting>
  <conditionalFormatting sqref="J67:S67">
    <cfRule type="expression" dxfId="31" priority="104">
      <formula>J$58=J$4</formula>
    </cfRule>
    <cfRule type="cellIs" dxfId="30" priority="105" operator="equal">
      <formula>0</formula>
    </cfRule>
  </conditionalFormatting>
  <conditionalFormatting sqref="J94:S94">
    <cfRule type="expression" dxfId="29" priority="106">
      <formula>J$88=J$4</formula>
    </cfRule>
    <cfRule type="cellIs" dxfId="28" priority="107" operator="equal">
      <formula>0</formula>
    </cfRule>
  </conditionalFormatting>
  <conditionalFormatting sqref="J84:S84">
    <cfRule type="expression" dxfId="27" priority="108">
      <formula>J$72=J$4</formula>
    </cfRule>
    <cfRule type="cellIs" dxfId="26" priority="109" operator="equal">
      <formula>0</formula>
    </cfRule>
  </conditionalFormatting>
  <conditionalFormatting sqref="J58:S58 J72:S72 J88:S88">
    <cfRule type="expression" dxfId="25" priority="110">
      <formula>J$58=J$4</formula>
    </cfRule>
  </conditionalFormatting>
  <conditionalFormatting sqref="J98:S98">
    <cfRule type="expression" dxfId="24" priority="113">
      <formula>J$98=J$4</formula>
    </cfRule>
  </conditionalFormatting>
  <dataValidations disablePrompts="1" count="2">
    <dataValidation type="list" allowBlank="1" showInputMessage="1" showErrorMessage="1" sqref="F95 F93 F103 F85" xr:uid="{00000000-0002-0000-0600-000000000000}">
      <formula1>"Real 2010,Real 2011,Real 2012,Real 2013,Real 2014,Real 2015,Nominal"</formula1>
    </dataValidation>
    <dataValidation type="list" allowBlank="1" showInputMessage="1" showErrorMessage="1" sqref="F83" xr:uid="{00000000-0002-0000-0600-000001000000}">
      <formula1>$G$60:$G$66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6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600-000003000000}">
          <x14:formula1>
            <xm:f>'Lookup|Tables'!$H$66:$H$70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3" tint="0.59999389629810485"/>
  </sheetPr>
  <dimension ref="A1:AU24"/>
  <sheetViews>
    <sheetView showGridLines="0" workbookViewId="0">
      <selection activeCell="O13" sqref="O13"/>
    </sheetView>
  </sheetViews>
  <sheetFormatPr defaultColWidth="0" defaultRowHeight="11.2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3" width="10.83203125" style="8" customWidth="1"/>
    <col min="24" max="47" width="0" style="8" hidden="1" customWidth="1"/>
    <col min="48" max="16384" width="10.5" style="8" hidden="1"/>
  </cols>
  <sheetData>
    <row r="1" spans="1:26" s="32" customFormat="1" ht="15.75">
      <c r="B1" s="29" t="str">
        <f>Index!$B$1</f>
        <v>AER opex model v1.8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">
        <v>105</v>
      </c>
      <c r="U1" s="137" t="s">
        <v>30</v>
      </c>
      <c r="V1" s="34" t="str">
        <f>'Check|List'!$S$1</f>
        <v>Ok</v>
      </c>
    </row>
    <row r="2" spans="1:26" s="36" customFormat="1" ht="13.5" thickBot="1">
      <c r="B2" s="35" t="str">
        <f>Index!$C$13</f>
        <v>Output | Models</v>
      </c>
      <c r="C2" s="35"/>
      <c r="D2" s="35"/>
      <c r="E2" s="35"/>
      <c r="F2" s="59"/>
      <c r="G2" s="59"/>
      <c r="H2" s="59"/>
      <c r="I2" s="59"/>
    </row>
    <row r="3" spans="1:26" s="60" customFormat="1">
      <c r="D3" s="132"/>
      <c r="E3" s="132"/>
      <c r="F3" s="132"/>
      <c r="G3" s="132"/>
      <c r="H3" s="132"/>
      <c r="I3" s="132"/>
      <c r="J3" s="126" t="s">
        <v>41</v>
      </c>
      <c r="K3" s="126"/>
      <c r="L3" s="126"/>
      <c r="M3" s="132"/>
      <c r="N3" s="177"/>
      <c r="O3" s="177"/>
      <c r="P3" s="177"/>
      <c r="Q3" s="177"/>
      <c r="R3" s="177"/>
      <c r="S3" s="177"/>
      <c r="T3" s="61"/>
      <c r="U3" s="61"/>
      <c r="V3" s="61"/>
      <c r="W3" s="61"/>
      <c r="X3" s="61"/>
      <c r="Y3" s="61"/>
      <c r="Z3" s="61"/>
    </row>
    <row r="4" spans="1:26" customFormat="1">
      <c r="A4" s="62"/>
      <c r="B4" s="62"/>
      <c r="C4" s="62"/>
      <c r="D4" s="63" t="s">
        <v>33</v>
      </c>
      <c r="E4" s="63" t="s">
        <v>53</v>
      </c>
      <c r="F4" s="64" t="s">
        <v>56</v>
      </c>
      <c r="G4" s="65"/>
      <c r="H4" s="65"/>
      <c r="I4" s="65"/>
      <c r="J4" s="113">
        <f>DATE(PPFirstYear,MONTH('Input|General'!$G$9),1)</f>
        <v>44348</v>
      </c>
      <c r="K4" s="113">
        <f>DATE(PPFirstYear+1,MONTH('Input|General'!$G$9),1)</f>
        <v>44713</v>
      </c>
      <c r="L4" s="113">
        <f>DATE(PPFirstYear+2,MONTH('Input|General'!$G$9),1)</f>
        <v>45078</v>
      </c>
      <c r="M4" s="113">
        <f>DATE(PPFirstYear+3,MONTH('Input|General'!$G$9),1)</f>
        <v>45444</v>
      </c>
      <c r="N4" s="113">
        <f>DATE(PPFirstYear+4,MONTH('Input|General'!$G$9),1)</f>
        <v>45809</v>
      </c>
      <c r="O4" s="113">
        <f>DATE(PPFirstYear+5,MONTH('Input|General'!$G$9),1)</f>
        <v>46174</v>
      </c>
      <c r="P4" s="113">
        <f>DATE(PPFirstYear+6,MONTH('Input|General'!$G$9),1)</f>
        <v>46539</v>
      </c>
      <c r="Q4" s="113">
        <f>DATE(PPFirstYear+7,MONTH('Input|General'!$G$9),1)</f>
        <v>46905</v>
      </c>
      <c r="R4" s="113">
        <f>DATE(PPFirstYear+8,MONTH('Input|General'!$G$9),1)</f>
        <v>47270</v>
      </c>
      <c r="S4" s="113">
        <f>DATE(PPFirstYear+9,MONTH('Input|General'!$G$9),1)</f>
        <v>47635</v>
      </c>
      <c r="T4" s="66"/>
      <c r="U4" s="66"/>
      <c r="V4" s="67"/>
      <c r="W4" s="67"/>
    </row>
    <row r="5" spans="1:26" s="6" customFormat="1" ht="3" customHeight="1">
      <c r="D5" s="27"/>
      <c r="E5" s="27"/>
      <c r="F5" s="27"/>
      <c r="G5" s="27"/>
      <c r="H5" s="27"/>
      <c r="I5" s="27"/>
    </row>
    <row r="6" spans="1:26" s="6" customFormat="1" ht="9" customHeight="1">
      <c r="D6" s="27"/>
      <c r="E6" s="27"/>
      <c r="F6" s="27"/>
      <c r="G6" s="27"/>
      <c r="H6" s="27"/>
      <c r="I6" s="27"/>
    </row>
    <row r="7" spans="1:26" s="6" customFormat="1" ht="3" customHeight="1">
      <c r="D7" s="27"/>
      <c r="E7" s="27"/>
      <c r="F7" s="27"/>
      <c r="G7" s="27"/>
      <c r="H7" s="27"/>
      <c r="I7" s="27"/>
    </row>
    <row r="8" spans="1:26" customFormat="1" ht="12.75">
      <c r="A8" s="37"/>
      <c r="B8" s="43" t="s">
        <v>159</v>
      </c>
      <c r="C8" s="37"/>
      <c r="D8" s="37"/>
      <c r="E8" s="58" t="s">
        <v>61</v>
      </c>
      <c r="F8" s="152">
        <f>DATE(PPLastYear,MONTH('Input|General'!$G$9),1)</f>
        <v>45809</v>
      </c>
      <c r="G8" s="38"/>
      <c r="H8" s="38"/>
      <c r="I8" s="38"/>
      <c r="J8" s="106" t="s">
        <v>160</v>
      </c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40"/>
      <c r="W8" s="40"/>
    </row>
    <row r="9" spans="1:26" ht="4.5" customHeight="1"/>
    <row r="10" spans="1:26">
      <c r="M10" s="71"/>
      <c r="N10" s="71"/>
      <c r="O10" s="71"/>
      <c r="P10" s="71"/>
      <c r="Q10" s="71"/>
      <c r="R10" s="71"/>
      <c r="S10" s="71"/>
    </row>
    <row r="11" spans="1:26">
      <c r="C11" s="9" t="s">
        <v>161</v>
      </c>
      <c r="D11" s="21" t="s">
        <v>33</v>
      </c>
      <c r="E11" s="21" t="s">
        <v>53</v>
      </c>
      <c r="F11" s="21" t="s">
        <v>56</v>
      </c>
      <c r="H11" s="21"/>
      <c r="I11" s="21"/>
      <c r="J11" s="120" t="str">
        <f>IF(YEAR(J$4)&gt;='Input|General'!$G$13,IF(YEAR(J$4)&lt;='Input|General'!$G$14,J$4,""),"")</f>
        <v/>
      </c>
      <c r="K11" s="120" t="str">
        <f>IF(YEAR(K$4)&gt;='Input|General'!$G$13,IF(YEAR(K$4)&lt;='Input|General'!$G$14,K$4,""),"")</f>
        <v/>
      </c>
      <c r="L11" s="120" t="str">
        <f>IF(YEAR(L$4)&gt;='Input|General'!$G$13,IF(YEAR(L$4)&lt;='Input|General'!$G$14,L$4,""),"")</f>
        <v/>
      </c>
      <c r="M11" s="120" t="str">
        <f>IF(YEAR(M$4)&gt;='Input|General'!$G$13,IF(YEAR(M$4)&lt;='Input|General'!$G$14,M$4,""),"")</f>
        <v/>
      </c>
      <c r="N11" s="120" t="str">
        <f>IF(YEAR(N$4)&gt;='Input|General'!$G$13,IF(YEAR(N$4)&lt;='Input|General'!$G$14,N$4,""),"")</f>
        <v/>
      </c>
      <c r="O11" s="120">
        <f>IF(YEAR(O$4)&gt;='Input|General'!$G$13,IF(YEAR(O$4)&lt;='Input|General'!$G$14,O$4,""),"")</f>
        <v>46174</v>
      </c>
      <c r="P11" s="120">
        <f>IF(YEAR(P$4)&gt;='Input|General'!$G$13,IF(YEAR(P$4)&lt;='Input|General'!$G$14,P$4,""),"")</f>
        <v>46539</v>
      </c>
      <c r="Q11" s="120">
        <f>IF(YEAR(Q$4)&gt;='Input|General'!$G$13,IF(YEAR(Q$4)&lt;='Input|General'!$G$14,Q$4,""),"")</f>
        <v>46905</v>
      </c>
      <c r="R11" s="120">
        <f>IF(YEAR(R$4)&gt;='Input|General'!$G$13,IF(YEAR(R$4)&lt;='Input|General'!$G$14,R$4,""),"")</f>
        <v>47270</v>
      </c>
      <c r="S11" s="120">
        <f>IF(YEAR(S$4)&gt;='Input|General'!$G$13,IF(YEAR(S$4)&lt;='Input|General'!$G$14,S$4,""),"")</f>
        <v>47635</v>
      </c>
      <c r="U11" s="95" t="s">
        <v>59</v>
      </c>
      <c r="V11" s="96"/>
      <c r="W11" s="96"/>
    </row>
    <row r="12" spans="1:26">
      <c r="C12" s="9"/>
      <c r="D12" s="21"/>
      <c r="E12" s="21"/>
      <c r="F12" s="21"/>
      <c r="H12" s="21"/>
      <c r="I12" s="21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U12" s="9"/>
    </row>
    <row r="13" spans="1:26">
      <c r="C13" s="15" t="str">
        <f>'Calc|Opex forecast'!C100</f>
        <v>Total forecast opex, excluding category specific forecasts</v>
      </c>
      <c r="D13" s="28" t="s">
        <v>162</v>
      </c>
      <c r="E13" s="16" t="str">
        <f>$E$8</f>
        <v>$millions</v>
      </c>
      <c r="F13" s="118">
        <f>$F$8</f>
        <v>45809</v>
      </c>
      <c r="H13" s="21"/>
      <c r="I13" s="21"/>
      <c r="J13" s="130">
        <f>IF(J11="",0,'Calc|Opex forecast'!J100*IF('Calc|Opex forecast'!$F$100="nominal",LOOKUP($F13,Nominal_to_Real,'Input|Rate of change'!P$25:P$30),INDEX('Input|Rate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K13" s="130">
        <f>IF(K11="",0,'Calc|Opex forecast'!K100*IF('Calc|Opex forecast'!$F$100="nominal",LOOKUP($F13,Nominal_to_Real,'Input|Rate of change'!Q$25:Q$30),INDEX('Input|Rate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L13" s="130">
        <f>IF(L11="",0,'Calc|Opex forecast'!L100*IF('Calc|Opex forecast'!$F$100="nominal",LOOKUP($F13,Nominal_to_Real,'Input|Rate of change'!R$25:R$30),INDEX('Input|Rate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M13" s="130">
        <f>IF(M11="",0,'Calc|Opex forecast'!M100*IF('Calc|Opex forecast'!$F$100="nominal",LOOKUP($F13,Nominal_to_Real,'Input|Rate of change'!S$25:S$30),INDEX('Input|Rate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N13" s="130">
        <f>IF(N11="",0,'Calc|Opex forecast'!N100*IF('Calc|Opex forecast'!$F$100="nominal",LOOKUP($F13,Nominal_to_Real,'Input|Rate of change'!T$25:T$30),INDEX('Input|Rate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O13" s="130">
        <f ca="1">IF(O11="",0,'Calc|Opex forecast'!O100*IF('Calc|Opex forecast'!$F$100="nominal",LOOKUP($F13,Nominal_to_Real,'Input|Rate of change'!U$25:U$30),INDEX('Input|Rate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443.56481360042687</v>
      </c>
      <c r="P13" s="130">
        <f ca="1">IF(P11="",0,'Calc|Opex forecast'!P100*IF('Calc|Opex forecast'!$F$100="nominal",LOOKUP($F13,Nominal_to_Real,'Input|Rate of change'!V$25:V$30),INDEX('Input|Rate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446.43117267309304</v>
      </c>
      <c r="Q13" s="130">
        <f ca="1">IF(Q11="",0,'Calc|Opex forecast'!Q100*IF('Calc|Opex forecast'!$F$100="nominal",LOOKUP($F13,Nominal_to_Real,'Input|Rate of change'!W$25:W$30),INDEX('Input|Rate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448.92846184575097</v>
      </c>
      <c r="R13" s="130">
        <f ca="1">IF(R11="",0,'Calc|Opex forecast'!R100*IF('Calc|Opex forecast'!$F$100="nominal",LOOKUP($F13,Nominal_to_Real,'Input|Rate of change'!X$25:X$30),INDEX('Input|Rate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451.82220451242631</v>
      </c>
      <c r="S13" s="130">
        <f ca="1">IF(S11="",0,'Calc|Opex forecast'!S100*IF('Calc|Opex forecast'!$F$100="nominal",LOOKUP($F13,Nominal_to_Real,'Input|Rate of change'!Y$25:Y$30),INDEX('Input|Rate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454.86832299168628</v>
      </c>
      <c r="T13" s="15"/>
      <c r="U13" s="109"/>
    </row>
    <row r="14" spans="1:26">
      <c r="C14" s="15">
        <f>'Input|Step changes'!C28</f>
        <v>0</v>
      </c>
      <c r="D14" s="28" t="s">
        <v>162</v>
      </c>
      <c r="E14" s="16" t="str">
        <f t="shared" ref="E14:E16" si="0">$E$8</f>
        <v>$millions</v>
      </c>
      <c r="F14" s="118">
        <f t="shared" ref="F14:F16" si="1">$F$8</f>
        <v>45809</v>
      </c>
      <c r="H14" s="21"/>
      <c r="I14" s="21"/>
      <c r="J14" s="130">
        <f>IF(J$11="",0,'Calc|Opex forecast'!J90*IF('Calc|Opex forecast'!$F90="nominal",LOOKUP($F14,Nominal_to_Real,'Input|Rate of change'!P$25:P$30),INDEX('Input|Rate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K14" s="130">
        <f>IF(K$11="",0,'Calc|Opex forecast'!K90*IF('Calc|Opex forecast'!$F90="nominal",LOOKUP($F14,Nominal_to_Real,'Input|Rate of change'!Q$25:Q$30),INDEX('Input|Rate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L14" s="130">
        <f>IF(L$11="",0,'Calc|Opex forecast'!L90*IF('Calc|Opex forecast'!$F90="nominal",LOOKUP($F14,Nominal_to_Real,'Input|Rate of change'!R$25:R$30),INDEX('Input|Rate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M14" s="130">
        <f>IF(M$11="",0,'Calc|Opex forecast'!M90*IF('Calc|Opex forecast'!$F90="nominal",LOOKUP($F14,Nominal_to_Real,'Input|Rate of change'!S$25:S$30),INDEX('Input|Rate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N14" s="130">
        <f>IF(N$11="",0,'Calc|Opex forecast'!N90*IF('Calc|Opex forecast'!$F90="nominal",LOOKUP($F14,Nominal_to_Real,'Input|Rate of change'!T$25:T$30),INDEX('Input|Rate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O14" s="130">
        <f>IF(O$11="",0,'Calc|Opex forecast'!O90*IF('Calc|Opex forecast'!$F90="nominal",LOOKUP($F14,Nominal_to_Real,'Input|Rate of change'!U$25:U$30),INDEX('Input|Rate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P14" s="130">
        <f>IF(P$11="",0,'Calc|Opex forecast'!P90*IF('Calc|Opex forecast'!$F90="nominal",LOOKUP($F14,Nominal_to_Real,'Input|Rate of change'!V$25:V$30),INDEX('Input|Rate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Q14" s="130">
        <f>IF(Q$11="",0,'Calc|Opex forecast'!Q90*IF('Calc|Opex forecast'!$F90="nominal",LOOKUP($F14,Nominal_to_Real,'Input|Rate of change'!W$25:W$30),INDEX('Input|Rate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R14" s="130">
        <f>IF(R$11="",0,'Calc|Opex forecast'!R90*IF('Calc|Opex forecast'!$F90="nominal",LOOKUP($F14,Nominal_to_Real,'Input|Rate of change'!X$25:X$30),INDEX('Input|Rate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S14" s="130">
        <f>IF(S$11="",0,'Calc|Opex forecast'!S90*IF('Calc|Opex forecast'!$F90="nominal",LOOKUP($F14,Nominal_to_Real,'Input|Rate of change'!Y$25:Y$30),INDEX('Input|Rate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T14" s="15"/>
      <c r="U14" s="109"/>
    </row>
    <row r="15" spans="1:26">
      <c r="C15" s="15">
        <f>'Input|Step changes'!C29</f>
        <v>0</v>
      </c>
      <c r="D15" s="28" t="s">
        <v>162</v>
      </c>
      <c r="E15" s="16" t="str">
        <f t="shared" si="0"/>
        <v>$millions</v>
      </c>
      <c r="F15" s="118">
        <f t="shared" si="1"/>
        <v>45809</v>
      </c>
      <c r="H15" s="21"/>
      <c r="I15" s="21"/>
      <c r="J15" s="130">
        <f>IF(J$11="",0,'Calc|Opex forecast'!J91*IF('Calc|Opex forecast'!$F91="nominal",LOOKUP($F15,Nominal_to_Real,'Input|Rate of change'!P$25:P$30),INDEX('Input|Rate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K15" s="130">
        <f>IF(K$11="",0,'Calc|Opex forecast'!K91*IF('Calc|Opex forecast'!$F91="nominal",LOOKUP($F15,Nominal_to_Real,'Input|Rate of change'!Q$25:Q$30),INDEX('Input|Rate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L15" s="130">
        <f>IF(L$11="",0,'Calc|Opex forecast'!L91*IF('Calc|Opex forecast'!$F91="nominal",LOOKUP($F15,Nominal_to_Real,'Input|Rate of change'!R$25:R$30),INDEX('Input|Rate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M15" s="130">
        <f>IF(M$11="",0,'Calc|Opex forecast'!M91*IF('Calc|Opex forecast'!$F91="nominal",LOOKUP($F15,Nominal_to_Real,'Input|Rate of change'!S$25:S$30),INDEX('Input|Rate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N15" s="130">
        <f>IF(N$11="",0,'Calc|Opex forecast'!N91*IF('Calc|Opex forecast'!$F91="nominal",LOOKUP($F15,Nominal_to_Real,'Input|Rate of change'!T$25:T$30),INDEX('Input|Rate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O15" s="130">
        <f>IF(O$11="",0,'Calc|Opex forecast'!O91*IF('Calc|Opex forecast'!$F91="nominal",LOOKUP($F15,Nominal_to_Real,'Input|Rate of change'!U$25:U$30),INDEX('Input|Rate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P15" s="130">
        <f>IF(P$11="",0,'Calc|Opex forecast'!P91*IF('Calc|Opex forecast'!$F91="nominal",LOOKUP($F15,Nominal_to_Real,'Input|Rate of change'!V$25:V$30),INDEX('Input|Rate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Q15" s="130">
        <f>IF(Q$11="",0,'Calc|Opex forecast'!Q91*IF('Calc|Opex forecast'!$F91="nominal",LOOKUP($F15,Nominal_to_Real,'Input|Rate of change'!W$25:W$30),INDEX('Input|Rate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R15" s="130">
        <f>IF(R$11="",0,'Calc|Opex forecast'!R91*IF('Calc|Opex forecast'!$F91="nominal",LOOKUP($F15,Nominal_to_Real,'Input|Rate of change'!X$25:X$30),INDEX('Input|Rate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S15" s="130">
        <f>IF(S$11="",0,'Calc|Opex forecast'!S91*IF('Calc|Opex forecast'!$F91="nominal",LOOKUP($F15,Nominal_to_Real,'Input|Rate of change'!Y$25:Y$30),INDEX('Input|Rate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T15" s="15"/>
      <c r="U15" s="109"/>
    </row>
    <row r="16" spans="1:26">
      <c r="C16" s="15">
        <f>'Input|Step changes'!C30</f>
        <v>0</v>
      </c>
      <c r="D16" s="28" t="s">
        <v>162</v>
      </c>
      <c r="E16" s="16" t="str">
        <f t="shared" si="0"/>
        <v>$millions</v>
      </c>
      <c r="F16" s="118">
        <f t="shared" si="1"/>
        <v>45809</v>
      </c>
      <c r="H16" s="21"/>
      <c r="I16" s="21"/>
      <c r="J16" s="130">
        <f>IF(J$11="",0,'Calc|Opex forecast'!J92*IF('Calc|Opex forecast'!$F92="nominal",LOOKUP($F16,Nominal_to_Real,'Input|Rate of change'!P$25:P$30),INDEX('Input|Rate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K16" s="130">
        <f>IF(K$11="",0,'Calc|Opex forecast'!K92*IF('Calc|Opex forecast'!$F92="nominal",LOOKUP($F16,Nominal_to_Real,'Input|Rate of change'!Q$25:Q$30),INDEX('Input|Rate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L16" s="130">
        <f>IF(L$11="",0,'Calc|Opex forecast'!L92*IF('Calc|Opex forecast'!$F92="nominal",LOOKUP($F16,Nominal_to_Real,'Input|Rate of change'!R$25:R$30),INDEX('Input|Rate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M16" s="130">
        <f>IF(M$11="",0,'Calc|Opex forecast'!M92*IF('Calc|Opex forecast'!$F92="nominal",LOOKUP($F16,Nominal_to_Real,'Input|Rate of change'!S$25:S$30),INDEX('Input|Rate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N16" s="130">
        <f>IF(N$11="",0,'Calc|Opex forecast'!N92*IF('Calc|Opex forecast'!$F92="nominal",LOOKUP($F16,Nominal_to_Real,'Input|Rate of change'!T$25:T$30),INDEX('Input|Rate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O16" s="130">
        <f>IF(O$11="",0,'Calc|Opex forecast'!O92*IF('Calc|Opex forecast'!$F92="nominal",LOOKUP($F16,Nominal_to_Real,'Input|Rate of change'!U$25:U$30),INDEX('Input|Rate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P16" s="130">
        <f>IF(P$11="",0,'Calc|Opex forecast'!P92*IF('Calc|Opex forecast'!$F92="nominal",LOOKUP($F16,Nominal_to_Real,'Input|Rate of change'!V$25:V$30),INDEX('Input|Rate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Q16" s="130">
        <f>IF(Q$11="",0,'Calc|Opex forecast'!Q92*IF('Calc|Opex forecast'!$F92="nominal",LOOKUP($F16,Nominal_to_Real,'Input|Rate of change'!W$25:W$30),INDEX('Input|Rate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R16" s="130">
        <f>IF(R$11="",0,'Calc|Opex forecast'!R92*IF('Calc|Opex forecast'!$F92="nominal",LOOKUP($F16,Nominal_to_Real,'Input|Rate of change'!X$25:X$30),INDEX('Input|Rate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S16" s="130">
        <f>IF(S$11="",0,'Calc|Opex forecast'!S92*IF('Calc|Opex forecast'!$F92="nominal",LOOKUP($F16,Nominal_to_Real,'Input|Rate of change'!Y$25:Y$30),INDEX('Input|Rate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T16" s="15"/>
      <c r="U16" s="153"/>
    </row>
    <row r="17" spans="1:23">
      <c r="D17" s="28"/>
      <c r="H17" s="21"/>
      <c r="I17" s="21"/>
      <c r="S17" s="23"/>
    </row>
    <row r="18" spans="1:23" customFormat="1" ht="12.75">
      <c r="A18" s="37"/>
      <c r="B18" s="43" t="s">
        <v>23</v>
      </c>
      <c r="C18" s="37"/>
      <c r="D18" s="37"/>
      <c r="E18" s="37"/>
      <c r="F18" s="38"/>
      <c r="G18" s="38"/>
      <c r="H18" s="38"/>
      <c r="I18" s="38"/>
      <c r="J18" s="39"/>
      <c r="K18" s="40"/>
      <c r="L18" s="39"/>
      <c r="M18" s="40"/>
      <c r="N18" s="39"/>
      <c r="O18" s="39"/>
      <c r="P18" s="39"/>
      <c r="Q18" s="39"/>
      <c r="R18" s="39"/>
      <c r="S18" s="39"/>
      <c r="T18" s="39"/>
      <c r="U18" s="39"/>
      <c r="V18" s="40"/>
      <c r="W18" s="40"/>
    </row>
    <row r="24" spans="1:23" hidden="1">
      <c r="M24" s="103"/>
      <c r="N24" s="103"/>
      <c r="O24" s="103"/>
      <c r="P24" s="103"/>
      <c r="Q24" s="103"/>
      <c r="R24" s="103"/>
      <c r="S24" s="103"/>
    </row>
  </sheetData>
  <mergeCells count="1">
    <mergeCell ref="N3:S3"/>
  </mergeCells>
  <conditionalFormatting sqref="V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S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S11">
    <cfRule type="expression" dxfId="18" priority="7">
      <formula>J$11=J$4</formula>
    </cfRule>
  </conditionalFormatting>
  <conditionalFormatting sqref="S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 xr:uid="{00000000-0002-0000-0700-000000000000}">
      <formula1>$G$20:$G$26</formula1>
    </dataValidation>
    <dataValidation type="list" allowBlank="1" showInputMessage="1" showErrorMessage="1" sqref="F17" xr:uid="{00000000-0002-0000-0700-000001000000}">
      <formula1>#REF!</formula1>
    </dataValidation>
  </dataValidations>
  <hyperlinks>
    <hyperlink ref="J1" location="Index!A1" display="Back to Index" xr:uid="{00000000-0004-0000-0700-000000000000}"/>
    <hyperlink ref="D13" location="'Calc|Opex forecast'!A1" display="Calc | Opex forecast" xr:uid="{00000000-0004-0000-0700-000001000000}"/>
    <hyperlink ref="D14" location="'Calc|Opex forecast'!A1" display="Calc | Opex forecast" xr:uid="{00000000-0004-0000-0700-000002000000}"/>
    <hyperlink ref="D15" location="'Calc|Opex forecast'!A1" display="Calc | Opex forecast" xr:uid="{00000000-0004-0000-0700-000003000000}"/>
    <hyperlink ref="D16" location="'Calc|Opex forecast'!A1" display="Calc | Opex forecast" xr:uid="{00000000-0004-0000-0700-000004000000}"/>
    <hyperlink ref="U1" location="'Check|List'!A1" display="Overall Check:" xr:uid="{00000000-0004-0000-0700-000005000000}"/>
  </hyperlinks>
  <pageMargins left="0.7" right="0.7" top="0.75" bottom="0.75" header="0.3" footer="0.3"/>
  <pageSetup paperSize="9" orientation="portrait" verticalDpi="4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1"/>
  </sheetPr>
  <dimension ref="A1:XER83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32" customFormat="1" ht="15.75">
      <c r="B1" s="29" t="str">
        <f>Index!$B$1</f>
        <v>AER opex model v1.8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/>
      <c r="S1" s="34"/>
      <c r="U1" s="131" t="s">
        <v>30</v>
      </c>
      <c r="V1" s="34" t="str">
        <f>'Check|List'!$S$1</f>
        <v>Ok</v>
      </c>
    </row>
    <row r="2" spans="1:30" s="32" customFormat="1" ht="12.75">
      <c r="B2" s="45" t="str">
        <f>Index!$C$14</f>
        <v>Lookup | Tables</v>
      </c>
      <c r="C2" s="45"/>
      <c r="D2" s="45"/>
      <c r="E2" s="45"/>
      <c r="F2" s="46"/>
      <c r="G2" s="46"/>
      <c r="H2" s="46"/>
      <c r="I2" s="46"/>
    </row>
    <row r="3" spans="1:30" s="49" customFormat="1" ht="12.75">
      <c r="A3" s="37"/>
      <c r="B3" s="43"/>
      <c r="C3" s="37"/>
      <c r="D3" s="37"/>
      <c r="E3" s="37"/>
      <c r="F3" s="38"/>
      <c r="G3" s="38"/>
      <c r="H3" s="38"/>
      <c r="I3" s="38"/>
      <c r="J3" s="39"/>
      <c r="K3" s="40"/>
      <c r="L3" s="39"/>
      <c r="M3" s="40"/>
      <c r="N3" s="39"/>
      <c r="O3" s="39"/>
      <c r="P3" s="39"/>
      <c r="Q3" s="39"/>
      <c r="R3" s="39"/>
      <c r="S3" s="39"/>
      <c r="T3" s="39"/>
      <c r="U3" s="39"/>
      <c r="V3" s="40"/>
      <c r="W3" s="40"/>
      <c r="X3" s="47"/>
      <c r="Y3" s="47"/>
      <c r="Z3" s="47"/>
      <c r="AA3" s="47"/>
      <c r="AB3" s="47"/>
      <c r="AC3" s="48"/>
      <c r="AD3" s="48"/>
    </row>
    <row r="4" spans="1:30" s="6" customFormat="1" ht="3" customHeight="1">
      <c r="D4" s="20"/>
      <c r="E4" s="20"/>
    </row>
    <row r="5" spans="1:30" s="6" customFormat="1" ht="9" customHeight="1">
      <c r="D5" s="20"/>
      <c r="E5" s="20"/>
    </row>
    <row r="6" spans="1:30" s="6" customFormat="1" ht="3" customHeight="1">
      <c r="D6" s="20"/>
      <c r="E6" s="20"/>
    </row>
    <row r="7" spans="1:30" customFormat="1" ht="12.75">
      <c r="A7" s="37"/>
      <c r="B7" s="43" t="s">
        <v>163</v>
      </c>
      <c r="C7" s="37"/>
      <c r="D7" s="37"/>
      <c r="E7" s="37"/>
      <c r="F7" s="38"/>
      <c r="G7" s="38"/>
      <c r="H7" s="38"/>
      <c r="I7" s="38"/>
      <c r="J7" s="39"/>
      <c r="K7" s="40"/>
      <c r="L7" s="39"/>
      <c r="M7" s="40"/>
      <c r="N7" s="39"/>
      <c r="O7" s="39"/>
      <c r="P7" s="39"/>
      <c r="Q7" s="39"/>
      <c r="R7" s="39"/>
      <c r="S7" s="39"/>
      <c r="T7" s="39"/>
      <c r="U7" s="39"/>
      <c r="V7" s="40"/>
      <c r="W7" s="40"/>
      <c r="X7" s="41"/>
      <c r="Y7" s="41"/>
      <c r="Z7" s="41"/>
      <c r="AA7" s="41"/>
      <c r="AB7" s="41"/>
      <c r="AC7" s="42"/>
      <c r="AD7" s="42"/>
    </row>
    <row r="8" spans="1:30"/>
    <row r="9" spans="1:30">
      <c r="C9" s="13" t="str">
        <f>B7</f>
        <v>Unit Denominations</v>
      </c>
      <c r="D9" s="21" t="s">
        <v>33</v>
      </c>
      <c r="E9" s="21"/>
      <c r="F9" s="14"/>
      <c r="G9" s="14" t="s">
        <v>164</v>
      </c>
      <c r="H9" s="14"/>
    </row>
    <row r="10" spans="1:30">
      <c r="C10" s="15" t="s">
        <v>165</v>
      </c>
      <c r="D10" s="16" t="s">
        <v>39</v>
      </c>
      <c r="E10" s="16"/>
      <c r="F10" s="16"/>
      <c r="G10" s="44" t="s">
        <v>166</v>
      </c>
    </row>
    <row r="11" spans="1:30">
      <c r="C11" s="15" t="s">
        <v>167</v>
      </c>
      <c r="D11" s="16" t="s">
        <v>39</v>
      </c>
      <c r="E11" s="16"/>
      <c r="F11" s="16"/>
      <c r="G11" s="44" t="s">
        <v>168</v>
      </c>
    </row>
    <row r="12" spans="1:30">
      <c r="C12" s="15" t="s">
        <v>169</v>
      </c>
      <c r="D12" s="16" t="s">
        <v>39</v>
      </c>
      <c r="E12" s="16"/>
      <c r="F12" s="16"/>
      <c r="G12" s="44" t="s">
        <v>61</v>
      </c>
      <c r="T12" s="17"/>
    </row>
    <row r="13" spans="1:30">
      <c r="F13" s="8"/>
      <c r="G13" s="8"/>
    </row>
    <row r="14" spans="1:30">
      <c r="C14" s="15" t="s">
        <v>55</v>
      </c>
      <c r="D14" s="16" t="s">
        <v>39</v>
      </c>
      <c r="E14" s="16"/>
      <c r="F14" s="16"/>
      <c r="G14" s="44" t="s">
        <v>89</v>
      </c>
    </row>
    <row r="15" spans="1:30">
      <c r="C15" s="15" t="s">
        <v>53</v>
      </c>
      <c r="D15" s="16" t="s">
        <v>39</v>
      </c>
      <c r="E15" s="16"/>
      <c r="F15" s="16"/>
      <c r="G15" s="44" t="s">
        <v>170</v>
      </c>
    </row>
    <row r="16" spans="1:30">
      <c r="C16" s="15" t="s">
        <v>171</v>
      </c>
      <c r="D16" s="16" t="s">
        <v>39</v>
      </c>
      <c r="E16" s="16"/>
      <c r="F16" s="16"/>
      <c r="G16" s="44" t="s">
        <v>110</v>
      </c>
    </row>
    <row r="17" spans="1:30">
      <c r="C17" s="15" t="s">
        <v>172</v>
      </c>
      <c r="D17" s="16" t="s">
        <v>39</v>
      </c>
      <c r="E17" s="16"/>
      <c r="F17" s="16"/>
      <c r="G17" s="44" t="s">
        <v>173</v>
      </c>
    </row>
    <row r="18" spans="1:30">
      <c r="C18" s="15"/>
      <c r="D18" s="16"/>
      <c r="E18" s="16"/>
      <c r="F18" s="16"/>
      <c r="G18" s="8"/>
    </row>
    <row r="19" spans="1:30">
      <c r="C19" s="15" t="s">
        <v>68</v>
      </c>
      <c r="D19" s="16" t="s">
        <v>39</v>
      </c>
      <c r="E19" s="16"/>
      <c r="F19" s="16"/>
      <c r="G19" s="44" t="s">
        <v>68</v>
      </c>
    </row>
    <row r="20" spans="1:30">
      <c r="C20" s="15" t="s">
        <v>69</v>
      </c>
      <c r="D20" s="16" t="s">
        <v>39</v>
      </c>
      <c r="E20" s="16"/>
      <c r="F20" s="16"/>
      <c r="G20" s="44" t="s">
        <v>69</v>
      </c>
    </row>
    <row r="21" spans="1:30">
      <c r="C21" s="15"/>
      <c r="D21" s="16"/>
      <c r="E21" s="16"/>
      <c r="F21" s="16"/>
      <c r="G21" s="8"/>
    </row>
    <row r="22" spans="1:30" customFormat="1" ht="12.75">
      <c r="A22" s="37"/>
      <c r="B22" s="43" t="s">
        <v>174</v>
      </c>
      <c r="C22" s="37"/>
      <c r="D22" s="37"/>
      <c r="E22" s="37"/>
      <c r="F22" s="38"/>
      <c r="G22" s="38"/>
      <c r="H22" s="38"/>
      <c r="I22" s="38"/>
      <c r="J22" s="39"/>
      <c r="K22" s="40"/>
      <c r="L22" s="39"/>
      <c r="M22" s="40"/>
      <c r="N22" s="39"/>
      <c r="O22" s="39"/>
      <c r="P22" s="39"/>
      <c r="Q22" s="39"/>
      <c r="R22" s="39"/>
      <c r="S22" s="39"/>
      <c r="T22" s="39"/>
      <c r="U22" s="39"/>
      <c r="V22" s="40"/>
      <c r="W22" s="40"/>
      <c r="X22" s="41"/>
      <c r="Y22" s="41"/>
      <c r="Z22" s="41"/>
      <c r="AA22" s="41"/>
      <c r="AB22" s="41"/>
      <c r="AC22" s="42"/>
      <c r="AD22" s="42"/>
    </row>
    <row r="23" spans="1:30"/>
    <row r="24" spans="1:30">
      <c r="C24" s="13" t="str">
        <f>B22</f>
        <v>Months</v>
      </c>
      <c r="D24" s="21" t="s">
        <v>33</v>
      </c>
      <c r="E24" s="21"/>
      <c r="F24" s="14"/>
      <c r="G24" s="14" t="s">
        <v>164</v>
      </c>
      <c r="H24" s="14"/>
    </row>
    <row r="25" spans="1:30">
      <c r="C25" s="15" t="s">
        <v>175</v>
      </c>
      <c r="D25" s="16" t="s">
        <v>39</v>
      </c>
      <c r="E25" s="16"/>
      <c r="F25" s="16"/>
      <c r="G25" s="111">
        <v>36526</v>
      </c>
      <c r="H25" s="14"/>
    </row>
    <row r="26" spans="1:30">
      <c r="C26" s="15" t="s">
        <v>176</v>
      </c>
      <c r="D26" s="16" t="s">
        <v>39</v>
      </c>
      <c r="E26" s="16"/>
      <c r="F26" s="16"/>
      <c r="G26" s="111">
        <v>36557</v>
      </c>
      <c r="H26" s="14"/>
    </row>
    <row r="27" spans="1:30">
      <c r="C27" s="15" t="s">
        <v>177</v>
      </c>
      <c r="D27" s="16" t="s">
        <v>39</v>
      </c>
      <c r="E27" s="16"/>
      <c r="F27" s="16"/>
      <c r="G27" s="111">
        <v>36586</v>
      </c>
      <c r="H27" s="14"/>
    </row>
    <row r="28" spans="1:30">
      <c r="C28" s="15" t="s">
        <v>178</v>
      </c>
      <c r="D28" s="16" t="s">
        <v>39</v>
      </c>
      <c r="E28" s="16"/>
      <c r="F28" s="16"/>
      <c r="G28" s="111">
        <v>36617</v>
      </c>
    </row>
    <row r="29" spans="1:30">
      <c r="C29" s="15" t="s">
        <v>179</v>
      </c>
      <c r="D29" s="16" t="s">
        <v>39</v>
      </c>
      <c r="E29" s="16"/>
      <c r="F29" s="16"/>
      <c r="G29" s="111">
        <v>36647</v>
      </c>
    </row>
    <row r="30" spans="1:30">
      <c r="C30" s="15" t="s">
        <v>180</v>
      </c>
      <c r="D30" s="16" t="s">
        <v>39</v>
      </c>
      <c r="E30" s="16"/>
      <c r="F30" s="16"/>
      <c r="G30" s="111">
        <v>36678</v>
      </c>
      <c r="T30" s="17"/>
    </row>
    <row r="31" spans="1:30">
      <c r="C31" s="15" t="s">
        <v>181</v>
      </c>
      <c r="D31" s="16" t="s">
        <v>39</v>
      </c>
      <c r="E31" s="16"/>
      <c r="F31" s="16"/>
      <c r="G31" s="111">
        <v>36708</v>
      </c>
      <c r="T31" s="17"/>
    </row>
    <row r="32" spans="1:30">
      <c r="C32" s="15" t="s">
        <v>182</v>
      </c>
      <c r="D32" s="16" t="s">
        <v>39</v>
      </c>
      <c r="E32" s="16"/>
      <c r="F32" s="16"/>
      <c r="G32" s="111">
        <v>36739</v>
      </c>
      <c r="T32" s="17"/>
    </row>
    <row r="33" spans="1:30">
      <c r="C33" s="15" t="s">
        <v>183</v>
      </c>
      <c r="D33" s="16" t="s">
        <v>39</v>
      </c>
      <c r="E33" s="16"/>
      <c r="F33" s="16"/>
      <c r="G33" s="111">
        <v>36770</v>
      </c>
      <c r="T33" s="17"/>
    </row>
    <row r="34" spans="1:30">
      <c r="C34" s="15" t="s">
        <v>184</v>
      </c>
      <c r="D34" s="16" t="s">
        <v>39</v>
      </c>
      <c r="E34" s="16"/>
      <c r="F34" s="16"/>
      <c r="G34" s="111">
        <v>36800</v>
      </c>
      <c r="T34" s="17"/>
    </row>
    <row r="35" spans="1:30">
      <c r="C35" s="15" t="s">
        <v>185</v>
      </c>
      <c r="D35" s="16" t="s">
        <v>39</v>
      </c>
      <c r="E35" s="16"/>
      <c r="F35" s="16"/>
      <c r="G35" s="111">
        <v>36831</v>
      </c>
      <c r="T35" s="17"/>
    </row>
    <row r="36" spans="1:30">
      <c r="C36" s="15" t="s">
        <v>186</v>
      </c>
      <c r="D36" s="16" t="s">
        <v>39</v>
      </c>
      <c r="E36" s="16"/>
      <c r="F36" s="16"/>
      <c r="G36" s="111">
        <v>36861</v>
      </c>
      <c r="T36" s="17"/>
    </row>
    <row r="37" spans="1:30">
      <c r="C37" s="15"/>
      <c r="D37" s="16"/>
      <c r="E37" s="16"/>
      <c r="F37" s="16"/>
      <c r="T37" s="17"/>
    </row>
    <row r="38" spans="1:30" customFormat="1" ht="12.75">
      <c r="A38" s="37"/>
      <c r="B38" s="43" t="s">
        <v>187</v>
      </c>
      <c r="C38" s="37"/>
      <c r="D38" s="37"/>
      <c r="E38" s="37"/>
      <c r="F38" s="38"/>
      <c r="G38" s="38"/>
      <c r="H38" s="38"/>
      <c r="I38" s="38"/>
      <c r="J38" s="39"/>
      <c r="K38" s="40"/>
      <c r="L38" s="39"/>
      <c r="M38" s="40"/>
      <c r="N38" s="39"/>
      <c r="O38" s="39"/>
      <c r="P38" s="39"/>
      <c r="Q38" s="39"/>
      <c r="R38" s="39"/>
      <c r="S38" s="39"/>
      <c r="T38" s="39"/>
      <c r="U38" s="39"/>
      <c r="V38" s="40"/>
      <c r="W38" s="40"/>
      <c r="X38" s="41"/>
      <c r="Y38" s="41"/>
      <c r="Z38" s="41"/>
      <c r="AA38" s="41"/>
      <c r="AB38" s="41"/>
      <c r="AC38" s="42"/>
      <c r="AD38" s="42"/>
    </row>
    <row r="39" spans="1:30"/>
    <row r="40" spans="1:30">
      <c r="C40" s="13" t="str">
        <f>B38</f>
        <v>Years</v>
      </c>
      <c r="D40" s="21" t="s">
        <v>33</v>
      </c>
      <c r="E40" s="21"/>
      <c r="F40" s="14"/>
      <c r="G40" s="14" t="s">
        <v>188</v>
      </c>
      <c r="H40" s="14" t="s">
        <v>189</v>
      </c>
      <c r="I40" s="14" t="s">
        <v>190</v>
      </c>
    </row>
    <row r="41" spans="1:30">
      <c r="C41" s="117">
        <v>40695</v>
      </c>
      <c r="D41" s="16" t="s">
        <v>39</v>
      </c>
      <c r="E41" s="16"/>
      <c r="F41" s="16"/>
      <c r="G41" s="112">
        <v>2011</v>
      </c>
      <c r="H41" s="135">
        <f>DATE(G41,MONTH('Input|General'!$G$9),1)</f>
        <v>40695</v>
      </c>
      <c r="I41" s="133" t="str">
        <f>G41-1&amp;"–"&amp;RIGHT(G41,2)</f>
        <v>2010–11</v>
      </c>
    </row>
    <row r="42" spans="1:30">
      <c r="C42" s="117">
        <v>41061</v>
      </c>
      <c r="D42" s="16" t="s">
        <v>39</v>
      </c>
      <c r="E42" s="16"/>
      <c r="F42" s="16"/>
      <c r="G42" s="112">
        <v>2012</v>
      </c>
      <c r="H42" s="135">
        <f>DATE(G42,MONTH('Input|General'!$G$9),1)</f>
        <v>41061</v>
      </c>
      <c r="I42" s="133" t="str">
        <f t="shared" ref="I42:I60" si="0">G42-1&amp;"–"&amp;RIGHT(G42,2)</f>
        <v>2011–12</v>
      </c>
    </row>
    <row r="43" spans="1:30">
      <c r="C43" s="117">
        <v>41426</v>
      </c>
      <c r="D43" s="16" t="s">
        <v>39</v>
      </c>
      <c r="E43" s="16"/>
      <c r="F43" s="16"/>
      <c r="G43" s="112">
        <v>2013</v>
      </c>
      <c r="H43" s="135">
        <f>DATE(G43,MONTH('Input|General'!$G$9),1)</f>
        <v>41426</v>
      </c>
      <c r="I43" s="133" t="str">
        <f t="shared" si="0"/>
        <v>2012–13</v>
      </c>
    </row>
    <row r="44" spans="1:30">
      <c r="C44" s="117">
        <v>41791</v>
      </c>
      <c r="D44" s="16" t="s">
        <v>39</v>
      </c>
      <c r="E44" s="16"/>
      <c r="F44" s="16"/>
      <c r="G44" s="112">
        <v>2014</v>
      </c>
      <c r="H44" s="135">
        <f>DATE(G44,MONTH('Input|General'!$G$9),1)</f>
        <v>41791</v>
      </c>
      <c r="I44" s="133" t="str">
        <f t="shared" si="0"/>
        <v>2013–14</v>
      </c>
    </row>
    <row r="45" spans="1:30">
      <c r="C45" s="117">
        <v>42156</v>
      </c>
      <c r="D45" s="16" t="s">
        <v>39</v>
      </c>
      <c r="E45" s="16"/>
      <c r="F45" s="16"/>
      <c r="G45" s="112">
        <v>2015</v>
      </c>
      <c r="H45" s="135">
        <f>DATE(G45,MONTH('Input|General'!$G$9),1)</f>
        <v>42156</v>
      </c>
      <c r="I45" s="133" t="str">
        <f t="shared" si="0"/>
        <v>2014–15</v>
      </c>
      <c r="T45" s="17"/>
    </row>
    <row r="46" spans="1:30">
      <c r="C46" s="117">
        <v>42522</v>
      </c>
      <c r="D46" s="16" t="s">
        <v>39</v>
      </c>
      <c r="E46" s="16"/>
      <c r="F46" s="16"/>
      <c r="G46" s="112">
        <v>2016</v>
      </c>
      <c r="H46" s="135">
        <f>DATE(G46,MONTH('Input|General'!$G$9),1)</f>
        <v>42522</v>
      </c>
      <c r="I46" s="133" t="str">
        <f t="shared" si="0"/>
        <v>2015–16</v>
      </c>
      <c r="T46" s="17"/>
    </row>
    <row r="47" spans="1:30">
      <c r="C47" s="117">
        <v>42887</v>
      </c>
      <c r="D47" s="16" t="s">
        <v>39</v>
      </c>
      <c r="E47" s="16"/>
      <c r="F47" s="16"/>
      <c r="G47" s="112">
        <v>2017</v>
      </c>
      <c r="H47" s="135">
        <f>DATE(G47,MONTH('Input|General'!$G$9),1)</f>
        <v>42887</v>
      </c>
      <c r="I47" s="133" t="str">
        <f t="shared" si="0"/>
        <v>2016–17</v>
      </c>
      <c r="T47" s="17"/>
    </row>
    <row r="48" spans="1:30">
      <c r="C48" s="117">
        <v>43252</v>
      </c>
      <c r="D48" s="16" t="s">
        <v>39</v>
      </c>
      <c r="E48" s="16"/>
      <c r="F48" s="16"/>
      <c r="G48" s="112">
        <v>2018</v>
      </c>
      <c r="H48" s="135">
        <f>DATE(G48,MONTH('Input|General'!$G$9),1)</f>
        <v>43252</v>
      </c>
      <c r="I48" s="133" t="str">
        <f t="shared" si="0"/>
        <v>2017–18</v>
      </c>
      <c r="T48" s="17"/>
    </row>
    <row r="49" spans="1:30">
      <c r="C49" s="117">
        <v>43617</v>
      </c>
      <c r="D49" s="16" t="s">
        <v>39</v>
      </c>
      <c r="E49" s="16"/>
      <c r="F49" s="16"/>
      <c r="G49" s="112">
        <v>2019</v>
      </c>
      <c r="H49" s="135">
        <f>DATE(G49,MONTH('Input|General'!$G$9),1)</f>
        <v>43617</v>
      </c>
      <c r="I49" s="133" t="str">
        <f t="shared" si="0"/>
        <v>2018–19</v>
      </c>
      <c r="T49" s="17"/>
    </row>
    <row r="50" spans="1:30">
      <c r="C50" s="117">
        <v>43983</v>
      </c>
      <c r="D50" s="16" t="s">
        <v>39</v>
      </c>
      <c r="E50" s="16"/>
      <c r="F50" s="16"/>
      <c r="G50" s="112">
        <v>2020</v>
      </c>
      <c r="H50" s="135">
        <f>DATE(G50,MONTH('Input|General'!$G$9),1)</f>
        <v>43983</v>
      </c>
      <c r="I50" s="133" t="str">
        <f t="shared" si="0"/>
        <v>2019–20</v>
      </c>
      <c r="T50" s="17"/>
    </row>
    <row r="51" spans="1:30">
      <c r="C51" s="117">
        <v>44348</v>
      </c>
      <c r="D51" s="16" t="s">
        <v>39</v>
      </c>
      <c r="E51" s="16"/>
      <c r="F51" s="16"/>
      <c r="G51" s="112">
        <v>2021</v>
      </c>
      <c r="H51" s="135">
        <f>DATE(G51,MONTH('Input|General'!$G$9),1)</f>
        <v>44348</v>
      </c>
      <c r="I51" s="133" t="str">
        <f t="shared" si="0"/>
        <v>2020–21</v>
      </c>
      <c r="T51" s="17"/>
    </row>
    <row r="52" spans="1:30">
      <c r="C52" s="117">
        <v>44713</v>
      </c>
      <c r="D52" s="16" t="s">
        <v>39</v>
      </c>
      <c r="E52" s="16"/>
      <c r="F52" s="16"/>
      <c r="G52" s="112">
        <v>2022</v>
      </c>
      <c r="H52" s="135">
        <f>DATE(G52,MONTH('Input|General'!$G$9),1)</f>
        <v>44713</v>
      </c>
      <c r="I52" s="133" t="str">
        <f t="shared" si="0"/>
        <v>2021–22</v>
      </c>
      <c r="T52" s="17"/>
    </row>
    <row r="53" spans="1:30">
      <c r="C53" s="117">
        <v>45078</v>
      </c>
      <c r="D53" s="16" t="s">
        <v>39</v>
      </c>
      <c r="E53" s="16"/>
      <c r="F53" s="16"/>
      <c r="G53" s="112">
        <v>2023</v>
      </c>
      <c r="H53" s="135">
        <f>DATE(G53,MONTH('Input|General'!$G$9),1)</f>
        <v>45078</v>
      </c>
      <c r="I53" s="133" t="str">
        <f t="shared" si="0"/>
        <v>2022–23</v>
      </c>
      <c r="T53" s="17"/>
    </row>
    <row r="54" spans="1:30">
      <c r="C54" s="117">
        <v>45444</v>
      </c>
      <c r="D54" s="16" t="s">
        <v>39</v>
      </c>
      <c r="E54" s="16"/>
      <c r="F54" s="16"/>
      <c r="G54" s="112">
        <v>2024</v>
      </c>
      <c r="H54" s="135">
        <f>DATE(G54,MONTH('Input|General'!$G$9),1)</f>
        <v>45444</v>
      </c>
      <c r="I54" s="133" t="str">
        <f t="shared" si="0"/>
        <v>2023–24</v>
      </c>
      <c r="T54" s="17"/>
    </row>
    <row r="55" spans="1:30">
      <c r="C55" s="117">
        <v>45809</v>
      </c>
      <c r="D55" s="16" t="s">
        <v>39</v>
      </c>
      <c r="E55" s="16"/>
      <c r="F55" s="16"/>
      <c r="G55" s="112">
        <v>2025</v>
      </c>
      <c r="H55" s="135">
        <f>DATE(G55,MONTH('Input|General'!$G$9),1)</f>
        <v>45809</v>
      </c>
      <c r="I55" s="133" t="str">
        <f t="shared" si="0"/>
        <v>2024–25</v>
      </c>
      <c r="T55" s="17"/>
    </row>
    <row r="56" spans="1:30">
      <c r="C56" s="117">
        <v>46174</v>
      </c>
      <c r="D56" s="16" t="s">
        <v>39</v>
      </c>
      <c r="E56" s="16"/>
      <c r="F56" s="16"/>
      <c r="G56" s="112">
        <v>2026</v>
      </c>
      <c r="H56" s="135">
        <f>DATE(G56,MONTH('Input|General'!$G$9),1)</f>
        <v>46174</v>
      </c>
      <c r="I56" s="133" t="str">
        <f t="shared" si="0"/>
        <v>2025–26</v>
      </c>
      <c r="T56" s="17"/>
    </row>
    <row r="57" spans="1:30">
      <c r="C57" s="117">
        <v>46539</v>
      </c>
      <c r="D57" s="16" t="s">
        <v>39</v>
      </c>
      <c r="E57" s="16"/>
      <c r="F57" s="16"/>
      <c r="G57" s="112">
        <v>2027</v>
      </c>
      <c r="H57" s="135">
        <f>DATE(G57,MONTH('Input|General'!$G$9),1)</f>
        <v>46539</v>
      </c>
      <c r="I57" s="133" t="str">
        <f t="shared" si="0"/>
        <v>2026–27</v>
      </c>
      <c r="T57" s="17"/>
    </row>
    <row r="58" spans="1:30">
      <c r="C58" s="117">
        <v>46905</v>
      </c>
      <c r="D58" s="16" t="s">
        <v>39</v>
      </c>
      <c r="E58" s="16"/>
      <c r="F58" s="16"/>
      <c r="G58" s="112">
        <v>2028</v>
      </c>
      <c r="H58" s="135">
        <f>DATE(G58,MONTH('Input|General'!$G$9),1)</f>
        <v>46905</v>
      </c>
      <c r="I58" s="133" t="str">
        <f t="shared" si="0"/>
        <v>2027–28</v>
      </c>
      <c r="T58" s="17"/>
    </row>
    <row r="59" spans="1:30">
      <c r="C59" s="117">
        <v>47270</v>
      </c>
      <c r="D59" s="16" t="s">
        <v>39</v>
      </c>
      <c r="E59" s="16"/>
      <c r="F59" s="16"/>
      <c r="G59" s="112">
        <v>2029</v>
      </c>
      <c r="H59" s="135">
        <f>DATE(G59,MONTH('Input|General'!$G$9),1)</f>
        <v>47270</v>
      </c>
      <c r="I59" s="133" t="str">
        <f t="shared" si="0"/>
        <v>2028–29</v>
      </c>
      <c r="T59" s="17"/>
    </row>
    <row r="60" spans="1:30">
      <c r="C60" s="117">
        <v>47635</v>
      </c>
      <c r="D60" s="16" t="s">
        <v>39</v>
      </c>
      <c r="E60" s="16"/>
      <c r="F60" s="16"/>
      <c r="G60" s="112">
        <v>2030</v>
      </c>
      <c r="H60" s="135">
        <f>DATE(G60,MONTH('Input|General'!$G$9),1)</f>
        <v>47635</v>
      </c>
      <c r="I60" s="133" t="str">
        <f t="shared" si="0"/>
        <v>2029–30</v>
      </c>
      <c r="T60" s="17"/>
    </row>
    <row r="61" spans="1:30"/>
    <row r="62" spans="1:30" customFormat="1" ht="12.75">
      <c r="A62" s="37"/>
      <c r="B62" s="43" t="s">
        <v>191</v>
      </c>
      <c r="C62" s="37"/>
      <c r="D62" s="37"/>
      <c r="E62" s="37"/>
      <c r="F62" s="38"/>
      <c r="G62" s="38"/>
      <c r="H62" s="38"/>
      <c r="I62" s="38"/>
      <c r="J62" s="39"/>
      <c r="K62" s="40"/>
      <c r="L62" s="39"/>
      <c r="M62" s="40"/>
      <c r="N62" s="39"/>
      <c r="O62" s="39"/>
      <c r="P62" s="39"/>
      <c r="Q62" s="39"/>
      <c r="R62" s="39"/>
      <c r="S62" s="39"/>
      <c r="T62" s="39"/>
      <c r="U62" s="39"/>
      <c r="V62" s="40"/>
      <c r="W62" s="40"/>
      <c r="X62" s="41"/>
      <c r="Y62" s="41"/>
      <c r="Z62" s="41"/>
      <c r="AA62" s="41"/>
      <c r="AB62" s="41"/>
      <c r="AC62" s="42"/>
      <c r="AD62" s="42"/>
    </row>
    <row r="63" spans="1:30"/>
    <row r="64" spans="1:30">
      <c r="C64" s="13" t="str">
        <f>B62</f>
        <v>Regulatory years</v>
      </c>
      <c r="D64" s="21" t="s">
        <v>33</v>
      </c>
      <c r="E64" s="21"/>
      <c r="F64" s="14"/>
      <c r="G64" s="14" t="s">
        <v>192</v>
      </c>
      <c r="H64" s="14" t="s">
        <v>41</v>
      </c>
    </row>
    <row r="65" spans="1:30">
      <c r="C65" s="15" t="s">
        <v>193</v>
      </c>
      <c r="D65" s="16" t="s">
        <v>91</v>
      </c>
      <c r="E65" s="21"/>
      <c r="F65" s="14"/>
      <c r="G65" s="133" t="str">
        <f>IF(MONTH('Input|General'!$G$9)=12,PPFirstYear-1,PPFirstYear-2&amp;"–"&amp;RIGHT(PPFirstYear-1,2))</f>
        <v>2019–20</v>
      </c>
      <c r="H65" s="135">
        <f>DATE(PPFirstYear-1,MONTH('Input|General'!$G$9),1)</f>
        <v>43983</v>
      </c>
    </row>
    <row r="66" spans="1:30">
      <c r="C66" s="15" t="s">
        <v>194</v>
      </c>
      <c r="D66" s="16" t="s">
        <v>91</v>
      </c>
      <c r="E66" s="16"/>
      <c r="F66" s="16"/>
      <c r="G66" s="133" t="str">
        <f>IF(MONTH('Input|General'!$G$9)=12,PPFirstYear,PPFirstYear-1&amp;"–"&amp;RIGHT(PPFirstYear,2))</f>
        <v>2020–21</v>
      </c>
      <c r="H66" s="135">
        <f>DATE(PPFirstYear,MONTH('Input|General'!$G$9),1)</f>
        <v>44348</v>
      </c>
    </row>
    <row r="67" spans="1:30">
      <c r="C67" s="15" t="s">
        <v>195</v>
      </c>
      <c r="D67" s="16" t="s">
        <v>91</v>
      </c>
      <c r="E67" s="16"/>
      <c r="F67" s="16"/>
      <c r="G67" s="133" t="str">
        <f>IF(MONTH('Input|General'!$G$9)=12,PPFirstYear+1,PPFirstYear&amp;"–"&amp;RIGHT(PPFirstYear+1,2))</f>
        <v>2021–22</v>
      </c>
      <c r="H67" s="135">
        <f>IF(PPLastYear-PPFirstYear&lt;1,"",DATE(PPFirstYear+1,MONTH('Input|General'!$G$9),1))</f>
        <v>44713</v>
      </c>
    </row>
    <row r="68" spans="1:30">
      <c r="C68" s="15" t="s">
        <v>196</v>
      </c>
      <c r="D68" s="16" t="s">
        <v>91</v>
      </c>
      <c r="E68" s="16"/>
      <c r="F68" s="16"/>
      <c r="G68" s="133" t="str">
        <f>IF(MONTH('Input|General'!$G$9)=12,PPFirstYear+2,PPFirstYear+1&amp;"–"&amp;RIGHT(PPFirstYear+2,2))</f>
        <v>2022–23</v>
      </c>
      <c r="H68" s="135">
        <f>IF(PPLastYear-PPFirstYear&lt;2,"",DATE(PPFirstYear+2,MONTH('Input|General'!$G$9),1))</f>
        <v>45078</v>
      </c>
    </row>
    <row r="69" spans="1:30">
      <c r="C69" s="15" t="s">
        <v>197</v>
      </c>
      <c r="D69" s="16" t="s">
        <v>91</v>
      </c>
      <c r="E69" s="16"/>
      <c r="F69" s="16"/>
      <c r="G69" s="133" t="str">
        <f>IF(MONTH('Input|General'!$G$9)=12,PPFirstYear+3,PPFirstYear+2&amp;"–"&amp;RIGHT(PPFirstYear+3,2))</f>
        <v>2023–24</v>
      </c>
      <c r="H69" s="135">
        <f>IF(PPLastYear-PPFirstYear&lt;3,"",DATE(PPFirstYear+3,MONTH('Input|General'!$G$9),1))</f>
        <v>45444</v>
      </c>
    </row>
    <row r="70" spans="1:30">
      <c r="C70" s="15" t="s">
        <v>198</v>
      </c>
      <c r="D70" s="16" t="s">
        <v>91</v>
      </c>
      <c r="E70" s="16"/>
      <c r="F70" s="16"/>
      <c r="G70" s="133" t="str">
        <f>IF(MONTH('Input|General'!$G$9)=12,PPFirstYear+4,PPFirstYear+3&amp;"–"&amp;RIGHT(PPFirstYear+4,2))</f>
        <v>2024–25</v>
      </c>
      <c r="H70" s="135">
        <f>IF(PPLastYear-PPFirstYear&lt;4,"",DATE(PPFirstYear+4,MONTH('Input|General'!$G$9),1))</f>
        <v>45809</v>
      </c>
    </row>
    <row r="71" spans="1:30">
      <c r="C71" s="15" t="s">
        <v>199</v>
      </c>
      <c r="D71" s="16" t="s">
        <v>91</v>
      </c>
      <c r="E71" s="16"/>
      <c r="F71" s="16"/>
      <c r="G71" s="134" t="str">
        <f>IF(MONTH('Input|General'!$G$9)=12,FPFirstYear,FPFirstYear-1&amp;"–"&amp;RIGHT(FPFirstYear,2))</f>
        <v>2025–26</v>
      </c>
      <c r="H71" s="135">
        <f>DATE(FPFirstYear,MONTH('Input|General'!$G$9),1)</f>
        <v>46174</v>
      </c>
      <c r="T71" s="17"/>
    </row>
    <row r="72" spans="1:30">
      <c r="C72" s="15" t="s">
        <v>200</v>
      </c>
      <c r="D72" s="16" t="s">
        <v>91</v>
      </c>
      <c r="E72" s="16"/>
      <c r="F72" s="16"/>
      <c r="G72" s="134" t="str">
        <f>IF(MONTH('Input|General'!$G$9)=12,FPFirstYear+1,FPFirstYear&amp;"–"&amp;RIGHT(FPFirstYear+1,2))</f>
        <v>2026–27</v>
      </c>
      <c r="H72" s="135">
        <f>IF(FPLastYear-FPFirstYear&lt;1,"",DATE(FPFirstYear+1,MONTH('Input|General'!$G$9),1))</f>
        <v>46539</v>
      </c>
      <c r="T72" s="17"/>
    </row>
    <row r="73" spans="1:30">
      <c r="C73" s="15" t="s">
        <v>201</v>
      </c>
      <c r="D73" s="16" t="s">
        <v>91</v>
      </c>
      <c r="E73" s="16"/>
      <c r="F73" s="16"/>
      <c r="G73" s="134" t="str">
        <f>IF(MONTH('Input|General'!$G$9)=12,FPFirstYear+2,FPFirstYear+1&amp;"–"&amp;RIGHT(FPFirstYear+2,2))</f>
        <v>2027–28</v>
      </c>
      <c r="H73" s="135">
        <f>IF(FPLastYear-FPFirstYear&lt;2,"",DATE(FPFirstYear+2,MONTH('Input|General'!$G$9),1))</f>
        <v>46905</v>
      </c>
      <c r="T73" s="17"/>
    </row>
    <row r="74" spans="1:30">
      <c r="C74" s="15" t="s">
        <v>202</v>
      </c>
      <c r="D74" s="16" t="s">
        <v>91</v>
      </c>
      <c r="E74" s="16"/>
      <c r="F74" s="16"/>
      <c r="G74" s="134" t="str">
        <f>IF(MONTH('Input|General'!$G$9)=12,FPFirstYear+3,FPFirstYear+2&amp;"–"&amp;RIGHT(FPFirstYear+3,2))</f>
        <v>2028–29</v>
      </c>
      <c r="H74" s="135">
        <f>IF(FPLastYear-FPFirstYear&lt;3,"",DATE(FPFirstYear+3,MONTH('Input|General'!$G$9),1))</f>
        <v>47270</v>
      </c>
      <c r="T74" s="17"/>
    </row>
    <row r="75" spans="1:30">
      <c r="C75" s="15" t="s">
        <v>203</v>
      </c>
      <c r="D75" s="16" t="s">
        <v>91</v>
      </c>
      <c r="E75" s="16"/>
      <c r="F75" s="16"/>
      <c r="G75" s="134" t="str">
        <f>IF(MONTH('Input|General'!$G$9)=12,FPFirstYear+4,FPFirstYear+3&amp;"–"&amp;RIGHT(FPFirstYear+4,2))</f>
        <v>2029–30</v>
      </c>
      <c r="H75" s="135">
        <f>IF(FPLastYear-FPFirstYear&lt;4,"",DATE(FPFirstYear+4,MONTH('Input|General'!$G$9),1))</f>
        <v>47635</v>
      </c>
      <c r="T75" s="17"/>
    </row>
    <row r="76" spans="1:30">
      <c r="C76" s="15"/>
      <c r="D76" s="16"/>
      <c r="E76" s="16"/>
      <c r="F76" s="16"/>
      <c r="G76" s="158"/>
      <c r="H76" s="159"/>
      <c r="T76" s="17"/>
    </row>
    <row r="77" spans="1:30" customFormat="1" ht="12.75">
      <c r="A77" s="37"/>
      <c r="B77" s="43" t="s">
        <v>145</v>
      </c>
      <c r="C77" s="37"/>
      <c r="D77" s="37"/>
      <c r="E77" s="37"/>
      <c r="F77" s="38"/>
      <c r="G77" s="38"/>
      <c r="H77" s="38"/>
      <c r="I77" s="38"/>
      <c r="J77" s="39"/>
      <c r="K77" s="40"/>
      <c r="L77" s="39"/>
      <c r="M77" s="40"/>
      <c r="N77" s="39"/>
      <c r="O77" s="39"/>
      <c r="P77" s="39"/>
      <c r="Q77" s="39"/>
      <c r="R77" s="39"/>
      <c r="S77" s="39"/>
      <c r="T77" s="39"/>
      <c r="U77" s="39"/>
      <c r="V77" s="40"/>
      <c r="W77" s="40"/>
      <c r="X77" s="41"/>
      <c r="Y77" s="41"/>
      <c r="Z77" s="41"/>
      <c r="AA77" s="41"/>
      <c r="AB77" s="41"/>
      <c r="AC77" s="42"/>
      <c r="AD77" s="42"/>
    </row>
    <row r="78" spans="1:30"/>
    <row r="79" spans="1:30">
      <c r="C79" s="13" t="str">
        <f>B77</f>
        <v>Rate of change</v>
      </c>
      <c r="D79" s="21" t="s">
        <v>33</v>
      </c>
      <c r="E79" s="21"/>
      <c r="F79" s="14"/>
      <c r="G79" s="14" t="s">
        <v>192</v>
      </c>
      <c r="H79" s="14"/>
    </row>
    <row r="80" spans="1:30">
      <c r="C80" s="15" t="s">
        <v>204</v>
      </c>
      <c r="D80" s="16" t="s">
        <v>39</v>
      </c>
      <c r="E80" s="16"/>
      <c r="F80" s="16"/>
      <c r="G80" s="133" t="s">
        <v>48</v>
      </c>
      <c r="H80" s="159"/>
    </row>
    <row r="81" spans="1:30">
      <c r="C81" s="15" t="s">
        <v>205</v>
      </c>
      <c r="D81" s="16" t="s">
        <v>39</v>
      </c>
      <c r="E81" s="16"/>
      <c r="F81" s="16"/>
      <c r="G81" s="134" t="s">
        <v>206</v>
      </c>
      <c r="H81" s="159"/>
    </row>
    <row r="82" spans="1:30"/>
    <row r="83" spans="1:30" customFormat="1" ht="12.75">
      <c r="A83" s="37"/>
      <c r="B83" s="43" t="s">
        <v>23</v>
      </c>
      <c r="C83" s="37"/>
      <c r="D83" s="37"/>
      <c r="E83" s="37"/>
      <c r="F83" s="38"/>
      <c r="G83" s="38"/>
      <c r="H83" s="38"/>
      <c r="I83" s="38"/>
      <c r="J83" s="39"/>
      <c r="K83" s="40"/>
      <c r="L83" s="39"/>
      <c r="M83" s="40"/>
      <c r="N83" s="39"/>
      <c r="O83" s="39"/>
      <c r="P83" s="39"/>
      <c r="Q83" s="39"/>
      <c r="R83" s="39"/>
      <c r="S83" s="39"/>
      <c r="T83" s="39"/>
      <c r="U83" s="39"/>
      <c r="V83" s="40"/>
      <c r="W83" s="40"/>
      <c r="X83" s="41"/>
      <c r="Y83" s="41"/>
      <c r="Z83" s="41"/>
      <c r="AA83" s="41"/>
      <c r="AB83" s="41"/>
      <c r="AC83" s="42"/>
      <c r="AD83" s="42"/>
    </row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2">
    <cfRule type="expression" dxfId="13" priority="53" stopIfTrue="1">
      <formula>#REF!="Actual"</formula>
    </cfRule>
  </conditionalFormatting>
  <conditionalFormatting sqref="Q82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 xr:uid="{00000000-0004-0000-0800-000000000000}"/>
    <hyperlink ref="U1" location="'Check|List'!A1" display="Overall Check:" xr:uid="{00000000-0004-0000-0800-000001000000}"/>
  </hyperlinks>
  <pageMargins left="0.7" right="0.7" top="0.75" bottom="0.75" header="0.3" footer="0.3"/>
  <pageSetup paperSize="9" orientation="portrait" verticalDpi="4" r:id="rId1"/>
  <customProperties>
    <customPr name="_pios_id" r:id="rId2"/>
  </customProperties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1"/>
  </sheetPr>
  <dimension ref="A1:AD28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 v1.8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131" t="s">
        <v>30</v>
      </c>
      <c r="S1" s="34" t="str">
        <f>IF(COUNTIF(G10:G15,"Check")=0,"Ok","Check")</f>
        <v>Ok</v>
      </c>
      <c r="U1" s="33"/>
      <c r="V1" s="34"/>
    </row>
    <row r="2" spans="1:30" s="32" customFormat="1" ht="12.75">
      <c r="B2" s="45" t="str">
        <f>Index!$C$15</f>
        <v>Check | List</v>
      </c>
      <c r="C2" s="45"/>
      <c r="D2" s="45"/>
      <c r="E2" s="45"/>
      <c r="F2" s="46"/>
      <c r="G2" s="46"/>
      <c r="H2" s="46"/>
      <c r="I2" s="46"/>
    </row>
    <row r="3" spans="1:30" s="49" customFormat="1" ht="12.75">
      <c r="A3" s="37"/>
      <c r="B3" s="43"/>
      <c r="C3" s="37"/>
      <c r="D3" s="37"/>
      <c r="E3" s="37"/>
      <c r="F3" s="38"/>
      <c r="G3" s="38"/>
      <c r="H3" s="38"/>
      <c r="I3" s="38"/>
      <c r="J3" s="39"/>
      <c r="K3" s="40"/>
      <c r="L3" s="39"/>
      <c r="M3" s="40"/>
      <c r="N3" s="39"/>
      <c r="O3" s="39"/>
      <c r="P3" s="39"/>
      <c r="Q3" s="39"/>
      <c r="R3" s="39"/>
      <c r="S3" s="39"/>
      <c r="T3" s="39"/>
      <c r="U3" s="39"/>
      <c r="V3" s="40"/>
      <c r="W3" s="40"/>
      <c r="X3" s="47"/>
      <c r="Y3" s="47"/>
      <c r="Z3" s="47"/>
      <c r="AA3" s="47"/>
      <c r="AB3" s="47"/>
      <c r="AC3" s="48"/>
      <c r="AD3" s="48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2.75">
      <c r="A7" s="37"/>
      <c r="B7" s="43" t="s">
        <v>207</v>
      </c>
      <c r="C7" s="37"/>
      <c r="D7" s="37"/>
      <c r="E7" s="37"/>
      <c r="F7" s="38"/>
      <c r="G7" s="38"/>
      <c r="H7" s="38"/>
      <c r="I7" s="38"/>
      <c r="J7" s="39"/>
      <c r="K7" s="40"/>
      <c r="L7" s="39"/>
      <c r="M7" s="40"/>
      <c r="N7" s="39"/>
      <c r="O7" s="39"/>
      <c r="P7" s="39"/>
      <c r="Q7" s="39"/>
      <c r="R7" s="39"/>
      <c r="S7" s="39"/>
      <c r="T7" s="39"/>
      <c r="U7" s="39"/>
      <c r="V7" s="40"/>
      <c r="W7" s="40"/>
      <c r="X7" s="41"/>
      <c r="Y7" s="41"/>
      <c r="Z7" s="41"/>
      <c r="AA7" s="41"/>
      <c r="AB7" s="41"/>
      <c r="AC7" s="42"/>
      <c r="AD7" s="42"/>
    </row>
    <row r="8" spans="1:30"/>
    <row r="9" spans="1:30">
      <c r="C9" s="13" t="s">
        <v>208</v>
      </c>
      <c r="D9" s="14" t="s">
        <v>33</v>
      </c>
      <c r="E9" s="14" t="s">
        <v>53</v>
      </c>
      <c r="F9" s="14"/>
      <c r="G9" s="14" t="s">
        <v>209</v>
      </c>
    </row>
    <row r="10" spans="1:30">
      <c r="C10" s="15" t="str">
        <f>Index!C7</f>
        <v>Input | General</v>
      </c>
      <c r="D10" s="28" t="str">
        <f>C10</f>
        <v>Input | General</v>
      </c>
      <c r="E10" s="16" t="s">
        <v>104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122" t="str">
        <f>C11</f>
        <v>Input | Inflation</v>
      </c>
      <c r="E11" s="16" t="s">
        <v>104</v>
      </c>
      <c r="F11" s="16"/>
      <c r="G11" s="18" t="str">
        <f>'Input|Inflation'!T1</f>
        <v>OK</v>
      </c>
      <c r="T11" s="17"/>
    </row>
    <row r="12" spans="1:30">
      <c r="C12" s="15" t="str">
        <f>Index!C9</f>
        <v>Input | Reported opex</v>
      </c>
      <c r="D12" s="28" t="str">
        <f t="shared" ref="D12:D15" si="0">C12</f>
        <v>Input | Reported opex</v>
      </c>
      <c r="E12" s="16" t="s">
        <v>104</v>
      </c>
      <c r="G12" s="18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28" t="str">
        <f t="shared" si="0"/>
        <v>Input | Rate of change</v>
      </c>
      <c r="E13" s="16" t="s">
        <v>104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28" t="str">
        <f t="shared" si="0"/>
        <v>Input | Step changes</v>
      </c>
      <c r="E14" s="16" t="s">
        <v>104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Index!C13</f>
        <v>Output | Models</v>
      </c>
      <c r="D15" s="28" t="str">
        <f t="shared" si="0"/>
        <v>Output | Models</v>
      </c>
      <c r="E15" s="16" t="s">
        <v>104</v>
      </c>
      <c r="F15" s="16"/>
      <c r="G15" s="18" t="str">
        <f>'Output|Models'!S1</f>
        <v>n/a</v>
      </c>
      <c r="H15" s="16"/>
      <c r="T15" s="17"/>
    </row>
    <row r="16" spans="1:30">
      <c r="C16" s="15"/>
    </row>
    <row r="17" spans="1:30" customFormat="1" ht="12.75">
      <c r="A17" s="37"/>
      <c r="B17" s="43" t="s">
        <v>23</v>
      </c>
      <c r="C17" s="37"/>
      <c r="D17" s="37"/>
      <c r="E17" s="37"/>
      <c r="F17" s="38"/>
      <c r="G17" s="38"/>
      <c r="H17" s="38"/>
      <c r="I17" s="38"/>
      <c r="J17" s="39"/>
      <c r="K17" s="40"/>
      <c r="L17" s="39"/>
      <c r="M17" s="40"/>
      <c r="N17" s="39"/>
      <c r="O17" s="39"/>
      <c r="P17" s="39"/>
      <c r="Q17" s="39"/>
      <c r="R17" s="39"/>
      <c r="S17" s="39"/>
      <c r="T17" s="39"/>
      <c r="U17" s="39"/>
      <c r="V17" s="40"/>
      <c r="W17" s="40"/>
      <c r="X17" s="41"/>
      <c r="Y17" s="41"/>
      <c r="Z17" s="41"/>
      <c r="AA17" s="41"/>
      <c r="AB17" s="41"/>
      <c r="AC17" s="42"/>
      <c r="AD17" s="42"/>
    </row>
    <row r="18" spans="1:30" hidden="1">
      <c r="C18" s="15"/>
    </row>
    <row r="19" spans="1:30" hidden="1">
      <c r="C19" s="15"/>
    </row>
    <row r="20" spans="1:30" hidden="1">
      <c r="C20" s="15"/>
    </row>
    <row r="21" spans="1:30" hidden="1">
      <c r="C21" s="15"/>
    </row>
    <row r="23" spans="1:30"/>
    <row r="24" spans="1:30"/>
    <row r="25" spans="1:30"/>
    <row r="26" spans="1:30"/>
    <row r="27" spans="1:30"/>
    <row r="28" spans="1:30"/>
  </sheetData>
  <conditionalFormatting sqref="G10:G15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900-000000000000}"/>
    <hyperlink ref="D10" location="'Input|General'!A1" display="'Input|General'!A1" xr:uid="{00000000-0004-0000-0900-000001000000}"/>
    <hyperlink ref="D12" location="'Input|Reported opex'!A1" display="'Input|Reported opex'!A1" xr:uid="{00000000-0004-0000-0900-000002000000}"/>
    <hyperlink ref="D13" location="'Input|Rate of change_final'!A1" display="'Input|Rate of change_final'!A1" xr:uid="{00000000-0004-0000-0900-000003000000}"/>
    <hyperlink ref="D11" location="'Input|Inflation'!A1" display="'Input|Inflation'!A1" xr:uid="{00000000-0004-0000-0900-000004000000}"/>
    <hyperlink ref="R1" location="'Check|List'!A1" display="Overall Check:" xr:uid="{00000000-0004-0000-0900-000005000000}"/>
  </hyperlinks>
  <pageMargins left="0.7" right="0.7" top="0.75" bottom="0.75" header="0.3" footer="0.3"/>
  <pageSetup paperSize="9" orientation="portrait" verticalDpi="4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pplication xmlns="http://www.sap.com/cof/excel/application">
  <Version>2</Version>
  <Revision>2.8.000.92058</Revision>
</Application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b304e25-41f7-439f-a0b4-57d6fe7814bb">
      <Terms xmlns="http://schemas.microsoft.com/office/infopath/2007/PartnerControls"/>
    </lcf76f155ced4ddcb4097134ff3c332f>
    <TaxCatchAll xmlns="2b6314a3-02c5-49ae-9e9b-4170ca21d125" xsi:nil="true"/>
    <SharedWithUsers xmlns="2b6314a3-02c5-49ae-9e9b-4170ca21d125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7E261F1861D46A9AC2E8912814C9C" ma:contentTypeVersion="19" ma:contentTypeDescription="Create a new document." ma:contentTypeScope="" ma:versionID="7e66c6d821b81934021b30d09778e8f3">
  <xsd:schema xmlns:xsd="http://www.w3.org/2001/XMLSchema" xmlns:xs="http://www.w3.org/2001/XMLSchema" xmlns:p="http://schemas.microsoft.com/office/2006/metadata/properties" xmlns:ns1="http://schemas.microsoft.com/sharepoint/v3" xmlns:ns2="db304e25-41f7-439f-a0b4-57d6fe7814bb" xmlns:ns3="2b6314a3-02c5-49ae-9e9b-4170ca21d125" targetNamespace="http://schemas.microsoft.com/office/2006/metadata/properties" ma:root="true" ma:fieldsID="d0fba248f1d7bcfe80765fa22ba57fab" ns1:_="" ns2:_="" ns3:_="">
    <xsd:import namespace="http://schemas.microsoft.com/sharepoint/v3"/>
    <xsd:import namespace="db304e25-41f7-439f-a0b4-57d6fe7814bb"/>
    <xsd:import namespace="2b6314a3-02c5-49ae-9e9b-4170ca21d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4e25-41f7-439f-a0b4-57d6fe781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23674a-7107-482d-9678-6238db5811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14a3-02c5-49ae-9e9b-4170ca21d1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b024dee-35df-4756-b282-d7f9fc42c13b}" ma:internalName="TaxCatchAll" ma:showField="CatchAllData" ma:web="2b6314a3-02c5-49ae-9e9b-4170ca21d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C81AF2-5D76-470C-A135-9C3B26CFA1DD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A069AB6F-0137-47F4-BB5D-5BE73AD807C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2b6314a3-02c5-49ae-9e9b-4170ca21d125"/>
    <ds:schemaRef ds:uri="db304e25-41f7-439f-a0b4-57d6fe7814bb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CADEB23-6A1E-4DBB-9E2E-F0E98095827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29F95E0-4D08-40A0-A695-D9437B3A73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304e25-41f7-439f-a0b4-57d6fe7814bb"/>
    <ds:schemaRef ds:uri="2b6314a3-02c5-49ae-9e9b-4170ca21d1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Grant Haydon</cp:lastModifiedBy>
  <cp:revision/>
  <dcterms:created xsi:type="dcterms:W3CDTF">2020-05-27T04:50:20Z</dcterms:created>
  <dcterms:modified xsi:type="dcterms:W3CDTF">2024-01-24T22:43:47Z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0x010100DA87E261F1861D46A9AC2E8912814C9C</vt:lpwstr>
  </property>
  <property fmtid="{D5CDD505-2E9C-101B-9397-08002B2CF9AE}" pid="4" name="Order">
    <vt:r8>133900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MediaServiceImageTags">
    <vt:lpwstr/>
  </property>
</Properties>
</file>