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000" documentId="8_{732A1816-77C3-45F7-9817-EE74E4D6884A}" xr6:coauthVersionLast="47" xr6:coauthVersionMax="47" xr10:uidLastSave="{5DB0117E-18F7-4536-B551-ACB0E928AC48}"/>
  <bookViews>
    <workbookView xWindow="-28920" yWindow="-120" windowWidth="29040" windowHeight="15840" firstSheet="6" activeTab="6" xr2:uid="{00000000-000D-0000-FFFF-FFFF00000000}"/>
  </bookViews>
  <sheets>
    <sheet name="1.0 Data" sheetId="1" r:id="rId1"/>
    <sheet name="1.1 Input" sheetId="8" r:id="rId2"/>
    <sheet name="1.2 AER Forecast" sheetId="15" r:id="rId3"/>
    <sheet name="2.1 Capex Real Dollars" sheetId="4" r:id="rId4"/>
    <sheet name="2.0 Escalation" sheetId="17" r:id="rId5"/>
    <sheet name="2.2 Capex Nominal Dollars" sheetId="5" r:id="rId6"/>
    <sheet name="3.0 Outputs" sheetId="7" r:id="rId7"/>
    <sheet name="3.1 RIN" sheetId="9" r:id="rId8"/>
    <sheet name="3.2 Forecast vs Actual" sheetId="16" r:id="rId9"/>
    <sheet name="3.3 IGBTs" sheetId="19" r:id="rId10"/>
    <sheet name="Presentation" sheetId="18" r:id="rId11"/>
    <sheet name="Capex chapter tables" sheetId="20" r:id="rId12"/>
    <sheet name="Chart" sheetId="21" r:id="rId13"/>
    <sheet name="Business case tables" sheetId="22" r:id="rId14"/>
  </sheets>
  <definedNames>
    <definedName name="_xlnm._FilterDatabase" localSheetId="0" hidden="1">'1.0 Data'!$A$8:$AB$65</definedName>
    <definedName name="_xlnm._FilterDatabase" localSheetId="3" hidden="1">'2.1 Capex Real Dollars'!$L$8:$V$66</definedName>
    <definedName name="_Hlk150761581" localSheetId="11">'Capex chapter tables'!$A$35</definedName>
    <definedName name="_Ref155869145">'Capex chapter tables'!$A$85</definedName>
    <definedName name="_Ref308706602" localSheetId="11">'Capex chapter tables'!$A$2</definedName>
    <definedName name="_Ref345583960" localSheetId="11">'Capex chapter tables'!$A$52</definedName>
    <definedName name="_Toc150267051" localSheetId="11">'Capex chapter tables'!$A$40</definedName>
    <definedName name="_Toc150267052" localSheetId="11">'Capex chapter tables'!$A$46</definedName>
    <definedName name="_Toc150267063" localSheetId="11">'Capex chapter tables'!$A$30</definedName>
    <definedName name="_Toc150267065" localSheetId="11">'Capex chapter tables'!$A$62</definedName>
    <definedName name="_Toc156293764" localSheetId="11">'Capex chapter tables'!$A$91</definedName>
    <definedName name="_Toc156293765" localSheetId="11">'Capex chapter tables'!$A$109</definedName>
    <definedName name="_Toc156293766" localSheetId="11">'Capex chapter tables'!$A$115</definedName>
    <definedName name="_Toc156293772" localSheetId="11">'Capex chapter tables'!$A$122</definedName>
    <definedName name="_Toc156293774" localSheetId="11">'Capex chapter tables'!#REF!</definedName>
    <definedName name="CRCP_y1">#REF!</definedName>
    <definedName name="CRCP_y2">#REF!</definedName>
    <definedName name="CRCP_y3">#REF!</definedName>
    <definedName name="CRCP_y4">#REF!</definedName>
    <definedName name="CRCP_y5">#REF!</definedName>
    <definedName name="dms_DollarReal">#REF!</definedName>
    <definedName name="FRCP_y1">#REF!</definedName>
    <definedName name="FRCP_y2">#REF!</definedName>
    <definedName name="FRCP_y3">#REF!</definedName>
    <definedName name="FRCP_y4">#REF!</definedName>
    <definedName name="FRCP_y5">#REF!</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1" i="20" l="1"/>
  <c r="A47" i="16"/>
  <c r="B47" i="16"/>
  <c r="B52" i="16"/>
  <c r="A53" i="16"/>
  <c r="B53" i="16"/>
  <c r="A58" i="16"/>
  <c r="B58" i="16"/>
  <c r="B8" i="16"/>
  <c r="K8" i="16" s="1"/>
  <c r="C8" i="16"/>
  <c r="L8" i="16" s="1"/>
  <c r="D8" i="16"/>
  <c r="M8" i="16" s="1"/>
  <c r="E8" i="16"/>
  <c r="N8" i="16" s="1"/>
  <c r="F8" i="16"/>
  <c r="O8" i="16" s="1"/>
  <c r="G8" i="16"/>
  <c r="P8" i="16" s="1"/>
  <c r="Q8" i="16"/>
  <c r="F20" i="16"/>
  <c r="N20" i="16"/>
  <c r="P20" i="16"/>
  <c r="B48" i="16"/>
  <c r="E20" i="16"/>
  <c r="O20" i="16"/>
  <c r="B49" i="16"/>
  <c r="A50" i="16"/>
  <c r="B50" i="16"/>
  <c r="A51" i="16"/>
  <c r="B51" i="16"/>
  <c r="B54" i="16"/>
  <c r="B55" i="16"/>
  <c r="B56" i="16"/>
  <c r="B57" i="16"/>
  <c r="B20" i="16"/>
  <c r="J20" i="16"/>
  <c r="F18" i="7"/>
  <c r="G18" i="7"/>
  <c r="H18" i="7"/>
  <c r="I18" i="7"/>
  <c r="J18" i="7"/>
  <c r="K18" i="7"/>
  <c r="A55" i="16" l="1"/>
  <c r="A52" i="16"/>
  <c r="A49" i="16"/>
  <c r="A56" i="16"/>
  <c r="C20" i="16"/>
  <c r="A57" i="16"/>
  <c r="A54" i="16"/>
  <c r="A48" i="16"/>
  <c r="L20" i="16"/>
  <c r="M20" i="16"/>
  <c r="Q20" i="16"/>
  <c r="H20" i="16"/>
  <c r="D20" i="16"/>
  <c r="G20" i="16"/>
  <c r="B23" i="16"/>
  <c r="H23" i="16"/>
  <c r="A62" i="16"/>
  <c r="P22" i="7"/>
  <c r="Q22" i="7"/>
  <c r="R22" i="7"/>
  <c r="S22" i="7"/>
  <c r="T22" i="7"/>
  <c r="U22" i="7"/>
  <c r="A5" i="16"/>
  <c r="D58" i="22"/>
  <c r="E58" i="22"/>
  <c r="F58" i="22"/>
  <c r="G58" i="22"/>
  <c r="H58" i="22"/>
  <c r="F15" i="1"/>
  <c r="F16" i="1" s="1"/>
  <c r="H46" i="16" l="1"/>
  <c r="H62" i="16" s="1"/>
  <c r="B46" i="16"/>
  <c r="B62" i="16" s="1"/>
  <c r="L184" i="5" l="1"/>
  <c r="M184" i="5"/>
  <c r="N184" i="5"/>
  <c r="O184" i="5"/>
  <c r="L185" i="5"/>
  <c r="M185" i="5"/>
  <c r="N185" i="5"/>
  <c r="O185" i="5"/>
  <c r="L186" i="5"/>
  <c r="M186" i="5"/>
  <c r="N186" i="5"/>
  <c r="O186" i="5"/>
  <c r="L187" i="5"/>
  <c r="M187" i="5"/>
  <c r="N187" i="5"/>
  <c r="O187" i="5"/>
  <c r="L188" i="5"/>
  <c r="M188" i="5"/>
  <c r="N188" i="5"/>
  <c r="O188" i="5"/>
  <c r="P128" i="5"/>
  <c r="AC62" i="1"/>
  <c r="AC50" i="1"/>
  <c r="AC49" i="1"/>
  <c r="AC15" i="1"/>
  <c r="AA60" i="1" l="1"/>
  <c r="AA59" i="1" l="1"/>
  <c r="AA57" i="1"/>
  <c r="AA58" i="1"/>
  <c r="AA56" i="1"/>
  <c r="AA63" i="1" l="1"/>
  <c r="AA62" i="1"/>
  <c r="AA61" i="1"/>
  <c r="AA29" i="1" l="1"/>
  <c r="AA41" i="1"/>
  <c r="L66" i="4" l="1"/>
  <c r="F12" i="21"/>
  <c r="A59" i="20"/>
  <c r="A66" i="17"/>
  <c r="A5" i="17"/>
  <c r="J66" i="17" l="1"/>
  <c r="Z66" i="17" s="1"/>
  <c r="AH66" i="17" s="1"/>
  <c r="L66" i="5"/>
  <c r="H11" i="21"/>
  <c r="K39" i="21"/>
  <c r="I39" i="21"/>
  <c r="G39" i="21"/>
  <c r="F39" i="21"/>
  <c r="M31" i="21"/>
  <c r="H31" i="21"/>
  <c r="G31" i="21"/>
  <c r="F31" i="21"/>
  <c r="E31" i="21"/>
  <c r="D31" i="21"/>
  <c r="H30" i="21"/>
  <c r="F38" i="21" s="1"/>
  <c r="G30" i="21"/>
  <c r="F30" i="21"/>
  <c r="E30" i="21"/>
  <c r="D30" i="21"/>
  <c r="H29" i="21"/>
  <c r="F37" i="21" s="1"/>
  <c r="G29" i="21"/>
  <c r="F29" i="21"/>
  <c r="E29" i="21"/>
  <c r="D29" i="21"/>
  <c r="K6" i="21"/>
  <c r="J6" i="21"/>
  <c r="I6" i="21"/>
  <c r="H6" i="21"/>
  <c r="G6" i="21"/>
  <c r="H39" i="21" s="1"/>
  <c r="F6" i="21"/>
  <c r="L3" i="21"/>
  <c r="K3" i="21"/>
  <c r="R66" i="17" l="1"/>
  <c r="G12" i="21"/>
  <c r="H12" i="21"/>
  <c r="W184" i="4" l="1" a="1"/>
  <c r="W184" i="4" s="1"/>
  <c r="W185" i="4" a="1"/>
  <c r="W185" i="4" s="1"/>
  <c r="W186" i="4" a="1"/>
  <c r="W186" i="4" s="1"/>
  <c r="W187" i="4" a="1"/>
  <c r="W187" i="4" s="1"/>
  <c r="G66" i="17" a="1"/>
  <c r="G66" i="17" s="1"/>
  <c r="O66" i="4" a="1"/>
  <c r="O66" i="4" s="1"/>
  <c r="O66" i="5" s="1"/>
  <c r="C66" i="17" a="1"/>
  <c r="C66" i="17" s="1"/>
  <c r="F66" i="17" a="1"/>
  <c r="F66" i="17" s="1"/>
  <c r="D66" i="17" a="1"/>
  <c r="D66" i="17" s="1"/>
  <c r="E66" i="17" a="1"/>
  <c r="E66" i="17" s="1"/>
  <c r="AK66" i="17" a="1"/>
  <c r="AK66" i="17" s="1"/>
  <c r="AJ66" i="17" a="1"/>
  <c r="AJ66" i="17" s="1"/>
  <c r="AI66" i="17" a="1"/>
  <c r="AI66" i="17" s="1"/>
  <c r="B66" i="17" a="1"/>
  <c r="B66" i="17" s="1"/>
  <c r="O96" i="7" l="1" a="1"/>
  <c r="O96" i="7" s="1"/>
  <c r="A49" i="22" s="1"/>
  <c r="W5" i="1"/>
  <c r="X5" i="1"/>
  <c r="W187" i="5"/>
  <c r="W186" i="5"/>
  <c r="W185" i="5"/>
  <c r="W184" i="5"/>
  <c r="Y5" i="1"/>
  <c r="V5" i="1"/>
  <c r="Z5" i="1"/>
  <c r="K66" i="17"/>
  <c r="O66" i="17"/>
  <c r="W66" i="17"/>
  <c r="S66" i="17"/>
  <c r="H66" i="17"/>
  <c r="L66" i="17"/>
  <c r="T66" i="17"/>
  <c r="M66" i="17"/>
  <c r="U66" i="17"/>
  <c r="N66" i="17"/>
  <c r="V66" i="17"/>
  <c r="C20" i="19"/>
  <c r="D20" i="19"/>
  <c r="E20" i="19"/>
  <c r="F20" i="19"/>
  <c r="B20" i="19"/>
  <c r="C22" i="19"/>
  <c r="D22" i="19"/>
  <c r="E22" i="19"/>
  <c r="F22" i="19"/>
  <c r="A21" i="19"/>
  <c r="A17" i="19"/>
  <c r="A22" i="19" s="1"/>
  <c r="A16" i="19"/>
  <c r="C9" i="19" l="1"/>
  <c r="G9" i="19"/>
  <c r="G6" i="20" s="1"/>
  <c r="D9" i="19"/>
  <c r="D6" i="20" s="1"/>
  <c r="F9" i="19"/>
  <c r="F6" i="20" s="1"/>
  <c r="E9" i="19"/>
  <c r="E6" i="20" s="1"/>
  <c r="C6" i="20"/>
  <c r="N9" i="19"/>
  <c r="O97" i="7" a="1"/>
  <c r="O97" i="7" s="1"/>
  <c r="A50" i="22" s="1"/>
  <c r="X66" i="17"/>
  <c r="P66" i="17"/>
  <c r="A5" i="1"/>
  <c r="A5" i="8"/>
  <c r="A5" i="15"/>
  <c r="A5" i="4"/>
  <c r="A5" i="5"/>
  <c r="A5" i="7"/>
  <c r="A5" i="9"/>
  <c r="A5" i="19"/>
  <c r="B8" i="19"/>
  <c r="H9" i="19" l="1"/>
  <c r="I9" i="19" s="1"/>
  <c r="J9" i="19" s="1"/>
  <c r="K9" i="19" s="1"/>
  <c r="L9" i="19" s="1"/>
  <c r="M9" i="19" s="1"/>
  <c r="H6" i="20"/>
  <c r="O98" i="7" a="1"/>
  <c r="O98" i="7" s="1"/>
  <c r="A51" i="22" s="1"/>
  <c r="O9" i="19"/>
  <c r="P9" i="19" s="1"/>
  <c r="Q9" i="19" s="1"/>
  <c r="L29" i="15"/>
  <c r="O99" i="7" l="1" a="1"/>
  <c r="O99" i="7" s="1"/>
  <c r="AK40" i="1"/>
  <c r="B32" i="8"/>
  <c r="C32" i="8"/>
  <c r="D32" i="8"/>
  <c r="B27" i="8"/>
  <c r="C27" i="8"/>
  <c r="D27" i="8"/>
  <c r="A52" i="22" l="1"/>
  <c r="O100" i="7" a="1"/>
  <c r="O100" i="7" s="1"/>
  <c r="A53" i="22" s="1"/>
  <c r="O101" i="7" l="1" a="1"/>
  <c r="O101" i="7" s="1"/>
  <c r="E4" i="20" l="1"/>
  <c r="H30" i="7"/>
  <c r="D4" i="20"/>
  <c r="G30" i="7"/>
  <c r="G4" i="20"/>
  <c r="J30" i="7"/>
  <c r="F4" i="20"/>
  <c r="I30" i="7"/>
  <c r="C4" i="20"/>
  <c r="F30" i="7"/>
  <c r="O102" i="7" a="1"/>
  <c r="O102" i="7" s="1"/>
  <c r="A55" i="22" s="1"/>
  <c r="A54" i="22"/>
  <c r="E8" i="15"/>
  <c r="E15" i="15" s="1"/>
  <c r="E23" i="15" s="1"/>
  <c r="E28" i="15" s="1"/>
  <c r="F8" i="15"/>
  <c r="F15" i="15" s="1"/>
  <c r="F23" i="15" s="1"/>
  <c r="F28" i="15" s="1"/>
  <c r="F88" i="7"/>
  <c r="G88" i="7"/>
  <c r="H88" i="7"/>
  <c r="I88" i="7"/>
  <c r="J88" i="7"/>
  <c r="J30" i="21" l="1"/>
  <c r="H38" i="21" s="1"/>
  <c r="I30" i="21"/>
  <c r="M30" i="21"/>
  <c r="K38" i="21" s="1"/>
  <c r="L30" i="21"/>
  <c r="J38" i="21" s="1"/>
  <c r="K30" i="21"/>
  <c r="I38" i="21" s="1"/>
  <c r="H4" i="20"/>
  <c r="A48" i="4"/>
  <c r="G38" i="21"/>
  <c r="O103" i="7" a="1"/>
  <c r="O103" i="7" s="1"/>
  <c r="A56" i="22" s="1"/>
  <c r="B56" i="1"/>
  <c r="N30" i="21" l="1"/>
  <c r="L38" i="21" s="1"/>
  <c r="M38" i="21"/>
  <c r="G41" i="21"/>
  <c r="E55" i="1"/>
  <c r="E53" i="1"/>
  <c r="B51" i="1"/>
  <c r="E56" i="1"/>
  <c r="B53" i="1"/>
  <c r="B54" i="1"/>
  <c r="B55" i="1"/>
  <c r="B52" i="1"/>
  <c r="E52" i="1"/>
  <c r="E54" i="1"/>
  <c r="E51" i="1"/>
  <c r="N60" i="1" l="1"/>
  <c r="N58" i="1"/>
  <c r="N59" i="1"/>
  <c r="N52" i="1"/>
  <c r="N62" i="1"/>
  <c r="N54" i="1"/>
  <c r="N57" i="1"/>
  <c r="N53" i="1"/>
  <c r="N61" i="1"/>
  <c r="N65" i="1"/>
  <c r="N56" i="1"/>
  <c r="N63" i="1"/>
  <c r="N64" i="1"/>
  <c r="N55" i="1"/>
  <c r="N51" i="1"/>
  <c r="B15" i="18" l="1"/>
  <c r="B6" i="18"/>
  <c r="B4" i="18"/>
  <c r="AJ8" i="17" l="1"/>
  <c r="X8" i="17"/>
  <c r="AF8" i="17" l="1"/>
  <c r="AQ8" i="17" s="1"/>
  <c r="J8" i="17"/>
  <c r="Z8" i="17" l="1"/>
  <c r="R8" i="17"/>
  <c r="D8" i="17"/>
  <c r="E8" i="17"/>
  <c r="F8" i="17"/>
  <c r="G8" i="17"/>
  <c r="C8" i="17"/>
  <c r="I30" i="8"/>
  <c r="J30" i="8" l="1"/>
  <c r="AB8" i="17"/>
  <c r="AM8" i="17" s="1"/>
  <c r="L8" i="17"/>
  <c r="T8" i="17" s="1"/>
  <c r="AA8" i="17"/>
  <c r="AL8" i="17" s="1"/>
  <c r="K8" i="17"/>
  <c r="S8" i="17" s="1"/>
  <c r="O8" i="17"/>
  <c r="W8" i="17" s="1"/>
  <c r="AE8" i="17"/>
  <c r="AP8" i="17" s="1"/>
  <c r="AD8" i="17"/>
  <c r="AO8" i="17" s="1"/>
  <c r="N8" i="17"/>
  <c r="V8" i="17" s="1"/>
  <c r="AC8" i="17"/>
  <c r="AN8" i="17" s="1"/>
  <c r="M8" i="17"/>
  <c r="U8" i="17" s="1"/>
  <c r="A64" i="17"/>
  <c r="A65" i="17"/>
  <c r="K30" i="8" l="1"/>
  <c r="AA66" i="17"/>
  <c r="G64" i="17" a="1"/>
  <c r="G64" i="17" s="1"/>
  <c r="F64" i="17" a="1"/>
  <c r="F64" i="17" s="1"/>
  <c r="B64" i="17" a="1"/>
  <c r="B64" i="17" s="1"/>
  <c r="D64" i="17" a="1"/>
  <c r="D64" i="17" s="1"/>
  <c r="E64" i="17" a="1"/>
  <c r="E64" i="17" s="1"/>
  <c r="C64" i="17" a="1"/>
  <c r="C64" i="17" s="1"/>
  <c r="B65" i="17" a="1"/>
  <c r="B65" i="17" s="1"/>
  <c r="G65" i="17" a="1"/>
  <c r="G65" i="17" s="1"/>
  <c r="E65" i="17" a="1"/>
  <c r="E65" i="17" s="1"/>
  <c r="C65" i="17" a="1"/>
  <c r="C65" i="17" s="1"/>
  <c r="F65" i="17" a="1"/>
  <c r="F65" i="17" s="1"/>
  <c r="D65" i="17" a="1"/>
  <c r="D65" i="17" s="1"/>
  <c r="J65" i="17"/>
  <c r="J64" i="17"/>
  <c r="AL66" i="17" l="1"/>
  <c r="L30" i="8"/>
  <c r="AB66" i="17"/>
  <c r="AM66" i="17" s="1"/>
  <c r="Z64" i="17"/>
  <c r="AH64" i="17" s="1"/>
  <c r="R64" i="17"/>
  <c r="Z65" i="17"/>
  <c r="AH65" i="17" s="1"/>
  <c r="R65" i="17"/>
  <c r="M30" i="8" l="1"/>
  <c r="AC66" i="17"/>
  <c r="AN66" i="17" s="1"/>
  <c r="AK65" i="17" a="1"/>
  <c r="AK65" i="17" s="1"/>
  <c r="AJ65" i="17" a="1"/>
  <c r="AJ65" i="17" s="1"/>
  <c r="AI65" i="17" a="1"/>
  <c r="AI65" i="17" s="1"/>
  <c r="AK64" i="17" a="1"/>
  <c r="AK64" i="17" s="1"/>
  <c r="AJ64" i="17" a="1"/>
  <c r="AJ64" i="17" s="1"/>
  <c r="AI64" i="17" a="1"/>
  <c r="AI64" i="17" s="1"/>
  <c r="A62" i="17"/>
  <c r="A61" i="17"/>
  <c r="A60" i="17"/>
  <c r="A63" i="17"/>
  <c r="P66" i="4" l="1" a="1"/>
  <c r="P66" i="4" s="1"/>
  <c r="P66" i="5" s="1"/>
  <c r="N66" i="4" a="1"/>
  <c r="N66" i="4" s="1"/>
  <c r="N66" i="5" s="1"/>
  <c r="N30" i="8"/>
  <c r="AE66" i="17" s="1"/>
  <c r="AP66" i="17" s="1"/>
  <c r="AD66" i="17"/>
  <c r="D61" i="17" a="1"/>
  <c r="D61" i="17" s="1"/>
  <c r="C61" i="17" a="1"/>
  <c r="C61" i="17" s="1"/>
  <c r="G61" i="17" a="1"/>
  <c r="G61" i="17" s="1"/>
  <c r="B61" i="17" a="1"/>
  <c r="B61" i="17" s="1"/>
  <c r="E61" i="17" a="1"/>
  <c r="E61" i="17" s="1"/>
  <c r="F61" i="17" a="1"/>
  <c r="F61" i="17" s="1"/>
  <c r="E62" i="17" a="1"/>
  <c r="E62" i="17" s="1"/>
  <c r="D62" i="17" a="1"/>
  <c r="D62" i="17" s="1"/>
  <c r="B62" i="17" a="1"/>
  <c r="B62" i="17" s="1"/>
  <c r="F62" i="17" a="1"/>
  <c r="F62" i="17" s="1"/>
  <c r="G62" i="17" a="1"/>
  <c r="G62" i="17" s="1"/>
  <c r="C62" i="17" a="1"/>
  <c r="C62" i="17" s="1"/>
  <c r="B60" i="17" a="1"/>
  <c r="B60" i="17" s="1"/>
  <c r="C60" i="17" a="1"/>
  <c r="C60" i="17" s="1"/>
  <c r="F60" i="17" a="1"/>
  <c r="F60" i="17" s="1"/>
  <c r="D60" i="17" a="1"/>
  <c r="D60" i="17" s="1"/>
  <c r="G60" i="17" a="1"/>
  <c r="G60" i="17" s="1"/>
  <c r="E60" i="17" a="1"/>
  <c r="E60" i="17" s="1"/>
  <c r="F63" i="17" a="1"/>
  <c r="F63" i="17" s="1"/>
  <c r="E63" i="17" a="1"/>
  <c r="E63" i="17" s="1"/>
  <c r="B63" i="17" a="1"/>
  <c r="B63" i="17" s="1"/>
  <c r="C63" i="17" a="1"/>
  <c r="C63" i="17" s="1"/>
  <c r="G63" i="17" a="1"/>
  <c r="G63" i="17" s="1"/>
  <c r="D63" i="17" a="1"/>
  <c r="D63" i="17" s="1"/>
  <c r="J63" i="17"/>
  <c r="J61" i="17"/>
  <c r="J62" i="17"/>
  <c r="J60" i="17"/>
  <c r="AO66" i="17" l="1"/>
  <c r="AQ66" i="17" s="1"/>
  <c r="AF66" i="17"/>
  <c r="Z62" i="17"/>
  <c r="AH62" i="17" s="1"/>
  <c r="R62" i="17"/>
  <c r="Z61" i="17"/>
  <c r="AH61" i="17" s="1"/>
  <c r="R61" i="17"/>
  <c r="Z60" i="17"/>
  <c r="AH60" i="17" s="1"/>
  <c r="R60" i="17"/>
  <c r="Z63" i="17"/>
  <c r="AH63" i="17" s="1"/>
  <c r="R63" i="17"/>
  <c r="AS66" i="17" l="1"/>
  <c r="AJ60" i="17" a="1"/>
  <c r="AJ60" i="17" s="1"/>
  <c r="AI60" i="17" a="1"/>
  <c r="AI60" i="17" s="1"/>
  <c r="AK60" i="17" a="1"/>
  <c r="AK60" i="17" s="1"/>
  <c r="AJ61" i="17" a="1"/>
  <c r="AJ61" i="17" s="1"/>
  <c r="AI61" i="17" a="1"/>
  <c r="AI61" i="17" s="1"/>
  <c r="AK61" i="17" a="1"/>
  <c r="AK61" i="17" s="1"/>
  <c r="AI63" i="17" a="1"/>
  <c r="AI63" i="17" s="1"/>
  <c r="AK63" i="17" a="1"/>
  <c r="AK63" i="17" s="1"/>
  <c r="AJ63" i="17" a="1"/>
  <c r="AJ63" i="17" s="1"/>
  <c r="AK62" i="17" a="1"/>
  <c r="AK62" i="17" s="1"/>
  <c r="AJ62" i="17" a="1"/>
  <c r="AJ62" i="17" s="1"/>
  <c r="AI62" i="17" a="1"/>
  <c r="AI62" i="17" s="1"/>
  <c r="C24" i="8"/>
  <c r="C23" i="8" l="1"/>
  <c r="C22" i="8"/>
  <c r="C21" i="8"/>
  <c r="C20" i="8" l="1"/>
  <c r="A39" i="17" l="1"/>
  <c r="A51" i="17"/>
  <c r="A31" i="17"/>
  <c r="A38" i="17"/>
  <c r="A50" i="17"/>
  <c r="A40" i="17"/>
  <c r="A37" i="17"/>
  <c r="A49" i="17"/>
  <c r="A54" i="17"/>
  <c r="A14" i="17"/>
  <c r="A36" i="17"/>
  <c r="A48" i="17"/>
  <c r="A42" i="17"/>
  <c r="A17" i="17"/>
  <c r="A13" i="17"/>
  <c r="A47" i="17"/>
  <c r="A20" i="17"/>
  <c r="A52" i="17"/>
  <c r="A12" i="17"/>
  <c r="A58" i="17"/>
  <c r="A46" i="17"/>
  <c r="A53" i="17"/>
  <c r="A23" i="17"/>
  <c r="A11" i="17"/>
  <c r="A57" i="17"/>
  <c r="A45" i="17"/>
  <c r="A32" i="17"/>
  <c r="A19" i="17"/>
  <c r="A18" i="17"/>
  <c r="A16" i="17"/>
  <c r="A35" i="17"/>
  <c r="A22" i="17"/>
  <c r="A56" i="17"/>
  <c r="A44" i="17"/>
  <c r="A41" i="17"/>
  <c r="A30" i="17"/>
  <c r="A15" i="17"/>
  <c r="A25" i="17"/>
  <c r="A24" i="17"/>
  <c r="A34" i="17"/>
  <c r="A33" i="17"/>
  <c r="A21" i="17"/>
  <c r="A43" i="17"/>
  <c r="A55" i="17"/>
  <c r="A10" i="17"/>
  <c r="A59" i="17"/>
  <c r="A28" i="17"/>
  <c r="A26" i="17"/>
  <c r="A29" i="17"/>
  <c r="A27" i="17"/>
  <c r="A9" i="17"/>
  <c r="J30" i="17" l="1"/>
  <c r="B30" i="17" a="1"/>
  <c r="B30" i="17" s="1"/>
  <c r="C30" i="17" a="1"/>
  <c r="C30" i="17" s="1"/>
  <c r="G30" i="17" a="1"/>
  <c r="G30" i="17" s="1"/>
  <c r="F30" i="17" a="1"/>
  <c r="F30" i="17" s="1"/>
  <c r="E30" i="17" a="1"/>
  <c r="E30" i="17" s="1"/>
  <c r="D30" i="17" a="1"/>
  <c r="D30" i="17" s="1"/>
  <c r="J11" i="17"/>
  <c r="Z11" i="17" s="1"/>
  <c r="AH11" i="17" s="1"/>
  <c r="B11" i="17" a="1"/>
  <c r="B11" i="17" s="1"/>
  <c r="G11" i="17" a="1"/>
  <c r="G11" i="17" s="1"/>
  <c r="F11" i="17" a="1"/>
  <c r="F11" i="17" s="1"/>
  <c r="E11" i="17" a="1"/>
  <c r="E11" i="17" s="1"/>
  <c r="D11" i="17" a="1"/>
  <c r="D11" i="17" s="1"/>
  <c r="C11" i="17" a="1"/>
  <c r="C11" i="17" s="1"/>
  <c r="J48" i="17"/>
  <c r="B48" i="17" a="1"/>
  <c r="B48" i="17" s="1"/>
  <c r="G48" i="17" a="1"/>
  <c r="G48" i="17" s="1"/>
  <c r="F48" i="17" a="1"/>
  <c r="F48" i="17" s="1"/>
  <c r="E48" i="17" a="1"/>
  <c r="E48" i="17" s="1"/>
  <c r="D48" i="17" a="1"/>
  <c r="D48" i="17" s="1"/>
  <c r="C48" i="17" a="1"/>
  <c r="C48" i="17" s="1"/>
  <c r="B41" i="17" a="1"/>
  <c r="B41" i="17" s="1"/>
  <c r="G41" i="17" a="1"/>
  <c r="G41" i="17" s="1"/>
  <c r="F41" i="17" a="1"/>
  <c r="F41" i="17" s="1"/>
  <c r="E41" i="17" a="1"/>
  <c r="E41" i="17" s="1"/>
  <c r="D41" i="17" a="1"/>
  <c r="D41" i="17" s="1"/>
  <c r="C41" i="17" a="1"/>
  <c r="C41" i="17" s="1"/>
  <c r="J23" i="17"/>
  <c r="Z23" i="17" s="1"/>
  <c r="AH23" i="17" s="1"/>
  <c r="B23" i="17" a="1"/>
  <c r="B23" i="17" s="1"/>
  <c r="G23" i="17" a="1"/>
  <c r="G23" i="17" s="1"/>
  <c r="F23" i="17" a="1"/>
  <c r="F23" i="17" s="1"/>
  <c r="E23" i="17" a="1"/>
  <c r="E23" i="17" s="1"/>
  <c r="D23" i="17" a="1"/>
  <c r="D23" i="17" s="1"/>
  <c r="C23" i="17" a="1"/>
  <c r="C23" i="17" s="1"/>
  <c r="B36" i="17" a="1"/>
  <c r="B36" i="17" s="1"/>
  <c r="C36" i="17" a="1"/>
  <c r="C36" i="17" s="1"/>
  <c r="G36" i="17" a="1"/>
  <c r="G36" i="17" s="1"/>
  <c r="F36" i="17" a="1"/>
  <c r="F36" i="17" s="1"/>
  <c r="E36" i="17" a="1"/>
  <c r="E36" i="17" s="1"/>
  <c r="D36" i="17" a="1"/>
  <c r="D36" i="17" s="1"/>
  <c r="J54" i="17"/>
  <c r="Z54" i="17" s="1"/>
  <c r="AH54" i="17" s="1"/>
  <c r="B54" i="17" a="1"/>
  <c r="B54" i="17" s="1"/>
  <c r="C54" i="17" a="1"/>
  <c r="C54" i="17" s="1"/>
  <c r="F54" i="17" a="1"/>
  <c r="F54" i="17" s="1"/>
  <c r="D54" i="17" a="1"/>
  <c r="D54" i="17" s="1"/>
  <c r="G54" i="17" a="1"/>
  <c r="G54" i="17" s="1"/>
  <c r="E54" i="17" a="1"/>
  <c r="E54" i="17" s="1"/>
  <c r="J14" i="17"/>
  <c r="Z14" i="17" s="1"/>
  <c r="AH14" i="17" s="1"/>
  <c r="B14" i="17" a="1"/>
  <c r="B14" i="17" s="1"/>
  <c r="E14" i="17" a="1"/>
  <c r="E14" i="17" s="1"/>
  <c r="D14" i="17" a="1"/>
  <c r="D14" i="17" s="1"/>
  <c r="C14" i="17" a="1"/>
  <c r="C14" i="17" s="1"/>
  <c r="G14" i="17" a="1"/>
  <c r="G14" i="17" s="1"/>
  <c r="F14" i="17" a="1"/>
  <c r="F14" i="17" s="1"/>
  <c r="J55" i="17"/>
  <c r="R55" i="17" s="1"/>
  <c r="D55" i="17" a="1"/>
  <c r="D55" i="17" s="1"/>
  <c r="C55" i="17" a="1"/>
  <c r="C55" i="17" s="1"/>
  <c r="G55" i="17" a="1"/>
  <c r="G55" i="17" s="1"/>
  <c r="B55" i="17" a="1"/>
  <c r="B55" i="17" s="1"/>
  <c r="E55" i="17" a="1"/>
  <c r="E55" i="17" s="1"/>
  <c r="F55" i="17" a="1"/>
  <c r="F55" i="17" s="1"/>
  <c r="J22" i="17"/>
  <c r="B22" i="17" a="1"/>
  <c r="B22" i="17" s="1"/>
  <c r="G22" i="17" a="1"/>
  <c r="G22" i="17" s="1"/>
  <c r="F22" i="17" a="1"/>
  <c r="F22" i="17" s="1"/>
  <c r="E22" i="17" a="1"/>
  <c r="E22" i="17" s="1"/>
  <c r="D22" i="17" a="1"/>
  <c r="D22" i="17" s="1"/>
  <c r="C22" i="17" a="1"/>
  <c r="C22" i="17" s="1"/>
  <c r="G58" i="17" a="1"/>
  <c r="G58" i="17" s="1"/>
  <c r="F58" i="17" a="1"/>
  <c r="F58" i="17" s="1"/>
  <c r="B58" i="17" a="1"/>
  <c r="B58" i="17" s="1"/>
  <c r="D58" i="17" a="1"/>
  <c r="D58" i="17" s="1"/>
  <c r="C58" i="17" a="1"/>
  <c r="C58" i="17" s="1"/>
  <c r="E58" i="17" a="1"/>
  <c r="E58" i="17" s="1"/>
  <c r="B49" i="17" a="1"/>
  <c r="B49" i="17" s="1"/>
  <c r="C49" i="17" a="1"/>
  <c r="C49" i="17" s="1"/>
  <c r="G49" i="17" a="1"/>
  <c r="G49" i="17" s="1"/>
  <c r="F49" i="17" a="1"/>
  <c r="F49" i="17" s="1"/>
  <c r="E49" i="17" a="1"/>
  <c r="E49" i="17" s="1"/>
  <c r="D49" i="17" a="1"/>
  <c r="D49" i="17" s="1"/>
  <c r="B59" i="17" a="1"/>
  <c r="B59" i="17" s="1"/>
  <c r="G59" i="17" a="1"/>
  <c r="G59" i="17" s="1"/>
  <c r="E59" i="17" a="1"/>
  <c r="E59" i="17" s="1"/>
  <c r="C59" i="17" a="1"/>
  <c r="C59" i="17" s="1"/>
  <c r="F59" i="17" a="1"/>
  <c r="F59" i="17" s="1"/>
  <c r="D59" i="17" a="1"/>
  <c r="D59" i="17" s="1"/>
  <c r="B12" i="17" a="1"/>
  <c r="B12" i="17" s="1"/>
  <c r="C12" i="17" a="1"/>
  <c r="C12" i="17" s="1"/>
  <c r="G12" i="17" a="1"/>
  <c r="G12" i="17" s="1"/>
  <c r="F12" i="17" a="1"/>
  <c r="F12" i="17" s="1"/>
  <c r="E12" i="17" a="1"/>
  <c r="E12" i="17" s="1"/>
  <c r="D12" i="17" a="1"/>
  <c r="D12" i="17" s="1"/>
  <c r="J37" i="17"/>
  <c r="Z37" i="17" s="1"/>
  <c r="AH37" i="17" s="1"/>
  <c r="B37" i="17" a="1"/>
  <c r="B37" i="17" s="1"/>
  <c r="D37" i="17" a="1"/>
  <c r="D37" i="17" s="1"/>
  <c r="C37" i="17" a="1"/>
  <c r="C37" i="17" s="1"/>
  <c r="G37" i="17" a="1"/>
  <c r="G37" i="17" s="1"/>
  <c r="F37" i="17" a="1"/>
  <c r="F37" i="17" s="1"/>
  <c r="E37" i="17" a="1"/>
  <c r="E37" i="17" s="1"/>
  <c r="B26" i="17" a="1"/>
  <c r="B26" i="17" s="1"/>
  <c r="E26" i="17" a="1"/>
  <c r="E26" i="17" s="1"/>
  <c r="D26" i="17" a="1"/>
  <c r="D26" i="17" s="1"/>
  <c r="C26" i="17" a="1"/>
  <c r="C26" i="17" s="1"/>
  <c r="G26" i="17" a="1"/>
  <c r="G26" i="17" s="1"/>
  <c r="F26" i="17" a="1"/>
  <c r="F26" i="17" s="1"/>
  <c r="B21" i="17" a="1"/>
  <c r="B21" i="17" s="1"/>
  <c r="F21" i="17" a="1"/>
  <c r="F21" i="17" s="1"/>
  <c r="E21" i="17" a="1"/>
  <c r="E21" i="17" s="1"/>
  <c r="D21" i="17" a="1"/>
  <c r="D21" i="17" s="1"/>
  <c r="C21" i="17" a="1"/>
  <c r="C21" i="17" s="1"/>
  <c r="G21" i="17" a="1"/>
  <c r="G21" i="17" s="1"/>
  <c r="F52" i="17" a="1"/>
  <c r="F52" i="17" s="1"/>
  <c r="B52" i="17" a="1"/>
  <c r="B52" i="17" s="1"/>
  <c r="D52" i="17" a="1"/>
  <c r="D52" i="17" s="1"/>
  <c r="E52" i="17" a="1"/>
  <c r="E52" i="17" s="1"/>
  <c r="C52" i="17" a="1"/>
  <c r="C52" i="17" s="1"/>
  <c r="G52" i="17" a="1"/>
  <c r="G52" i="17" s="1"/>
  <c r="B40" i="17" a="1"/>
  <c r="B40" i="17" s="1"/>
  <c r="G40" i="17" a="1"/>
  <c r="G40" i="17" s="1"/>
  <c r="F40" i="17" a="1"/>
  <c r="F40" i="17" s="1"/>
  <c r="E40" i="17" a="1"/>
  <c r="E40" i="17" s="1"/>
  <c r="D40" i="17" a="1"/>
  <c r="D40" i="17" s="1"/>
  <c r="C40" i="17" a="1"/>
  <c r="C40" i="17" s="1"/>
  <c r="B53" i="17" a="1"/>
  <c r="B53" i="17" s="1"/>
  <c r="G53" i="17" a="1"/>
  <c r="G53" i="17" s="1"/>
  <c r="E53" i="17" a="1"/>
  <c r="E53" i="17" s="1"/>
  <c r="C53" i="17" a="1"/>
  <c r="C53" i="17" s="1"/>
  <c r="F53" i="17" a="1"/>
  <c r="F53" i="17" s="1"/>
  <c r="D53" i="17" a="1"/>
  <c r="D53" i="17" s="1"/>
  <c r="B33" i="17" a="1"/>
  <c r="B33" i="17" s="1"/>
  <c r="F33" i="17" a="1"/>
  <c r="F33" i="17" s="1"/>
  <c r="E33" i="17" a="1"/>
  <c r="E33" i="17" s="1"/>
  <c r="D33" i="17" a="1"/>
  <c r="D33" i="17" s="1"/>
  <c r="C33" i="17" a="1"/>
  <c r="C33" i="17" s="1"/>
  <c r="G33" i="17" a="1"/>
  <c r="G33" i="17" s="1"/>
  <c r="J20" i="17"/>
  <c r="Z20" i="17" s="1"/>
  <c r="AH20" i="17" s="1"/>
  <c r="B20" i="17" a="1"/>
  <c r="B20" i="17" s="1"/>
  <c r="E20" i="17" a="1"/>
  <c r="E20" i="17" s="1"/>
  <c r="D20" i="17" a="1"/>
  <c r="D20" i="17" s="1"/>
  <c r="C20" i="17" a="1"/>
  <c r="C20" i="17" s="1"/>
  <c r="G20" i="17" a="1"/>
  <c r="G20" i="17" s="1"/>
  <c r="F20" i="17" a="1"/>
  <c r="F20" i="17" s="1"/>
  <c r="J50" i="17"/>
  <c r="Z50" i="17" s="1"/>
  <c r="AH50" i="17" s="1"/>
  <c r="B50" i="17" a="1"/>
  <c r="B50" i="17" s="1"/>
  <c r="F50" i="17" a="1"/>
  <c r="F50" i="17" s="1"/>
  <c r="E50" i="17" a="1"/>
  <c r="E50" i="17" s="1"/>
  <c r="D50" i="17" a="1"/>
  <c r="D50" i="17" s="1"/>
  <c r="C50" i="17" a="1"/>
  <c r="C50" i="17" s="1"/>
  <c r="G50" i="17" a="1"/>
  <c r="G50" i="17" s="1"/>
  <c r="E56" i="17" a="1"/>
  <c r="E56" i="17" s="1"/>
  <c r="D56" i="17" a="1"/>
  <c r="D56" i="17" s="1"/>
  <c r="B56" i="17" a="1"/>
  <c r="B56" i="17" s="1"/>
  <c r="F56" i="17" a="1"/>
  <c r="F56" i="17" s="1"/>
  <c r="G56" i="17" a="1"/>
  <c r="G56" i="17" s="1"/>
  <c r="C56" i="17" a="1"/>
  <c r="C56" i="17" s="1"/>
  <c r="B43" i="17" a="1"/>
  <c r="B43" i="17" s="1"/>
  <c r="D43" i="17" a="1"/>
  <c r="D43" i="17" s="1"/>
  <c r="C43" i="17" a="1"/>
  <c r="C43" i="17" s="1"/>
  <c r="G43" i="17" a="1"/>
  <c r="G43" i="17" s="1"/>
  <c r="F43" i="17" a="1"/>
  <c r="F43" i="17" s="1"/>
  <c r="E43" i="17" a="1"/>
  <c r="E43" i="17" s="1"/>
  <c r="J18" i="17"/>
  <c r="R18" i="17" s="1"/>
  <c r="B18" i="17" a="1"/>
  <c r="B18" i="17" s="1"/>
  <c r="C18" i="17" a="1"/>
  <c r="C18" i="17" s="1"/>
  <c r="G18" i="17" a="1"/>
  <c r="G18" i="17" s="1"/>
  <c r="F18" i="17" a="1"/>
  <c r="F18" i="17" s="1"/>
  <c r="E18" i="17" a="1"/>
  <c r="E18" i="17" s="1"/>
  <c r="D18" i="17" a="1"/>
  <c r="D18" i="17" s="1"/>
  <c r="J34" i="17"/>
  <c r="B34" i="17" a="1"/>
  <c r="B34" i="17" s="1"/>
  <c r="G34" i="17" a="1"/>
  <c r="G34" i="17" s="1"/>
  <c r="F34" i="17" a="1"/>
  <c r="F34" i="17" s="1"/>
  <c r="E34" i="17" a="1"/>
  <c r="E34" i="17" s="1"/>
  <c r="D34" i="17" a="1"/>
  <c r="D34" i="17" s="1"/>
  <c r="C34" i="17" a="1"/>
  <c r="C34" i="17" s="1"/>
  <c r="J19" i="17"/>
  <c r="Z19" i="17" s="1"/>
  <c r="AH19" i="17" s="1"/>
  <c r="B19" i="17" a="1"/>
  <c r="B19" i="17" s="1"/>
  <c r="D19" i="17" a="1"/>
  <c r="D19" i="17" s="1"/>
  <c r="C19" i="17" a="1"/>
  <c r="C19" i="17" s="1"/>
  <c r="G19" i="17" a="1"/>
  <c r="G19" i="17" s="1"/>
  <c r="F19" i="17" a="1"/>
  <c r="F19" i="17" s="1"/>
  <c r="E19" i="17" a="1"/>
  <c r="E19" i="17" s="1"/>
  <c r="B47" i="17" a="1"/>
  <c r="B47" i="17" s="1"/>
  <c r="D47" i="17" a="1"/>
  <c r="D47" i="17" s="1"/>
  <c r="C47" i="17" a="1"/>
  <c r="C47" i="17" s="1"/>
  <c r="G47" i="17" a="1"/>
  <c r="G47" i="17" s="1"/>
  <c r="F47" i="17" a="1"/>
  <c r="F47" i="17" s="1"/>
  <c r="E47" i="17" a="1"/>
  <c r="E47" i="17" s="1"/>
  <c r="B38" i="17" a="1"/>
  <c r="B38" i="17" s="1"/>
  <c r="E38" i="17" a="1"/>
  <c r="E38" i="17" s="1"/>
  <c r="D38" i="17" a="1"/>
  <c r="D38" i="17" s="1"/>
  <c r="C38" i="17" a="1"/>
  <c r="C38" i="17" s="1"/>
  <c r="G38" i="17" a="1"/>
  <c r="G38" i="17" s="1"/>
  <c r="F38" i="17" a="1"/>
  <c r="F38" i="17" s="1"/>
  <c r="B10" i="17" a="1"/>
  <c r="B10" i="17" s="1"/>
  <c r="G10" i="17" a="1"/>
  <c r="G10" i="17" s="1"/>
  <c r="F10" i="17" a="1"/>
  <c r="F10" i="17" s="1"/>
  <c r="E10" i="17" a="1"/>
  <c r="E10" i="17" s="1"/>
  <c r="D10" i="17" a="1"/>
  <c r="D10" i="17" s="1"/>
  <c r="C10" i="17" a="1"/>
  <c r="C10" i="17" s="1"/>
  <c r="J35" i="17"/>
  <c r="R35" i="17" s="1"/>
  <c r="B35" i="17" a="1"/>
  <c r="B35" i="17" s="1"/>
  <c r="G35" i="17" a="1"/>
  <c r="G35" i="17" s="1"/>
  <c r="F35" i="17" a="1"/>
  <c r="F35" i="17" s="1"/>
  <c r="E35" i="17" a="1"/>
  <c r="E35" i="17" s="1"/>
  <c r="D35" i="17" a="1"/>
  <c r="D35" i="17" s="1"/>
  <c r="C35" i="17" a="1"/>
  <c r="C35" i="17" s="1"/>
  <c r="B24" i="17" a="1"/>
  <c r="B24" i="17" s="1"/>
  <c r="C24" i="17" a="1"/>
  <c r="C24" i="17" s="1"/>
  <c r="G24" i="17" a="1"/>
  <c r="G24" i="17" s="1"/>
  <c r="F24" i="17" a="1"/>
  <c r="F24" i="17" s="1"/>
  <c r="E24" i="17" a="1"/>
  <c r="E24" i="17" s="1"/>
  <c r="D24" i="17" a="1"/>
  <c r="D24" i="17" s="1"/>
  <c r="J32" i="17"/>
  <c r="Z32" i="17" s="1"/>
  <c r="AH32" i="17" s="1"/>
  <c r="B32" i="17" a="1"/>
  <c r="B32" i="17" s="1"/>
  <c r="E32" i="17" a="1"/>
  <c r="E32" i="17" s="1"/>
  <c r="D32" i="17" a="1"/>
  <c r="D32" i="17" s="1"/>
  <c r="C32" i="17" a="1"/>
  <c r="C32" i="17" s="1"/>
  <c r="G32" i="17" a="1"/>
  <c r="G32" i="17" s="1"/>
  <c r="F32" i="17" a="1"/>
  <c r="F32" i="17" s="1"/>
  <c r="J13" i="17"/>
  <c r="Z13" i="17" s="1"/>
  <c r="AH13" i="17" s="1"/>
  <c r="B13" i="17" a="1"/>
  <c r="B13" i="17" s="1"/>
  <c r="D13" i="17" a="1"/>
  <c r="D13" i="17" s="1"/>
  <c r="C13" i="17" a="1"/>
  <c r="C13" i="17" s="1"/>
  <c r="G13" i="17" a="1"/>
  <c r="G13" i="17" s="1"/>
  <c r="F13" i="17" a="1"/>
  <c r="F13" i="17" s="1"/>
  <c r="E13" i="17" a="1"/>
  <c r="E13" i="17" s="1"/>
  <c r="J31" i="17"/>
  <c r="R31" i="17" s="1"/>
  <c r="B31" i="17" a="1"/>
  <c r="B31" i="17" s="1"/>
  <c r="D31" i="17" a="1"/>
  <c r="D31" i="17" s="1"/>
  <c r="C31" i="17" a="1"/>
  <c r="C31" i="17" s="1"/>
  <c r="G31" i="17" a="1"/>
  <c r="G31" i="17" s="1"/>
  <c r="F31" i="17" a="1"/>
  <c r="F31" i="17" s="1"/>
  <c r="E31" i="17" a="1"/>
  <c r="E31" i="17" s="1"/>
  <c r="J44" i="17"/>
  <c r="Z44" i="17" s="1"/>
  <c r="AH44" i="17" s="1"/>
  <c r="B44" i="17" a="1"/>
  <c r="B44" i="17" s="1"/>
  <c r="E44" i="17" a="1"/>
  <c r="E44" i="17" s="1"/>
  <c r="D44" i="17" a="1"/>
  <c r="D44" i="17" s="1"/>
  <c r="C44" i="17" a="1"/>
  <c r="C44" i="17" s="1"/>
  <c r="G44" i="17" a="1"/>
  <c r="G44" i="17" s="1"/>
  <c r="F44" i="17" a="1"/>
  <c r="F44" i="17" s="1"/>
  <c r="J16" i="17"/>
  <c r="Z16" i="17" s="1"/>
  <c r="AH16" i="17" s="1"/>
  <c r="B16" i="17" a="1"/>
  <c r="B16" i="17" s="1"/>
  <c r="G16" i="17" a="1"/>
  <c r="G16" i="17" s="1"/>
  <c r="F16" i="17" a="1"/>
  <c r="F16" i="17" s="1"/>
  <c r="E16" i="17" a="1"/>
  <c r="E16" i="17" s="1"/>
  <c r="D16" i="17" a="1"/>
  <c r="D16" i="17" s="1"/>
  <c r="C16" i="17" a="1"/>
  <c r="C16" i="17" s="1"/>
  <c r="B27" i="17" a="1"/>
  <c r="B27" i="17" s="1"/>
  <c r="F27" i="17" a="1"/>
  <c r="F27" i="17" s="1"/>
  <c r="E27" i="17" a="1"/>
  <c r="E27" i="17" s="1"/>
  <c r="D27" i="17" a="1"/>
  <c r="D27" i="17" s="1"/>
  <c r="C27" i="17" a="1"/>
  <c r="C27" i="17" s="1"/>
  <c r="G27" i="17" a="1"/>
  <c r="G27" i="17" s="1"/>
  <c r="B25" i="17" a="1"/>
  <c r="B25" i="17" s="1"/>
  <c r="D25" i="17" a="1"/>
  <c r="D25" i="17" s="1"/>
  <c r="C25" i="17" a="1"/>
  <c r="C25" i="17" s="1"/>
  <c r="G25" i="17" a="1"/>
  <c r="G25" i="17" s="1"/>
  <c r="F25" i="17" a="1"/>
  <c r="F25" i="17" s="1"/>
  <c r="E25" i="17" a="1"/>
  <c r="E25" i="17" s="1"/>
  <c r="J45" i="17"/>
  <c r="Z45" i="17" s="1"/>
  <c r="AH45" i="17" s="1"/>
  <c r="B45" i="17" a="1"/>
  <c r="B45" i="17" s="1"/>
  <c r="G45" i="17" a="1"/>
  <c r="G45" i="17" s="1"/>
  <c r="F45" i="17" a="1"/>
  <c r="F45" i="17" s="1"/>
  <c r="E45" i="17" a="1"/>
  <c r="E45" i="17" s="1"/>
  <c r="D45" i="17" a="1"/>
  <c r="D45" i="17" s="1"/>
  <c r="C45" i="17" a="1"/>
  <c r="C45" i="17" s="1"/>
  <c r="J17" i="17"/>
  <c r="Z17" i="17" s="1"/>
  <c r="AH17" i="17" s="1"/>
  <c r="B17" i="17" a="1"/>
  <c r="B17" i="17" s="1"/>
  <c r="G17" i="17" a="1"/>
  <c r="G17" i="17" s="1"/>
  <c r="F17" i="17" a="1"/>
  <c r="F17" i="17" s="1"/>
  <c r="E17" i="17" a="1"/>
  <c r="E17" i="17" s="1"/>
  <c r="D17" i="17" a="1"/>
  <c r="D17" i="17" s="1"/>
  <c r="C17" i="17" a="1"/>
  <c r="C17" i="17" s="1"/>
  <c r="J51" i="17"/>
  <c r="R51" i="17" s="1"/>
  <c r="E51" i="17" a="1"/>
  <c r="E51" i="17" s="1"/>
  <c r="B51" i="17" a="1"/>
  <c r="B51" i="17" s="1"/>
  <c r="G51" i="17" a="1"/>
  <c r="G51" i="17" s="1"/>
  <c r="F51" i="17" a="1"/>
  <c r="F51" i="17" s="1"/>
  <c r="D51" i="17" a="1"/>
  <c r="D51" i="17" s="1"/>
  <c r="C51" i="17" a="1"/>
  <c r="C51" i="17" s="1"/>
  <c r="B28" i="17" a="1"/>
  <c r="B28" i="17" s="1"/>
  <c r="G28" i="17" a="1"/>
  <c r="G28" i="17" s="1"/>
  <c r="F28" i="17" a="1"/>
  <c r="F28" i="17" s="1"/>
  <c r="E28" i="17" a="1"/>
  <c r="E28" i="17" s="1"/>
  <c r="D28" i="17" a="1"/>
  <c r="D28" i="17" s="1"/>
  <c r="C28" i="17" a="1"/>
  <c r="C28" i="17" s="1"/>
  <c r="J46" i="17"/>
  <c r="Z46" i="17" s="1"/>
  <c r="AH46" i="17" s="1"/>
  <c r="B46" i="17" a="1"/>
  <c r="B46" i="17" s="1"/>
  <c r="G46" i="17" a="1"/>
  <c r="G46" i="17" s="1"/>
  <c r="F46" i="17" a="1"/>
  <c r="F46" i="17" s="1"/>
  <c r="E46" i="17" a="1"/>
  <c r="E46" i="17" s="1"/>
  <c r="D46" i="17" a="1"/>
  <c r="D46" i="17" s="1"/>
  <c r="C46" i="17" a="1"/>
  <c r="C46" i="17" s="1"/>
  <c r="B9" i="17" a="1"/>
  <c r="B9" i="17" s="1"/>
  <c r="F9" i="17" a="1"/>
  <c r="F9" i="17" s="1"/>
  <c r="E9" i="17" a="1"/>
  <c r="E9" i="17" s="1"/>
  <c r="D9" i="17" a="1"/>
  <c r="D9" i="17" s="1"/>
  <c r="C9" i="17" a="1"/>
  <c r="C9" i="17" s="1"/>
  <c r="G9" i="17" a="1"/>
  <c r="G9" i="17" s="1"/>
  <c r="B29" i="17" a="1"/>
  <c r="B29" i="17" s="1"/>
  <c r="G29" i="17" a="1"/>
  <c r="G29" i="17" s="1"/>
  <c r="F29" i="17" a="1"/>
  <c r="F29" i="17" s="1"/>
  <c r="E29" i="17" a="1"/>
  <c r="E29" i="17" s="1"/>
  <c r="D29" i="17" a="1"/>
  <c r="D29" i="17" s="1"/>
  <c r="C29" i="17" a="1"/>
  <c r="C29" i="17" s="1"/>
  <c r="B15" i="17" a="1"/>
  <c r="B15" i="17" s="1"/>
  <c r="F15" i="17" a="1"/>
  <c r="F15" i="17" s="1"/>
  <c r="E15" i="17" a="1"/>
  <c r="E15" i="17" s="1"/>
  <c r="D15" i="17" a="1"/>
  <c r="D15" i="17" s="1"/>
  <c r="C15" i="17" a="1"/>
  <c r="C15" i="17" s="1"/>
  <c r="G15" i="17" a="1"/>
  <c r="G15" i="17" s="1"/>
  <c r="J57" i="17"/>
  <c r="Z57" i="17" s="1"/>
  <c r="AH57" i="17" s="1"/>
  <c r="F57" i="17" a="1"/>
  <c r="F57" i="17" s="1"/>
  <c r="E57" i="17" a="1"/>
  <c r="E57" i="17" s="1"/>
  <c r="B57" i="17" a="1"/>
  <c r="B57" i="17" s="1"/>
  <c r="C57" i="17" a="1"/>
  <c r="C57" i="17" s="1"/>
  <c r="G57" i="17" a="1"/>
  <c r="G57" i="17" s="1"/>
  <c r="D57" i="17" a="1"/>
  <c r="D57" i="17" s="1"/>
  <c r="B42" i="17" a="1"/>
  <c r="B42" i="17" s="1"/>
  <c r="C42" i="17" a="1"/>
  <c r="C42" i="17" s="1"/>
  <c r="G42" i="17" a="1"/>
  <c r="G42" i="17" s="1"/>
  <c r="F42" i="17" a="1"/>
  <c r="F42" i="17" s="1"/>
  <c r="E42" i="17" a="1"/>
  <c r="E42" i="17" s="1"/>
  <c r="D42" i="17" a="1"/>
  <c r="D42" i="17" s="1"/>
  <c r="J39" i="17"/>
  <c r="Z39" i="17" s="1"/>
  <c r="AH39" i="17" s="1"/>
  <c r="B39" i="17" a="1"/>
  <c r="B39" i="17" s="1"/>
  <c r="F39" i="17" a="1"/>
  <c r="F39" i="17" s="1"/>
  <c r="E39" i="17" a="1"/>
  <c r="E39" i="17" s="1"/>
  <c r="D39" i="17" a="1"/>
  <c r="D39" i="17" s="1"/>
  <c r="C39" i="17" a="1"/>
  <c r="C39" i="17" s="1"/>
  <c r="G39" i="17" a="1"/>
  <c r="G39" i="17" s="1"/>
  <c r="J25" i="17"/>
  <c r="Z25" i="17" s="1"/>
  <c r="AH25" i="17" s="1"/>
  <c r="J21" i="17"/>
  <c r="R21" i="17" s="1"/>
  <c r="J28" i="17"/>
  <c r="Z28" i="17" s="1"/>
  <c r="AH28" i="17" s="1"/>
  <c r="J59" i="17"/>
  <c r="Z59" i="17" s="1"/>
  <c r="AH59" i="17" s="1"/>
  <c r="J10" i="17"/>
  <c r="R10" i="17" s="1"/>
  <c r="J15" i="17"/>
  <c r="R15" i="17" s="1"/>
  <c r="J41" i="17"/>
  <c r="Z41" i="17" s="1"/>
  <c r="AH41" i="17" s="1"/>
  <c r="J56" i="17"/>
  <c r="Z56" i="17" s="1"/>
  <c r="AH56" i="17" s="1"/>
  <c r="J36" i="17"/>
  <c r="R36" i="17" s="1"/>
  <c r="J12" i="17"/>
  <c r="Z12" i="17" s="1"/>
  <c r="AH12" i="17" s="1"/>
  <c r="J27" i="17"/>
  <c r="Z27" i="17" s="1"/>
  <c r="AH27" i="17" s="1"/>
  <c r="J29" i="17"/>
  <c r="Z29" i="17" s="1"/>
  <c r="AH29" i="17" s="1"/>
  <c r="J24" i="17"/>
  <c r="R24" i="17" s="1"/>
  <c r="J49" i="17"/>
  <c r="R49" i="17" s="1"/>
  <c r="J43" i="17"/>
  <c r="Z43" i="17" s="1"/>
  <c r="AH43" i="17" s="1"/>
  <c r="J38" i="17"/>
  <c r="Z38" i="17" s="1"/>
  <c r="AH38" i="17" s="1"/>
  <c r="J42" i="17"/>
  <c r="Z42" i="17" s="1"/>
  <c r="AH42" i="17" s="1"/>
  <c r="J40" i="17"/>
  <c r="Z40" i="17" s="1"/>
  <c r="AH40" i="17" s="1"/>
  <c r="J33" i="17"/>
  <c r="Z33" i="17" s="1"/>
  <c r="AH33" i="17" s="1"/>
  <c r="J53" i="17"/>
  <c r="Z53" i="17" s="1"/>
  <c r="AH53" i="17" s="1"/>
  <c r="J58" i="17"/>
  <c r="Z58" i="17" s="1"/>
  <c r="AH58" i="17" s="1"/>
  <c r="J47" i="17"/>
  <c r="R47" i="17" s="1"/>
  <c r="J52" i="17"/>
  <c r="Z52" i="17" s="1"/>
  <c r="AH52" i="17" s="1"/>
  <c r="J26" i="17"/>
  <c r="Z26" i="17" s="1"/>
  <c r="AH26" i="17" s="1"/>
  <c r="V62" i="17"/>
  <c r="N62" i="17"/>
  <c r="W63" i="17"/>
  <c r="O63" i="17"/>
  <c r="AE63" i="17" s="1"/>
  <c r="V63" i="17"/>
  <c r="N63" i="17"/>
  <c r="O62" i="17"/>
  <c r="AE62" i="17" s="1"/>
  <c r="W62" i="17"/>
  <c r="M60" i="17"/>
  <c r="AC60" i="17" s="1"/>
  <c r="U60" i="17"/>
  <c r="M63" i="17"/>
  <c r="AC63" i="17" s="1"/>
  <c r="U63" i="17"/>
  <c r="O60" i="17"/>
  <c r="AE60" i="17" s="1"/>
  <c r="W60" i="17"/>
  <c r="M62" i="17"/>
  <c r="AC62" i="17" s="1"/>
  <c r="U62" i="17"/>
  <c r="K60" i="17"/>
  <c r="S60" i="17"/>
  <c r="O61" i="17"/>
  <c r="AE61" i="17" s="1"/>
  <c r="W61" i="17"/>
  <c r="U61" i="17"/>
  <c r="M61" i="17"/>
  <c r="AC61" i="17" s="1"/>
  <c r="T60" i="17"/>
  <c r="L60" i="17"/>
  <c r="N60" i="17"/>
  <c r="V60" i="17"/>
  <c r="T62" i="17"/>
  <c r="L62" i="17"/>
  <c r="K61" i="17"/>
  <c r="S61" i="17"/>
  <c r="L63" i="17"/>
  <c r="T63" i="17"/>
  <c r="V61" i="17"/>
  <c r="N61" i="17"/>
  <c r="K63" i="17"/>
  <c r="S63" i="17"/>
  <c r="T61" i="17"/>
  <c r="L61" i="17"/>
  <c r="K62" i="17"/>
  <c r="S62" i="17"/>
  <c r="R23" i="17"/>
  <c r="Z22" i="17"/>
  <c r="AH22" i="17" s="1"/>
  <c r="R22" i="17"/>
  <c r="Z48" i="17"/>
  <c r="AH48" i="17" s="1"/>
  <c r="R48" i="17"/>
  <c r="Z30" i="17"/>
  <c r="AH30" i="17" s="1"/>
  <c r="R30" i="17"/>
  <c r="Z34" i="17"/>
  <c r="AH34" i="17" s="1"/>
  <c r="R34" i="17"/>
  <c r="R54" i="17"/>
  <c r="H60" i="17"/>
  <c r="H61" i="17"/>
  <c r="H63" i="17"/>
  <c r="H62" i="17"/>
  <c r="J9" i="17"/>
  <c r="AA48" i="1"/>
  <c r="AA51" i="1"/>
  <c r="AA53" i="1"/>
  <c r="AA44" i="1"/>
  <c r="AA36" i="1"/>
  <c r="AA47" i="1"/>
  <c r="AA37" i="1"/>
  <c r="AA43" i="1"/>
  <c r="AA42" i="1"/>
  <c r="AA54" i="1"/>
  <c r="AA52" i="1"/>
  <c r="AA50" i="1"/>
  <c r="AA38" i="1"/>
  <c r="AA49" i="1"/>
  <c r="AA39" i="1"/>
  <c r="AA40" i="1"/>
  <c r="AA55" i="1"/>
  <c r="AA45" i="1"/>
  <c r="AA46" i="1"/>
  <c r="U95" i="7"/>
  <c r="R57" i="17" l="1"/>
  <c r="R17" i="17"/>
  <c r="R16" i="17"/>
  <c r="R20" i="17"/>
  <c r="R39" i="17"/>
  <c r="Z18" i="17"/>
  <c r="AH18" i="17" s="1"/>
  <c r="R19" i="17"/>
  <c r="R37" i="17"/>
  <c r="Z55" i="17"/>
  <c r="AH55" i="17" s="1"/>
  <c r="AK55" i="17" s="1" a="1"/>
  <c r="AK55" i="17" s="1"/>
  <c r="Z51" i="17"/>
  <c r="AH51" i="17" s="1"/>
  <c r="AK51" i="17" s="1" a="1"/>
  <c r="AK51" i="17" s="1"/>
  <c r="R46" i="17"/>
  <c r="Z35" i="17"/>
  <c r="AH35" i="17" s="1"/>
  <c r="AK35" i="17" s="1" a="1"/>
  <c r="AK35" i="17" s="1"/>
  <c r="R13" i="17"/>
  <c r="R11" i="17"/>
  <c r="R45" i="17"/>
  <c r="Z31" i="17"/>
  <c r="AH31" i="17" s="1"/>
  <c r="AJ31" i="17" s="1" a="1"/>
  <c r="AJ31" i="17" s="1"/>
  <c r="R14" i="17"/>
  <c r="R50" i="17"/>
  <c r="R44" i="17"/>
  <c r="R59" i="17"/>
  <c r="AI32" i="17" a="1"/>
  <c r="AI32" i="17" s="1"/>
  <c r="AK32" i="17" a="1"/>
  <c r="AK32" i="17" s="1"/>
  <c r="AJ32" i="17" a="1"/>
  <c r="AJ32" i="17" s="1"/>
  <c r="Z21" i="17"/>
  <c r="AH21" i="17" s="1"/>
  <c r="AK37" i="17" a="1"/>
  <c r="AK37" i="17" s="1"/>
  <c r="AJ37" i="17" a="1"/>
  <c r="AJ37" i="17" s="1"/>
  <c r="AI37" i="17" a="1"/>
  <c r="AI37" i="17" s="1"/>
  <c r="AI38" i="17" a="1"/>
  <c r="AI38" i="17" s="1"/>
  <c r="AK38" i="17" a="1"/>
  <c r="AK38" i="17" s="1"/>
  <c r="AJ38" i="17" a="1"/>
  <c r="AJ38" i="17" s="1"/>
  <c r="AK59" i="17" a="1"/>
  <c r="AK59" i="17" s="1"/>
  <c r="AJ59" i="17" a="1"/>
  <c r="AJ59" i="17" s="1"/>
  <c r="AI59" i="17" a="1"/>
  <c r="AI59" i="17" s="1"/>
  <c r="G5" i="17"/>
  <c r="G4" i="17" s="1"/>
  <c r="AK19" i="17" a="1"/>
  <c r="AK19" i="17" s="1"/>
  <c r="AJ19" i="17" a="1"/>
  <c r="AJ19" i="17" s="1"/>
  <c r="AI19" i="17" a="1"/>
  <c r="AI19" i="17" s="1"/>
  <c r="AI20" i="17" a="1"/>
  <c r="AI20" i="17" s="1"/>
  <c r="AK20" i="17" a="1"/>
  <c r="AK20" i="17" s="1"/>
  <c r="AJ20" i="17" a="1"/>
  <c r="AJ20" i="17" s="1"/>
  <c r="AK43" i="17" a="1"/>
  <c r="AK43" i="17" s="1"/>
  <c r="AJ43" i="17" a="1"/>
  <c r="AJ43" i="17" s="1"/>
  <c r="AI43" i="17" a="1"/>
  <c r="AI43" i="17" s="1"/>
  <c r="AI28" i="17" a="1"/>
  <c r="AI28" i="17" s="1"/>
  <c r="AK28" i="17" a="1"/>
  <c r="AK28" i="17" s="1"/>
  <c r="AJ28" i="17" a="1"/>
  <c r="AJ28" i="17" s="1"/>
  <c r="AK39" i="17" a="1"/>
  <c r="AK39" i="17" s="1"/>
  <c r="AJ39" i="17" a="1"/>
  <c r="AJ39" i="17" s="1"/>
  <c r="AI39" i="17" a="1"/>
  <c r="AI39" i="17" s="1"/>
  <c r="AI46" i="17" a="1"/>
  <c r="AI46" i="17" s="1"/>
  <c r="AK46" i="17" a="1"/>
  <c r="AK46" i="17" s="1"/>
  <c r="AJ46" i="17" a="1"/>
  <c r="AJ46" i="17" s="1"/>
  <c r="AI22" i="17" a="1"/>
  <c r="AI22" i="17" s="1"/>
  <c r="AK22" i="17" a="1"/>
  <c r="AK22" i="17" s="1"/>
  <c r="AJ22" i="17" a="1"/>
  <c r="AJ22" i="17" s="1"/>
  <c r="AK25" i="17" a="1"/>
  <c r="AK25" i="17" s="1"/>
  <c r="AJ25" i="17" a="1"/>
  <c r="AJ25" i="17" s="1"/>
  <c r="AI25" i="17" a="1"/>
  <c r="AI25" i="17" s="1"/>
  <c r="AI26" i="17" a="1"/>
  <c r="AI26" i="17" s="1"/>
  <c r="AK26" i="17" a="1"/>
  <c r="AK26" i="17" s="1"/>
  <c r="AJ26" i="17" a="1"/>
  <c r="AJ26" i="17" s="1"/>
  <c r="AK29" i="17" a="1"/>
  <c r="AK29" i="17" s="1"/>
  <c r="AJ29" i="17" a="1"/>
  <c r="AJ29" i="17" s="1"/>
  <c r="AI29" i="17" a="1"/>
  <c r="AI29" i="17" s="1"/>
  <c r="F5" i="17"/>
  <c r="F4" i="17" s="1"/>
  <c r="D5" i="17"/>
  <c r="D4" i="17" s="1"/>
  <c r="AK13" i="17" a="1"/>
  <c r="AK13" i="17" s="1"/>
  <c r="AJ13" i="17" a="1"/>
  <c r="AJ13" i="17" s="1"/>
  <c r="AI13" i="17" a="1"/>
  <c r="AI13" i="17" s="1"/>
  <c r="AK57" i="17" a="1"/>
  <c r="AK57" i="17" s="1"/>
  <c r="AJ57" i="17" a="1"/>
  <c r="AJ57" i="17" s="1"/>
  <c r="AI57" i="17" a="1"/>
  <c r="AI57" i="17" s="1"/>
  <c r="AI30" i="17" a="1"/>
  <c r="AI30" i="17" s="1"/>
  <c r="AK30" i="17" a="1"/>
  <c r="AK30" i="17" s="1"/>
  <c r="AJ30" i="17" a="1"/>
  <c r="AJ30" i="17" s="1"/>
  <c r="AI52" i="17" a="1"/>
  <c r="AI52" i="17" s="1"/>
  <c r="AK52" i="17" a="1"/>
  <c r="AK52" i="17" s="1"/>
  <c r="AJ52" i="17" a="1"/>
  <c r="AJ52" i="17" s="1"/>
  <c r="AK27" i="17" a="1"/>
  <c r="AK27" i="17" s="1"/>
  <c r="AJ27" i="17" a="1"/>
  <c r="AJ27" i="17" s="1"/>
  <c r="AI27" i="17" a="1"/>
  <c r="AI27" i="17" s="1"/>
  <c r="AK45" i="17" a="1"/>
  <c r="AK45" i="17" s="1"/>
  <c r="AJ45" i="17" a="1"/>
  <c r="AJ45" i="17" s="1"/>
  <c r="AI45" i="17" a="1"/>
  <c r="AI45" i="17" s="1"/>
  <c r="AI12" i="17" a="1"/>
  <c r="AI12" i="17" s="1"/>
  <c r="AK12" i="17" a="1"/>
  <c r="AK12" i="17" s="1"/>
  <c r="AJ12" i="17" a="1"/>
  <c r="AJ12" i="17" s="1"/>
  <c r="AK11" i="17" a="1"/>
  <c r="AK11" i="17" s="1"/>
  <c r="AJ11" i="17" a="1"/>
  <c r="AJ11" i="17" s="1"/>
  <c r="AI11" i="17" a="1"/>
  <c r="AI11" i="17" s="1"/>
  <c r="AI48" i="17" a="1"/>
  <c r="AI48" i="17" s="1"/>
  <c r="AK48" i="17" a="1"/>
  <c r="AK48" i="17" s="1"/>
  <c r="AJ48" i="17" a="1"/>
  <c r="AJ48" i="17" s="1"/>
  <c r="AK23" i="17" a="1"/>
  <c r="AK23" i="17" s="1"/>
  <c r="AJ23" i="17" a="1"/>
  <c r="AJ23" i="17" s="1"/>
  <c r="AI23" i="17" a="1"/>
  <c r="AI23" i="17" s="1"/>
  <c r="AI58" i="17" a="1"/>
  <c r="AI58" i="17" s="1"/>
  <c r="AK58" i="17" a="1"/>
  <c r="AK58" i="17" s="1"/>
  <c r="AJ58" i="17" a="1"/>
  <c r="AJ58" i="17" s="1"/>
  <c r="AI18" i="17" a="1"/>
  <c r="AI18" i="17" s="1"/>
  <c r="AK18" i="17" a="1"/>
  <c r="AK18" i="17" s="1"/>
  <c r="AJ18" i="17" a="1"/>
  <c r="AJ18" i="17" s="1"/>
  <c r="AK53" i="17" a="1"/>
  <c r="AK53" i="17" s="1"/>
  <c r="AJ53" i="17" a="1"/>
  <c r="AJ53" i="17" s="1"/>
  <c r="AI53" i="17" a="1"/>
  <c r="AI53" i="17" s="1"/>
  <c r="AI56" i="17" a="1"/>
  <c r="AI56" i="17" s="1"/>
  <c r="AK56" i="17" a="1"/>
  <c r="AK56" i="17" s="1"/>
  <c r="AJ56" i="17" a="1"/>
  <c r="AJ56" i="17" s="1"/>
  <c r="AI14" i="17" a="1"/>
  <c r="AI14" i="17" s="1"/>
  <c r="AK14" i="17" a="1"/>
  <c r="AK14" i="17" s="1"/>
  <c r="AJ14" i="17" a="1"/>
  <c r="AJ14" i="17" s="1"/>
  <c r="AI50" i="17" a="1"/>
  <c r="AI50" i="17" s="1"/>
  <c r="AK50" i="17" a="1"/>
  <c r="AK50" i="17" s="1"/>
  <c r="AJ50" i="17" a="1"/>
  <c r="AJ50" i="17" s="1"/>
  <c r="AI44" i="17" a="1"/>
  <c r="AI44" i="17" s="1"/>
  <c r="AK44" i="17" a="1"/>
  <c r="AK44" i="17" s="1"/>
  <c r="AJ44" i="17" a="1"/>
  <c r="AJ44" i="17" s="1"/>
  <c r="AI16" i="17" a="1"/>
  <c r="AI16" i="17" s="1"/>
  <c r="AK16" i="17" a="1"/>
  <c r="AK16" i="17" s="1"/>
  <c r="AJ16" i="17" a="1"/>
  <c r="AJ16" i="17" s="1"/>
  <c r="AK33" i="17" a="1"/>
  <c r="AK33" i="17" s="1"/>
  <c r="AJ33" i="17" a="1"/>
  <c r="AJ33" i="17" s="1"/>
  <c r="AI33" i="17" a="1"/>
  <c r="AI33" i="17" s="1"/>
  <c r="AK41" i="17" a="1"/>
  <c r="AK41" i="17" s="1"/>
  <c r="AJ41" i="17" a="1"/>
  <c r="AJ41" i="17" s="1"/>
  <c r="AI41" i="17" a="1"/>
  <c r="AI41" i="17" s="1"/>
  <c r="AI54" i="17" a="1"/>
  <c r="AI54" i="17" s="1"/>
  <c r="AK54" i="17" a="1"/>
  <c r="AK54" i="17" s="1"/>
  <c r="AJ54" i="17" a="1"/>
  <c r="AJ54" i="17" s="1"/>
  <c r="R32" i="17"/>
  <c r="AI40" i="17" a="1"/>
  <c r="AI40" i="17" s="1"/>
  <c r="AK40" i="17" a="1"/>
  <c r="AK40" i="17" s="1"/>
  <c r="AJ40" i="17" a="1"/>
  <c r="AJ40" i="17" s="1"/>
  <c r="AK17" i="17" a="1"/>
  <c r="AK17" i="17" s="1"/>
  <c r="AJ17" i="17" a="1"/>
  <c r="AJ17" i="17" s="1"/>
  <c r="AI17" i="17" a="1"/>
  <c r="AI17" i="17" s="1"/>
  <c r="AI34" i="17" a="1"/>
  <c r="AI34" i="17" s="1"/>
  <c r="AK34" i="17" a="1"/>
  <c r="AK34" i="17" s="1"/>
  <c r="AJ34" i="17" a="1"/>
  <c r="AJ34" i="17" s="1"/>
  <c r="AI42" i="17" a="1"/>
  <c r="AI42" i="17" s="1"/>
  <c r="AK42" i="17" a="1"/>
  <c r="AK42" i="17" s="1"/>
  <c r="AJ42" i="17" a="1"/>
  <c r="AJ42" i="17" s="1"/>
  <c r="R29" i="17"/>
  <c r="R27" i="17"/>
  <c r="Z24" i="17"/>
  <c r="AH24" i="17" s="1"/>
  <c r="R53" i="17"/>
  <c r="H39" i="17"/>
  <c r="H20" i="17"/>
  <c r="H13" i="17"/>
  <c r="H18" i="17"/>
  <c r="Z15" i="17"/>
  <c r="AH15" i="17" s="1"/>
  <c r="H36" i="17"/>
  <c r="R56" i="17"/>
  <c r="H11" i="17"/>
  <c r="H54" i="17"/>
  <c r="H56" i="17"/>
  <c r="R58" i="17"/>
  <c r="B7" i="18"/>
  <c r="H37" i="17"/>
  <c r="H25" i="17"/>
  <c r="H31" i="17"/>
  <c r="H12" i="17"/>
  <c r="Z49" i="17"/>
  <c r="AH49" i="17" s="1"/>
  <c r="H49" i="17"/>
  <c r="H33" i="17"/>
  <c r="H10" i="17"/>
  <c r="H22" i="17"/>
  <c r="Z10" i="17"/>
  <c r="AH10" i="17" s="1"/>
  <c r="H43" i="17"/>
  <c r="H51" i="17"/>
  <c r="H47" i="17"/>
  <c r="H45" i="17"/>
  <c r="H57" i="17"/>
  <c r="H40" i="17"/>
  <c r="H48" i="17"/>
  <c r="H30" i="17"/>
  <c r="H21" i="17"/>
  <c r="R33" i="17"/>
  <c r="H50" i="17"/>
  <c r="R25" i="17"/>
  <c r="H46" i="17"/>
  <c r="R42" i="17"/>
  <c r="H34" i="17"/>
  <c r="R38" i="17"/>
  <c r="H44" i="17"/>
  <c r="R43" i="17"/>
  <c r="H42" i="17"/>
  <c r="H32" i="17"/>
  <c r="H55" i="17"/>
  <c r="Z36" i="17"/>
  <c r="AH36" i="17" s="1"/>
  <c r="H19" i="17"/>
  <c r="H23" i="17"/>
  <c r="H38" i="17"/>
  <c r="R40" i="17"/>
  <c r="H24" i="17"/>
  <c r="H35" i="17"/>
  <c r="R41" i="17"/>
  <c r="H17" i="17"/>
  <c r="H53" i="17"/>
  <c r="H41" i="17"/>
  <c r="H52" i="17"/>
  <c r="V38" i="17"/>
  <c r="L53" i="17"/>
  <c r="AB53" i="17" s="1"/>
  <c r="K39" i="17"/>
  <c r="AA39" i="17" s="1"/>
  <c r="K44" i="17"/>
  <c r="AA44" i="17" s="1"/>
  <c r="O37" i="17"/>
  <c r="AE37" i="17" s="1"/>
  <c r="W56" i="17"/>
  <c r="T50" i="17"/>
  <c r="M52" i="17"/>
  <c r="AC52" i="17" s="1"/>
  <c r="K48" i="17"/>
  <c r="R28" i="17"/>
  <c r="O47" i="17"/>
  <c r="AE47" i="17" s="1"/>
  <c r="L41" i="17"/>
  <c r="U51" i="17"/>
  <c r="S58" i="17"/>
  <c r="V40" i="17"/>
  <c r="L57" i="17"/>
  <c r="S54" i="17"/>
  <c r="K46" i="17"/>
  <c r="AA46" i="17" s="1"/>
  <c r="R12" i="17"/>
  <c r="N36" i="17"/>
  <c r="V49" i="17"/>
  <c r="N45" i="17"/>
  <c r="AD45" i="17" s="1"/>
  <c r="N43" i="17"/>
  <c r="W55" i="17"/>
  <c r="U42" i="17"/>
  <c r="H59" i="17"/>
  <c r="H58" i="17"/>
  <c r="Z47" i="17"/>
  <c r="AH47" i="17" s="1"/>
  <c r="R52" i="17"/>
  <c r="K59" i="17"/>
  <c r="H26" i="17"/>
  <c r="H28" i="17"/>
  <c r="R26" i="17"/>
  <c r="H27" i="17"/>
  <c r="H29" i="17"/>
  <c r="AP63" i="17"/>
  <c r="AN63" i="17"/>
  <c r="AP60" i="17"/>
  <c r="AN62" i="17"/>
  <c r="AN60" i="17"/>
  <c r="AN61" i="17"/>
  <c r="N59" i="17"/>
  <c r="T52" i="17"/>
  <c r="O59" i="17"/>
  <c r="AE59" i="17" s="1"/>
  <c r="L52" i="17"/>
  <c r="AB52" i="17" s="1"/>
  <c r="U50" i="17"/>
  <c r="K52" i="17"/>
  <c r="S52" i="17"/>
  <c r="L54" i="17"/>
  <c r="W59" i="17"/>
  <c r="O57" i="17"/>
  <c r="AE57" i="17" s="1"/>
  <c r="M57" i="17"/>
  <c r="AC57" i="17" s="1"/>
  <c r="L48" i="17"/>
  <c r="AB48" i="17" s="1"/>
  <c r="V46" i="17"/>
  <c r="T45" i="17"/>
  <c r="W43" i="17"/>
  <c r="N46" i="17"/>
  <c r="L45" i="17"/>
  <c r="O43" i="17"/>
  <c r="AE43" i="17" s="1"/>
  <c r="T43" i="17"/>
  <c r="N49" i="17"/>
  <c r="S50" i="17"/>
  <c r="L43" i="17"/>
  <c r="M59" i="17"/>
  <c r="AC59" i="17" s="1"/>
  <c r="T46" i="17"/>
  <c r="S57" i="17"/>
  <c r="V43" i="17"/>
  <c r="M43" i="17"/>
  <c r="AC43" i="17" s="1"/>
  <c r="K57" i="17"/>
  <c r="AP62" i="17"/>
  <c r="V59" i="17"/>
  <c r="N44" i="17"/>
  <c r="S38" i="17"/>
  <c r="V53" i="17"/>
  <c r="U38" i="17"/>
  <c r="L50" i="17"/>
  <c r="O44" i="17"/>
  <c r="AE44" i="17" s="1"/>
  <c r="T44" i="17"/>
  <c r="L46" i="17"/>
  <c r="V44" i="17"/>
  <c r="U43" i="17"/>
  <c r="T54" i="17"/>
  <c r="T48" i="17"/>
  <c r="K38" i="17"/>
  <c r="AA38" i="17" s="1"/>
  <c r="K50" i="17"/>
  <c r="U59" i="17"/>
  <c r="N53" i="17"/>
  <c r="W57" i="17"/>
  <c r="M38" i="17"/>
  <c r="AC38" i="17" s="1"/>
  <c r="U57" i="17"/>
  <c r="W44" i="17"/>
  <c r="L44" i="17"/>
  <c r="U53" i="17"/>
  <c r="H16" i="17"/>
  <c r="W48" i="17"/>
  <c r="L59" i="17"/>
  <c r="K45" i="17"/>
  <c r="V57" i="17"/>
  <c r="W38" i="17"/>
  <c r="K53" i="17"/>
  <c r="O46" i="17"/>
  <c r="AE46" i="17" s="1"/>
  <c r="W52" i="17"/>
  <c r="N54" i="17"/>
  <c r="AP61" i="17"/>
  <c r="O48" i="17"/>
  <c r="AE48" i="17" s="1"/>
  <c r="T59" i="17"/>
  <c r="S45" i="17"/>
  <c r="N57" i="17"/>
  <c r="O38" i="17"/>
  <c r="AE38" i="17" s="1"/>
  <c r="S53" i="17"/>
  <c r="W46" i="17"/>
  <c r="S59" i="17"/>
  <c r="O52" i="17"/>
  <c r="AE52" i="17" s="1"/>
  <c r="V54" i="17"/>
  <c r="M45" i="17"/>
  <c r="AC45" i="17" s="1"/>
  <c r="U39" i="17"/>
  <c r="U46" i="17"/>
  <c r="L49" i="17"/>
  <c r="N52" i="17"/>
  <c r="V48" i="17"/>
  <c r="W50" i="17"/>
  <c r="N50" i="17"/>
  <c r="T57" i="17"/>
  <c r="M54" i="17"/>
  <c r="AC54" i="17" s="1"/>
  <c r="V39" i="17"/>
  <c r="H15" i="17"/>
  <c r="U45" i="17"/>
  <c r="M39" i="17"/>
  <c r="AC39" i="17" s="1"/>
  <c r="M46" i="17"/>
  <c r="AC46" i="17" s="1"/>
  <c r="T49" i="17"/>
  <c r="V52" i="17"/>
  <c r="N48" i="17"/>
  <c r="O50" i="17"/>
  <c r="AE50" i="17" s="1"/>
  <c r="V50" i="17"/>
  <c r="U54" i="17"/>
  <c r="T39" i="17"/>
  <c r="O49" i="17"/>
  <c r="AE49" i="17" s="1"/>
  <c r="S46" i="17"/>
  <c r="M44" i="17"/>
  <c r="AC44" i="17" s="1"/>
  <c r="W54" i="17"/>
  <c r="S49" i="17"/>
  <c r="U48" i="17"/>
  <c r="W53" i="17"/>
  <c r="M49" i="17"/>
  <c r="AC49" i="17" s="1"/>
  <c r="S44" i="17"/>
  <c r="O39" i="17"/>
  <c r="AE39" i="17" s="1"/>
  <c r="U52" i="17"/>
  <c r="L38" i="17"/>
  <c r="O45" i="17"/>
  <c r="AE45" i="17" s="1"/>
  <c r="N39" i="17"/>
  <c r="L39" i="17"/>
  <c r="W49" i="17"/>
  <c r="U44" i="17"/>
  <c r="O54" i="17"/>
  <c r="AE54" i="17" s="1"/>
  <c r="K49" i="17"/>
  <c r="M48" i="17"/>
  <c r="AC48" i="17" s="1"/>
  <c r="O53" i="17"/>
  <c r="AE53" i="17" s="1"/>
  <c r="U49" i="17"/>
  <c r="W39" i="17"/>
  <c r="T38" i="17"/>
  <c r="W45" i="17"/>
  <c r="V45" i="17"/>
  <c r="S48" i="17"/>
  <c r="N38" i="17"/>
  <c r="S39" i="17"/>
  <c r="T53" i="17"/>
  <c r="K54" i="17"/>
  <c r="AA54" i="17" s="1"/>
  <c r="K43" i="17"/>
  <c r="M50" i="17"/>
  <c r="AC50" i="17" s="1"/>
  <c r="M53" i="17"/>
  <c r="AC53" i="17" s="1"/>
  <c r="S43" i="17"/>
  <c r="E5" i="17"/>
  <c r="E4" i="17" s="1"/>
  <c r="AB63" i="17"/>
  <c r="AM63" i="17" s="1"/>
  <c r="H64" i="17"/>
  <c r="Z9" i="17"/>
  <c r="AH9" i="17" s="1"/>
  <c r="R9" i="17"/>
  <c r="AD61" i="17"/>
  <c r="AO61" i="17" s="1"/>
  <c r="AB60" i="17"/>
  <c r="AM60" i="17" s="1"/>
  <c r="X60" i="17"/>
  <c r="C5" i="17"/>
  <c r="C4" i="17" s="1"/>
  <c r="AB61" i="17"/>
  <c r="AM61" i="17" s="1"/>
  <c r="AB62" i="17"/>
  <c r="AM62" i="17" s="1"/>
  <c r="AD60" i="17"/>
  <c r="AO60" i="17" s="1"/>
  <c r="H14" i="17"/>
  <c r="AD62" i="17"/>
  <c r="AO62" i="17" s="1"/>
  <c r="AD63" i="17"/>
  <c r="AO63" i="17" s="1"/>
  <c r="H65" i="17"/>
  <c r="P63" i="17"/>
  <c r="P60" i="17"/>
  <c r="P62" i="17"/>
  <c r="P61" i="17"/>
  <c r="AA60" i="17"/>
  <c r="AL60" i="17" s="1"/>
  <c r="AA63" i="17"/>
  <c r="AL63" i="17" s="1"/>
  <c r="H9" i="17"/>
  <c r="AA62" i="17"/>
  <c r="AL62" i="17" s="1"/>
  <c r="AA61" i="17"/>
  <c r="AL61" i="17" s="1"/>
  <c r="AI51" i="17" l="1" a="1"/>
  <c r="AI51" i="17" s="1"/>
  <c r="AJ51" i="17" a="1"/>
  <c r="AJ51" i="17" s="1"/>
  <c r="AJ35" i="17" a="1"/>
  <c r="AJ35" i="17" s="1"/>
  <c r="AI55" i="17" a="1"/>
  <c r="AI55" i="17" s="1"/>
  <c r="AI35" i="17" a="1"/>
  <c r="AI35" i="17" s="1"/>
  <c r="AJ55" i="17" a="1"/>
  <c r="AJ55" i="17" s="1"/>
  <c r="AK31" i="17" a="1"/>
  <c r="AK31" i="17" s="1"/>
  <c r="AI31" i="17" a="1"/>
  <c r="AI31" i="17" s="1"/>
  <c r="AK49" i="17" a="1"/>
  <c r="AK49" i="17" s="1"/>
  <c r="AJ49" i="17" a="1"/>
  <c r="AJ49" i="17" s="1"/>
  <c r="AI49" i="17" a="1"/>
  <c r="AI49" i="17" s="1"/>
  <c r="AK15" i="17" a="1"/>
  <c r="AK15" i="17" s="1"/>
  <c r="AI15" i="17" a="1"/>
  <c r="AI15" i="17" s="1"/>
  <c r="AJ15" i="17" a="1"/>
  <c r="AJ15" i="17" s="1"/>
  <c r="AK9" i="17" a="1"/>
  <c r="AK9" i="17" s="1"/>
  <c r="AJ9" i="17" a="1"/>
  <c r="AJ9" i="17" s="1"/>
  <c r="AI9" i="17" a="1"/>
  <c r="AI9" i="17" s="1"/>
  <c r="AK47" i="17" a="1"/>
  <c r="AK47" i="17" s="1"/>
  <c r="AJ47" i="17" a="1"/>
  <c r="AJ47" i="17" s="1"/>
  <c r="AI47" i="17" a="1"/>
  <c r="AI47" i="17" s="1"/>
  <c r="AI24" i="17" a="1"/>
  <c r="AI24" i="17" s="1"/>
  <c r="AK24" i="17" a="1"/>
  <c r="AK24" i="17" s="1"/>
  <c r="AJ24" i="17" a="1"/>
  <c r="AJ24" i="17" s="1"/>
  <c r="H5" i="17"/>
  <c r="AI10" i="17" a="1"/>
  <c r="AI10" i="17" s="1"/>
  <c r="AK10" i="17" a="1"/>
  <c r="AK10" i="17" s="1"/>
  <c r="AJ10" i="17" a="1"/>
  <c r="AJ10" i="17" s="1"/>
  <c r="AK21" i="17" a="1"/>
  <c r="AK21" i="17" s="1"/>
  <c r="AJ21" i="17" a="1"/>
  <c r="AJ21" i="17" s="1"/>
  <c r="AI21" i="17" a="1"/>
  <c r="AI21" i="17" s="1"/>
  <c r="AI36" i="17" a="1"/>
  <c r="AI36" i="17" s="1"/>
  <c r="AK36" i="17" a="1"/>
  <c r="AK36" i="17" s="1"/>
  <c r="AJ36" i="17" a="1"/>
  <c r="AJ36" i="17" s="1"/>
  <c r="T37" i="17"/>
  <c r="W37" i="17"/>
  <c r="AP37" i="17" s="1"/>
  <c r="N37" i="17"/>
  <c r="AD37" i="17" s="1"/>
  <c r="M37" i="17"/>
  <c r="AC37" i="17" s="1"/>
  <c r="N56" i="17"/>
  <c r="AD56" i="17" s="1"/>
  <c r="S56" i="17"/>
  <c r="M56" i="17"/>
  <c r="AC56" i="17" s="1"/>
  <c r="U37" i="17"/>
  <c r="L56" i="17"/>
  <c r="AB56" i="17" s="1"/>
  <c r="T56" i="17"/>
  <c r="L37" i="17"/>
  <c r="AB37" i="17" s="1"/>
  <c r="O56" i="17"/>
  <c r="AE56" i="17" s="1"/>
  <c r="AP56" i="17" s="1"/>
  <c r="K56" i="17"/>
  <c r="AA56" i="17" s="1"/>
  <c r="K37" i="17"/>
  <c r="AA37" i="17" s="1"/>
  <c r="V56" i="17"/>
  <c r="U56" i="17"/>
  <c r="V37" i="17"/>
  <c r="S37" i="17"/>
  <c r="O55" i="17"/>
  <c r="AE55" i="17" s="1"/>
  <c r="AP55" i="17" s="1"/>
  <c r="O42" i="17"/>
  <c r="AE42" i="17" s="1"/>
  <c r="U55" i="17"/>
  <c r="N55" i="17"/>
  <c r="AD55" i="17" s="1"/>
  <c r="K55" i="17"/>
  <c r="AA55" i="17" s="1"/>
  <c r="V55" i="17"/>
  <c r="B9" i="18"/>
  <c r="B8" i="18"/>
  <c r="K58" i="17"/>
  <c r="AA58" i="17" s="1"/>
  <c r="W47" i="17"/>
  <c r="AP47" i="17" s="1"/>
  <c r="V47" i="17"/>
  <c r="T47" i="17"/>
  <c r="V36" i="17"/>
  <c r="K41" i="17"/>
  <c r="AA41" i="17" s="1"/>
  <c r="T36" i="17"/>
  <c r="M41" i="17"/>
  <c r="AC41" i="17" s="1"/>
  <c r="K47" i="17"/>
  <c r="AA47" i="17" s="1"/>
  <c r="O36" i="17"/>
  <c r="AE36" i="17" s="1"/>
  <c r="L42" i="17"/>
  <c r="AB42" i="17" s="1"/>
  <c r="U36" i="17"/>
  <c r="O58" i="17"/>
  <c r="AE58" i="17" s="1"/>
  <c r="M36" i="17"/>
  <c r="AC36" i="17" s="1"/>
  <c r="S47" i="17"/>
  <c r="O41" i="17"/>
  <c r="AE41" i="17" s="1"/>
  <c r="L36" i="17"/>
  <c r="AB36" i="17" s="1"/>
  <c r="N41" i="17"/>
  <c r="AD41" i="17" s="1"/>
  <c r="AL38" i="17"/>
  <c r="U47" i="17"/>
  <c r="T42" i="17"/>
  <c r="S41" i="17"/>
  <c r="V41" i="17"/>
  <c r="M51" i="17"/>
  <c r="AC51" i="17" s="1"/>
  <c r="AN51" i="17" s="1"/>
  <c r="L58" i="17"/>
  <c r="AB58" i="17" s="1"/>
  <c r="K36" i="17"/>
  <c r="AA36" i="17" s="1"/>
  <c r="U58" i="17"/>
  <c r="W42" i="17"/>
  <c r="T41" i="17"/>
  <c r="M42" i="17"/>
  <c r="AC42" i="17" s="1"/>
  <c r="AN42" i="17" s="1"/>
  <c r="W36" i="17"/>
  <c r="U41" i="17"/>
  <c r="W58" i="17"/>
  <c r="M58" i="17"/>
  <c r="AC58" i="17" s="1"/>
  <c r="N42" i="17"/>
  <c r="AD42" i="17" s="1"/>
  <c r="M55" i="17"/>
  <c r="AC55" i="17" s="1"/>
  <c r="S36" i="17"/>
  <c r="M47" i="17"/>
  <c r="AC47" i="17" s="1"/>
  <c r="S42" i="17"/>
  <c r="V58" i="17"/>
  <c r="W41" i="17"/>
  <c r="T58" i="17"/>
  <c r="L51" i="17"/>
  <c r="AB51" i="17" s="1"/>
  <c r="N47" i="17"/>
  <c r="AD47" i="17" s="1"/>
  <c r="L47" i="17"/>
  <c r="AB47" i="17" s="1"/>
  <c r="K51" i="17"/>
  <c r="W51" i="17"/>
  <c r="V42" i="17"/>
  <c r="N58" i="17"/>
  <c r="AD58" i="17" s="1"/>
  <c r="N51" i="17"/>
  <c r="AD51" i="17" s="1"/>
  <c r="T51" i="17"/>
  <c r="O51" i="17"/>
  <c r="AE51" i="17" s="1"/>
  <c r="S51" i="17"/>
  <c r="L40" i="17"/>
  <c r="AB40" i="17" s="1"/>
  <c r="K42" i="17"/>
  <c r="AA42" i="17" s="1"/>
  <c r="S40" i="17"/>
  <c r="T40" i="17"/>
  <c r="V51" i="17"/>
  <c r="N40" i="17"/>
  <c r="AD40" i="17" s="1"/>
  <c r="AO40" i="17" s="1"/>
  <c r="O40" i="17"/>
  <c r="AE40" i="17" s="1"/>
  <c r="K40" i="17"/>
  <c r="AA40" i="17" s="1"/>
  <c r="AL54" i="17"/>
  <c r="M40" i="17"/>
  <c r="AC40" i="17" s="1"/>
  <c r="U40" i="17"/>
  <c r="W40" i="17"/>
  <c r="S55" i="17"/>
  <c r="L55" i="17"/>
  <c r="AB55" i="17" s="1"/>
  <c r="T55" i="17"/>
  <c r="AN53" i="17"/>
  <c r="L9" i="4" a="1"/>
  <c r="L9" i="4" s="1"/>
  <c r="AN44" i="17"/>
  <c r="AP50" i="17"/>
  <c r="AP43" i="17"/>
  <c r="AP39" i="17"/>
  <c r="AN49" i="17"/>
  <c r="AN45" i="17"/>
  <c r="AP44" i="17"/>
  <c r="AM52" i="17"/>
  <c r="AP59" i="17"/>
  <c r="AM48" i="17"/>
  <c r="AP54" i="17"/>
  <c r="AN52" i="17"/>
  <c r="AP45" i="17"/>
  <c r="AN39" i="17"/>
  <c r="AN54" i="17"/>
  <c r="AN57" i="17"/>
  <c r="AL44" i="17"/>
  <c r="AN50" i="17"/>
  <c r="AN59" i="17"/>
  <c r="AP46" i="17"/>
  <c r="AN48" i="17"/>
  <c r="AN38" i="17"/>
  <c r="AP52" i="17"/>
  <c r="AL46" i="17"/>
  <c r="AN43" i="17"/>
  <c r="AP49" i="17"/>
  <c r="AP48" i="17"/>
  <c r="AP57" i="17"/>
  <c r="AP53" i="17"/>
  <c r="AL39" i="17"/>
  <c r="AM53" i="17"/>
  <c r="AN46" i="17"/>
  <c r="AO45" i="17"/>
  <c r="AP38" i="17"/>
  <c r="X63" i="17"/>
  <c r="X52" i="17"/>
  <c r="X62" i="17"/>
  <c r="X61" i="17"/>
  <c r="X48" i="17"/>
  <c r="AD52" i="17"/>
  <c r="AO52" i="17" s="1"/>
  <c r="AD50" i="17"/>
  <c r="AO50" i="17" s="1"/>
  <c r="AD53" i="17"/>
  <c r="AO53" i="17" s="1"/>
  <c r="X53" i="17"/>
  <c r="AB39" i="17"/>
  <c r="AM39" i="17" s="1"/>
  <c r="X39" i="17"/>
  <c r="AD38" i="17"/>
  <c r="AO38" i="17" s="1"/>
  <c r="AQ61" i="17"/>
  <c r="AB50" i="17"/>
  <c r="AM50" i="17" s="1"/>
  <c r="X50" i="17"/>
  <c r="AD54" i="17"/>
  <c r="AO54" i="17" s="1"/>
  <c r="AB46" i="17"/>
  <c r="AD57" i="17"/>
  <c r="AO57" i="17" s="1"/>
  <c r="AD49" i="17"/>
  <c r="AO49" i="17" s="1"/>
  <c r="AD44" i="17"/>
  <c r="AO44" i="17" s="1"/>
  <c r="AD59" i="17"/>
  <c r="AO59" i="17" s="1"/>
  <c r="AD43" i="17"/>
  <c r="AO43" i="17" s="1"/>
  <c r="AB59" i="17"/>
  <c r="AM59" i="17" s="1"/>
  <c r="AB49" i="17"/>
  <c r="AM49" i="17" s="1"/>
  <c r="AB45" i="17"/>
  <c r="AM45" i="17" s="1"/>
  <c r="X45" i="17"/>
  <c r="AD48" i="17"/>
  <c r="AO48" i="17" s="1"/>
  <c r="AB57" i="17"/>
  <c r="AM57" i="17" s="1"/>
  <c r="X57" i="17"/>
  <c r="AB44" i="17"/>
  <c r="X44" i="17"/>
  <c r="AB38" i="17"/>
  <c r="AB54" i="17"/>
  <c r="AM54" i="17" s="1"/>
  <c r="AD39" i="17"/>
  <c r="AO39" i="17" s="1"/>
  <c r="AB43" i="17"/>
  <c r="AM43" i="17" s="1"/>
  <c r="AD36" i="17"/>
  <c r="AB41" i="17"/>
  <c r="AD46" i="17"/>
  <c r="AO46" i="17" s="1"/>
  <c r="P38" i="17"/>
  <c r="AA49" i="17"/>
  <c r="AL49" i="17" s="1"/>
  <c r="P49" i="17"/>
  <c r="AA57" i="17"/>
  <c r="P57" i="17"/>
  <c r="AA50" i="17"/>
  <c r="AL50" i="17" s="1"/>
  <c r="P50" i="17"/>
  <c r="AA52" i="17"/>
  <c r="AL52" i="17" s="1"/>
  <c r="P52" i="17"/>
  <c r="AA48" i="17"/>
  <c r="P48" i="17"/>
  <c r="AA53" i="17"/>
  <c r="AL53" i="17" s="1"/>
  <c r="P53" i="17"/>
  <c r="AF61" i="17"/>
  <c r="P46" i="17"/>
  <c r="P54" i="17"/>
  <c r="P39" i="17"/>
  <c r="AA45" i="17"/>
  <c r="AL45" i="17" s="1"/>
  <c r="P45" i="17"/>
  <c r="AA59" i="17"/>
  <c r="P59" i="17"/>
  <c r="AA43" i="17"/>
  <c r="AL43" i="17" s="1"/>
  <c r="P43" i="17"/>
  <c r="P44" i="17"/>
  <c r="AF60" i="17"/>
  <c r="AQ60" i="17"/>
  <c r="AF62" i="17"/>
  <c r="AQ62" i="17"/>
  <c r="AF63" i="17"/>
  <c r="AQ63" i="17"/>
  <c r="A31" i="22" l="1"/>
  <c r="AM37" i="17"/>
  <c r="P9" i="4" a="1"/>
  <c r="P9" i="4" s="1"/>
  <c r="O9" i="4" a="1"/>
  <c r="O9" i="4" s="1"/>
  <c r="N9" i="4" a="1"/>
  <c r="N9" i="4" s="1"/>
  <c r="AN37" i="17"/>
  <c r="AM56" i="17"/>
  <c r="AN56" i="17"/>
  <c r="AL56" i="17"/>
  <c r="AO37" i="17"/>
  <c r="X37" i="17"/>
  <c r="AO56" i="17"/>
  <c r="AN55" i="17"/>
  <c r="AL37" i="17"/>
  <c r="AP42" i="17"/>
  <c r="P56" i="17"/>
  <c r="P37" i="17"/>
  <c r="AM58" i="17"/>
  <c r="AP58" i="17"/>
  <c r="AN40" i="17"/>
  <c r="AO36" i="17"/>
  <c r="AP41" i="17"/>
  <c r="AO47" i="17"/>
  <c r="AL42" i="17"/>
  <c r="AM36" i="17"/>
  <c r="AM51" i="17"/>
  <c r="AP51" i="17"/>
  <c r="P51" i="17"/>
  <c r="AN58" i="17"/>
  <c r="AP36" i="17"/>
  <c r="AM47" i="17"/>
  <c r="AL47" i="17"/>
  <c r="AM41" i="17"/>
  <c r="AL40" i="17"/>
  <c r="X47" i="17"/>
  <c r="AN41" i="17"/>
  <c r="B11" i="18"/>
  <c r="AN47" i="17"/>
  <c r="X41" i="17"/>
  <c r="AO41" i="17"/>
  <c r="X51" i="17"/>
  <c r="AP40" i="17"/>
  <c r="AN36" i="17"/>
  <c r="B10" i="18"/>
  <c r="AO42" i="17"/>
  <c r="P42" i="17"/>
  <c r="P41" i="17"/>
  <c r="AA51" i="17"/>
  <c r="AF51" i="17" s="1"/>
  <c r="AO51" i="17"/>
  <c r="AL41" i="17"/>
  <c r="X36" i="17"/>
  <c r="P47" i="17"/>
  <c r="AF55" i="17"/>
  <c r="P36" i="17"/>
  <c r="P40" i="17"/>
  <c r="AO58" i="17"/>
  <c r="P58" i="17"/>
  <c r="X55" i="17"/>
  <c r="AM42" i="17"/>
  <c r="X40" i="17"/>
  <c r="AM40" i="17"/>
  <c r="AL55" i="17"/>
  <c r="P55" i="17"/>
  <c r="AM55" i="17"/>
  <c r="L10" i="4" a="1"/>
  <c r="L10" i="4" s="1"/>
  <c r="L129" i="4" s="1"/>
  <c r="AQ49" i="17"/>
  <c r="AQ39" i="17"/>
  <c r="AQ52" i="17"/>
  <c r="AF56" i="17"/>
  <c r="AM44" i="17"/>
  <c r="AF38" i="17"/>
  <c r="AM38" i="17"/>
  <c r="AQ38" i="17" s="1"/>
  <c r="AL36" i="17"/>
  <c r="AM46" i="17"/>
  <c r="AF59" i="17"/>
  <c r="AL59" i="17"/>
  <c r="AO55" i="17"/>
  <c r="AF52" i="17"/>
  <c r="AF48" i="17"/>
  <c r="AL48" i="17"/>
  <c r="AL57" i="17"/>
  <c r="AF58" i="17"/>
  <c r="AL58" i="17"/>
  <c r="AF54" i="17"/>
  <c r="X58" i="17"/>
  <c r="X42" i="17"/>
  <c r="AF39" i="17"/>
  <c r="X54" i="17"/>
  <c r="X49" i="17"/>
  <c r="AF36" i="17"/>
  <c r="AF42" i="17"/>
  <c r="AQ54" i="17"/>
  <c r="X56" i="17"/>
  <c r="AQ43" i="17"/>
  <c r="X43" i="17"/>
  <c r="X38" i="17"/>
  <c r="X59" i="17"/>
  <c r="X46" i="17"/>
  <c r="AQ50" i="17"/>
  <c r="AF53" i="17"/>
  <c r="AF44" i="17"/>
  <c r="AF49" i="17"/>
  <c r="AS61" i="17"/>
  <c r="AF46" i="17"/>
  <c r="AF41" i="17"/>
  <c r="AF40" i="17"/>
  <c r="AF47" i="17"/>
  <c r="AF43" i="17"/>
  <c r="AS63" i="17"/>
  <c r="AQ53" i="17"/>
  <c r="AS62" i="17"/>
  <c r="AF57" i="17"/>
  <c r="AF37" i="17"/>
  <c r="AF50" i="17"/>
  <c r="AS60" i="17"/>
  <c r="AQ45" i="17"/>
  <c r="AF45" i="17"/>
  <c r="W129" i="4" l="1" a="1"/>
  <c r="W129" i="4" s="1"/>
  <c r="L129" i="5"/>
  <c r="P10" i="4" a="1"/>
  <c r="P10" i="4" s="1"/>
  <c r="P10" i="5" s="1"/>
  <c r="O10" i="4" a="1"/>
  <c r="O10" i="4" s="1"/>
  <c r="O129" i="4" s="1"/>
  <c r="O129" i="5" s="1"/>
  <c r="N10" i="4" a="1"/>
  <c r="N10" i="4" s="1"/>
  <c r="AQ56" i="17"/>
  <c r="AS56" i="17" s="1"/>
  <c r="AQ37" i="17"/>
  <c r="AS37" i="17" s="1"/>
  <c r="AL51" i="17"/>
  <c r="AQ51" i="17" s="1"/>
  <c r="AQ47" i="17"/>
  <c r="AS47" i="17" s="1"/>
  <c r="AQ41" i="17"/>
  <c r="AS41" i="17" s="1"/>
  <c r="AQ40" i="17"/>
  <c r="AS40" i="17" s="1"/>
  <c r="AQ42" i="17"/>
  <c r="AS42" i="17" s="1"/>
  <c r="B13" i="18"/>
  <c r="P9" i="5"/>
  <c r="B12" i="18"/>
  <c r="AS43" i="17"/>
  <c r="L10" i="5"/>
  <c r="L11" i="4" a="1"/>
  <c r="L11" i="4" s="1"/>
  <c r="L130" i="4" s="1"/>
  <c r="AS49" i="17"/>
  <c r="AQ58" i="17"/>
  <c r="AS58" i="17" s="1"/>
  <c r="AQ48" i="17"/>
  <c r="AS48" i="17" s="1"/>
  <c r="AQ46" i="17"/>
  <c r="AQ36" i="17"/>
  <c r="AS36" i="17" s="1"/>
  <c r="AQ44" i="17"/>
  <c r="AS44" i="17" s="1"/>
  <c r="AS52" i="17"/>
  <c r="AS45" i="17"/>
  <c r="AS39" i="17"/>
  <c r="AQ55" i="17"/>
  <c r="AS55" i="17" s="1"/>
  <c r="AQ57" i="17"/>
  <c r="AS57" i="17" s="1"/>
  <c r="AQ59" i="17"/>
  <c r="AS59" i="17" s="1"/>
  <c r="AS54" i="17"/>
  <c r="AS38" i="17"/>
  <c r="AS53" i="17"/>
  <c r="AS50" i="17"/>
  <c r="L130" i="5" l="1"/>
  <c r="W130" i="4" a="1"/>
  <c r="W130" i="4" s="1"/>
  <c r="N10" i="5"/>
  <c r="N129" i="4"/>
  <c r="N129" i="5" s="1"/>
  <c r="W129" i="5"/>
  <c r="O10" i="5"/>
  <c r="O11" i="4" a="1"/>
  <c r="O11" i="4" s="1"/>
  <c r="O130" i="4" s="1"/>
  <c r="O130" i="5" s="1"/>
  <c r="P11" i="4" a="1"/>
  <c r="P11" i="4" s="1"/>
  <c r="N11" i="4" a="1"/>
  <c r="N11" i="4" s="1"/>
  <c r="L12" i="4" a="1"/>
  <c r="L12" i="4" s="1"/>
  <c r="L131" i="4" s="1"/>
  <c r="B14" i="18"/>
  <c r="AS46" i="17"/>
  <c r="L11" i="5"/>
  <c r="AS51" i="17"/>
  <c r="L131" i="5" l="1"/>
  <c r="W131" i="4" a="1"/>
  <c r="W131" i="4" s="1"/>
  <c r="W130" i="5"/>
  <c r="N11" i="5"/>
  <c r="N130" i="4"/>
  <c r="N130" i="5" s="1"/>
  <c r="N12" i="4" a="1"/>
  <c r="N12" i="4" s="1"/>
  <c r="P12" i="4" a="1"/>
  <c r="P12" i="4" s="1"/>
  <c r="O12" i="4" a="1"/>
  <c r="O12" i="4" s="1"/>
  <c r="O131" i="4" s="1"/>
  <c r="O131" i="5" s="1"/>
  <c r="L12" i="5"/>
  <c r="L13" i="4" a="1"/>
  <c r="L13" i="4" s="1"/>
  <c r="O11" i="5"/>
  <c r="P11" i="5"/>
  <c r="L132" i="4" l="1"/>
  <c r="W132" i="4" s="1" a="1"/>
  <c r="W132" i="4" s="1"/>
  <c r="W131" i="5"/>
  <c r="N12" i="5"/>
  <c r="N131" i="4"/>
  <c r="N131" i="5" s="1"/>
  <c r="L13" i="5"/>
  <c r="P13" i="4" a="1"/>
  <c r="P13" i="4" s="1"/>
  <c r="O13" i="4" a="1"/>
  <c r="O13" i="4" s="1"/>
  <c r="O132" i="4" s="1"/>
  <c r="O132" i="5" s="1"/>
  <c r="N13" i="4" a="1"/>
  <c r="N13" i="4" s="1"/>
  <c r="O12" i="5"/>
  <c r="P12" i="5"/>
  <c r="L14" i="4" a="1"/>
  <c r="L14" i="4" s="1"/>
  <c r="A20" i="22" s="1"/>
  <c r="L132" i="5" l="1"/>
  <c r="L133" i="4"/>
  <c r="L133" i="5" s="1"/>
  <c r="W132" i="5"/>
  <c r="N13" i="5"/>
  <c r="N132" i="4"/>
  <c r="N132" i="5" s="1"/>
  <c r="P14" i="4" a="1"/>
  <c r="P14" i="4" s="1"/>
  <c r="P14" i="5" s="1"/>
  <c r="O14" i="4" a="1"/>
  <c r="O14" i="4" s="1"/>
  <c r="N14" i="4" a="1"/>
  <c r="N14" i="4" s="1"/>
  <c r="P13" i="5"/>
  <c r="L15" i="4" a="1"/>
  <c r="L15" i="4" s="1"/>
  <c r="O13" i="5"/>
  <c r="L14" i="5"/>
  <c r="W133" i="4" l="1" a="1"/>
  <c r="W133" i="4" s="1"/>
  <c r="W133" i="5" s="1"/>
  <c r="L134" i="4"/>
  <c r="W134" i="4" s="1" a="1"/>
  <c r="W134" i="4" s="1"/>
  <c r="A21" i="22"/>
  <c r="N14" i="5"/>
  <c r="N133" i="4"/>
  <c r="N133" i="5" s="1"/>
  <c r="O14" i="5"/>
  <c r="O133" i="4"/>
  <c r="O133" i="5" s="1"/>
  <c r="O15" i="4" a="1"/>
  <c r="O15" i="4" s="1"/>
  <c r="O134" i="4" s="1"/>
  <c r="O134" i="5" s="1"/>
  <c r="P15" i="4" a="1"/>
  <c r="P15" i="4" s="1"/>
  <c r="P15" i="5" s="1"/>
  <c r="N15" i="4" a="1"/>
  <c r="N15" i="4" s="1"/>
  <c r="L15" i="5"/>
  <c r="L16" i="4" a="1"/>
  <c r="L16" i="4" s="1"/>
  <c r="A22" i="22" s="1"/>
  <c r="K88" i="7"/>
  <c r="L134" i="5" l="1"/>
  <c r="L135" i="4"/>
  <c r="W135" i="4" s="1" a="1"/>
  <c r="W135" i="4" s="1"/>
  <c r="W134" i="5"/>
  <c r="N15" i="5"/>
  <c r="N134" i="4"/>
  <c r="N134" i="5" s="1"/>
  <c r="O16" i="4" a="1"/>
  <c r="O16" i="4" s="1"/>
  <c r="P16" i="4" a="1"/>
  <c r="P16" i="4" s="1"/>
  <c r="P16" i="5" s="1"/>
  <c r="N16" i="4" a="1"/>
  <c r="N16" i="4" s="1"/>
  <c r="O15" i="5"/>
  <c r="L16" i="5"/>
  <c r="L17" i="4" a="1"/>
  <c r="L17" i="4" s="1"/>
  <c r="L136" i="4" s="1"/>
  <c r="L135" i="5" l="1"/>
  <c r="W135" i="5"/>
  <c r="L136" i="5"/>
  <c r="W136" i="4" a="1"/>
  <c r="W136" i="4" s="1"/>
  <c r="N16" i="5"/>
  <c r="N135" i="4"/>
  <c r="N135" i="5" s="1"/>
  <c r="O16" i="5"/>
  <c r="O135" i="4"/>
  <c r="O135" i="5" s="1"/>
  <c r="P17" i="4" a="1"/>
  <c r="P17" i="4" s="1"/>
  <c r="P17" i="5" s="1"/>
  <c r="O17" i="4" a="1"/>
  <c r="O17" i="4" s="1"/>
  <c r="N17" i="4" a="1"/>
  <c r="N17" i="4" s="1"/>
  <c r="L17" i="5"/>
  <c r="L18" i="4" a="1"/>
  <c r="L18" i="4" s="1"/>
  <c r="L137" i="4" l="1"/>
  <c r="A32" i="22"/>
  <c r="W136" i="5"/>
  <c r="O17" i="5"/>
  <c r="O136" i="4"/>
  <c r="O136" i="5" s="1"/>
  <c r="N17" i="5"/>
  <c r="N136" i="4"/>
  <c r="N136" i="5" s="1"/>
  <c r="L137" i="5"/>
  <c r="W137" i="4" a="1"/>
  <c r="W137" i="4" s="1"/>
  <c r="P18" i="4" a="1"/>
  <c r="P18" i="4" s="1"/>
  <c r="P18" i="5" s="1"/>
  <c r="O18" i="4" a="1"/>
  <c r="O18" i="4" s="1"/>
  <c r="N18" i="4" a="1"/>
  <c r="N18" i="4" s="1"/>
  <c r="L18" i="5"/>
  <c r="L19" i="4" a="1"/>
  <c r="L19" i="4" s="1"/>
  <c r="R8" i="1"/>
  <c r="L138" i="4" l="1"/>
  <c r="A33" i="22"/>
  <c r="W137" i="5"/>
  <c r="N18" i="5"/>
  <c r="N137" i="4"/>
  <c r="N137" i="5" s="1"/>
  <c r="O18" i="5"/>
  <c r="O137" i="4"/>
  <c r="O137" i="5" s="1"/>
  <c r="L138" i="5"/>
  <c r="W138" i="4" a="1"/>
  <c r="W138" i="4" s="1"/>
  <c r="O19" i="4" a="1"/>
  <c r="O19" i="4" s="1"/>
  <c r="N19" i="4" a="1"/>
  <c r="N19" i="4" s="1"/>
  <c r="P19" i="4" a="1"/>
  <c r="P19" i="4" s="1"/>
  <c r="P19" i="5" s="1"/>
  <c r="L19" i="5"/>
  <c r="L20" i="4" a="1"/>
  <c r="L20" i="4" s="1"/>
  <c r="L139" i="4" s="1"/>
  <c r="W139" i="4" l="1" a="1"/>
  <c r="W139" i="4" s="1"/>
  <c r="L139" i="5"/>
  <c r="N19" i="5"/>
  <c r="N138" i="4"/>
  <c r="N138" i="5" s="1"/>
  <c r="O19" i="5"/>
  <c r="O138" i="4"/>
  <c r="O138" i="5" s="1"/>
  <c r="W138" i="5"/>
  <c r="P20" i="4" a="1"/>
  <c r="P20" i="4" s="1"/>
  <c r="P20" i="5" s="1"/>
  <c r="O20" i="4" a="1"/>
  <c r="O20" i="4" s="1"/>
  <c r="N20" i="4" a="1"/>
  <c r="N20" i="4" s="1"/>
  <c r="L20" i="5"/>
  <c r="L21" i="4" a="1"/>
  <c r="L21" i="4" s="1"/>
  <c r="L140" i="4" s="1"/>
  <c r="O50" i="7"/>
  <c r="A55" i="20" s="1"/>
  <c r="O52" i="7"/>
  <c r="A57" i="20" s="1"/>
  <c r="O53" i="7"/>
  <c r="A58" i="20" s="1"/>
  <c r="O38" i="7"/>
  <c r="O40" i="7"/>
  <c r="O41" i="7"/>
  <c r="L194" i="4"/>
  <c r="L200" i="5" s="1"/>
  <c r="L196" i="4"/>
  <c r="L202" i="5" s="1"/>
  <c r="L197" i="4"/>
  <c r="L203" i="5" s="1"/>
  <c r="L198" i="4"/>
  <c r="L204" i="5" s="1"/>
  <c r="L199" i="4"/>
  <c r="L205" i="5" s="1"/>
  <c r="L200" i="4"/>
  <c r="L206" i="5" s="1"/>
  <c r="L201" i="4"/>
  <c r="L207" i="5" s="1"/>
  <c r="L110" i="4"/>
  <c r="L112" i="4"/>
  <c r="L113" i="4"/>
  <c r="O48" i="7"/>
  <c r="A68" i="4"/>
  <c r="A68" i="5" s="1"/>
  <c r="A22" i="15"/>
  <c r="O207" i="5"/>
  <c r="N207" i="5"/>
  <c r="O206" i="5"/>
  <c r="N206" i="5"/>
  <c r="O205" i="5"/>
  <c r="N205" i="5"/>
  <c r="O204" i="5"/>
  <c r="N204" i="5"/>
  <c r="O203" i="5"/>
  <c r="N203" i="5"/>
  <c r="O202" i="5"/>
  <c r="N202" i="5"/>
  <c r="O201" i="5"/>
  <c r="N201" i="5"/>
  <c r="O200" i="5"/>
  <c r="N200" i="5"/>
  <c r="O199" i="5"/>
  <c r="N199" i="5"/>
  <c r="L208" i="5"/>
  <c r="N208" i="5"/>
  <c r="O208" i="5"/>
  <c r="L210" i="5"/>
  <c r="L197" i="5"/>
  <c r="L114" i="5"/>
  <c r="J191" i="4"/>
  <c r="V126" i="5"/>
  <c r="V197" i="5" s="1"/>
  <c r="O117" i="5"/>
  <c r="N117" i="5"/>
  <c r="M117" i="5"/>
  <c r="L117" i="5"/>
  <c r="V107" i="5"/>
  <c r="L91" i="5"/>
  <c r="L68" i="5"/>
  <c r="O122" i="5"/>
  <c r="N122" i="5"/>
  <c r="O121" i="5"/>
  <c r="N121" i="5"/>
  <c r="O120" i="5"/>
  <c r="N120" i="5"/>
  <c r="O119" i="5"/>
  <c r="N119" i="5"/>
  <c r="O113" i="5"/>
  <c r="N113" i="5"/>
  <c r="O112" i="5"/>
  <c r="N112" i="5"/>
  <c r="O111" i="5"/>
  <c r="N111" i="5"/>
  <c r="O110" i="5"/>
  <c r="N110" i="5"/>
  <c r="O109" i="5"/>
  <c r="N109" i="5"/>
  <c r="O123" i="5"/>
  <c r="N123" i="5"/>
  <c r="L123" i="5"/>
  <c r="O114" i="5"/>
  <c r="N114" i="5"/>
  <c r="J126" i="5"/>
  <c r="J107" i="5"/>
  <c r="A114" i="5"/>
  <c r="C114" i="5"/>
  <c r="D114" i="5"/>
  <c r="A92" i="4"/>
  <c r="A92" i="5" s="1"/>
  <c r="C109" i="5"/>
  <c r="D109" i="5"/>
  <c r="C110" i="5"/>
  <c r="D110" i="5"/>
  <c r="C111" i="5"/>
  <c r="D111" i="5"/>
  <c r="C112" i="5"/>
  <c r="D112" i="5"/>
  <c r="C113" i="5"/>
  <c r="D113" i="5"/>
  <c r="C119" i="5"/>
  <c r="D119" i="5"/>
  <c r="C120" i="5"/>
  <c r="D120" i="5"/>
  <c r="C121" i="5"/>
  <c r="D121" i="5"/>
  <c r="C122" i="5"/>
  <c r="D122" i="5"/>
  <c r="C123" i="5"/>
  <c r="D123" i="5"/>
  <c r="A69" i="5"/>
  <c r="A91" i="5"/>
  <c r="A106" i="5"/>
  <c r="A116" i="5"/>
  <c r="A123" i="5"/>
  <c r="A125" i="5"/>
  <c r="J8" i="4"/>
  <c r="J8" i="5" s="1"/>
  <c r="V8" i="4"/>
  <c r="V70" i="4" s="1"/>
  <c r="V93" i="4" s="1"/>
  <c r="V93" i="5" s="1"/>
  <c r="A120" i="4"/>
  <c r="A120" i="5" s="1"/>
  <c r="A121" i="4"/>
  <c r="A122" i="4"/>
  <c r="A119" i="4"/>
  <c r="A119" i="5" s="1"/>
  <c r="W140" i="4" l="1" a="1"/>
  <c r="W140" i="4" s="1"/>
  <c r="L140" i="5"/>
  <c r="N20" i="5"/>
  <c r="N139" i="4"/>
  <c r="N139" i="5" s="1"/>
  <c r="O20" i="5"/>
  <c r="O139" i="4"/>
  <c r="O139" i="5" s="1"/>
  <c r="W139" i="5"/>
  <c r="L110" i="5"/>
  <c r="P21" i="4" a="1"/>
  <c r="P21" i="4" s="1"/>
  <c r="P21" i="5" s="1"/>
  <c r="N21" i="4" a="1"/>
  <c r="N21" i="4" s="1"/>
  <c r="O21" i="4" a="1"/>
  <c r="O21" i="4" s="1"/>
  <c r="L113" i="5"/>
  <c r="L112" i="5"/>
  <c r="L21" i="5"/>
  <c r="L22" i="4" a="1"/>
  <c r="L22" i="4" s="1"/>
  <c r="L141" i="4" s="1"/>
  <c r="V8" i="5"/>
  <c r="V70" i="5"/>
  <c r="J70" i="4"/>
  <c r="J93" i="4" s="1"/>
  <c r="J93" i="5" s="1"/>
  <c r="L119" i="4"/>
  <c r="L122" i="4"/>
  <c r="A122" i="5"/>
  <c r="L121" i="4"/>
  <c r="A121" i="5"/>
  <c r="L120" i="4"/>
  <c r="N21" i="5" l="1"/>
  <c r="N140" i="4"/>
  <c r="N140" i="5" s="1"/>
  <c r="W141" i="4" a="1"/>
  <c r="W141" i="4" s="1"/>
  <c r="L141" i="5"/>
  <c r="O21" i="5"/>
  <c r="O140" i="4"/>
  <c r="O140" i="5" s="1"/>
  <c r="W140" i="5"/>
  <c r="L23" i="4" a="1"/>
  <c r="L23" i="4" s="1"/>
  <c r="P22" i="4" a="1"/>
  <c r="P22" i="4" s="1"/>
  <c r="P22" i="5" s="1"/>
  <c r="O22" i="4" a="1"/>
  <c r="O22" i="4" s="1"/>
  <c r="N22" i="4" a="1"/>
  <c r="N22" i="4" s="1"/>
  <c r="L22" i="5"/>
  <c r="L120" i="5"/>
  <c r="L121" i="5"/>
  <c r="L122" i="5"/>
  <c r="L119" i="5"/>
  <c r="AA10" i="1"/>
  <c r="J70" i="5"/>
  <c r="L142" i="4" l="1"/>
  <c r="A34" i="22"/>
  <c r="N141" i="4"/>
  <c r="N141" i="5" s="1"/>
  <c r="W141" i="5"/>
  <c r="O22" i="5"/>
  <c r="O141" i="4"/>
  <c r="O141" i="5" s="1"/>
  <c r="L142" i="5"/>
  <c r="W142" i="4" a="1"/>
  <c r="W142" i="4" s="1"/>
  <c r="L23" i="5"/>
  <c r="L24" i="4" a="1"/>
  <c r="L24" i="4" s="1"/>
  <c r="L143" i="4" s="1"/>
  <c r="N22" i="5"/>
  <c r="O23" i="4" a="1"/>
  <c r="O23" i="4" s="1"/>
  <c r="O142" i="4" s="1"/>
  <c r="O142" i="5" s="1"/>
  <c r="N23" i="4" a="1"/>
  <c r="N23" i="4" s="1"/>
  <c r="N142" i="4" s="1"/>
  <c r="N142" i="5" s="1"/>
  <c r="P23" i="4" a="1"/>
  <c r="P23" i="4" s="1"/>
  <c r="P23" i="5" s="1"/>
  <c r="K10" i="17"/>
  <c r="L10" i="17"/>
  <c r="S10" i="17"/>
  <c r="T10" i="17"/>
  <c r="W10" i="17"/>
  <c r="M10" i="17"/>
  <c r="AC10" i="17" s="1"/>
  <c r="O10" i="17"/>
  <c r="AE10" i="17" s="1"/>
  <c r="U10" i="17"/>
  <c r="N10" i="17"/>
  <c r="V10" i="17"/>
  <c r="AA11" i="1"/>
  <c r="L143" i="5" l="1"/>
  <c r="W143" i="4" a="1"/>
  <c r="W143" i="4" s="1"/>
  <c r="W142" i="5"/>
  <c r="L25" i="4" a="1"/>
  <c r="L25" i="4" s="1"/>
  <c r="L144" i="4" s="1"/>
  <c r="L24" i="5"/>
  <c r="N23" i="5"/>
  <c r="O23" i="5"/>
  <c r="N24" i="4" a="1"/>
  <c r="N24" i="4" s="1"/>
  <c r="P24" i="4" a="1"/>
  <c r="P24" i="4" s="1"/>
  <c r="P24" i="5" s="1"/>
  <c r="O24" i="4" a="1"/>
  <c r="O24" i="4" s="1"/>
  <c r="O143" i="4" s="1"/>
  <c r="O143" i="5" s="1"/>
  <c r="AP10" i="17"/>
  <c r="AN10" i="17"/>
  <c r="W11" i="17"/>
  <c r="O11" i="17"/>
  <c r="AE11" i="17" s="1"/>
  <c r="T11" i="17"/>
  <c r="L11" i="17"/>
  <c r="U11" i="17"/>
  <c r="M11" i="17"/>
  <c r="AC11" i="17" s="1"/>
  <c r="S11" i="17"/>
  <c r="N11" i="17"/>
  <c r="K11" i="17"/>
  <c r="V11" i="17"/>
  <c r="AD10" i="17"/>
  <c r="AO10" i="17" s="1"/>
  <c r="AB10" i="17"/>
  <c r="AM10" i="17" s="1"/>
  <c r="X10" i="17"/>
  <c r="P10" i="17"/>
  <c r="AA10" i="17"/>
  <c r="AL10" i="17" s="1"/>
  <c r="AA12" i="1"/>
  <c r="N24" i="5" l="1"/>
  <c r="N143" i="4"/>
  <c r="N143" i="5" s="1"/>
  <c r="W143" i="5"/>
  <c r="W144" i="4" a="1"/>
  <c r="W144" i="4" s="1"/>
  <c r="L144" i="5"/>
  <c r="O25" i="4" a="1"/>
  <c r="O25" i="4" s="1"/>
  <c r="N25" i="4" a="1"/>
  <c r="N25" i="4" s="1"/>
  <c r="L26" i="4" a="1"/>
  <c r="L26" i="4" s="1"/>
  <c r="L145" i="4" s="1"/>
  <c r="P25" i="4" a="1"/>
  <c r="P25" i="4" s="1"/>
  <c r="P25" i="5" s="1"/>
  <c r="L25" i="5"/>
  <c r="O24" i="5"/>
  <c r="AN11" i="17"/>
  <c r="AP11" i="17"/>
  <c r="M12" i="17"/>
  <c r="AC12" i="17" s="1"/>
  <c r="U12" i="17"/>
  <c r="T12" i="17"/>
  <c r="L12" i="17"/>
  <c r="O12" i="17"/>
  <c r="AE12" i="17" s="1"/>
  <c r="W12" i="17"/>
  <c r="N12" i="17"/>
  <c r="V12" i="17"/>
  <c r="K12" i="17"/>
  <c r="S12" i="17"/>
  <c r="AB11" i="17"/>
  <c r="AM11" i="17" s="1"/>
  <c r="AD11" i="17"/>
  <c r="AO11" i="17" s="1"/>
  <c r="P11" i="17"/>
  <c r="AQ10" i="17"/>
  <c r="AF10" i="17"/>
  <c r="AA11" i="17"/>
  <c r="AL11" i="17" s="1"/>
  <c r="AA13" i="1"/>
  <c r="R66" i="9"/>
  <c r="U25" i="7"/>
  <c r="O26" i="7"/>
  <c r="O27" i="7"/>
  <c r="O28" i="7"/>
  <c r="U31" i="7"/>
  <c r="L69" i="4"/>
  <c r="M70" i="4"/>
  <c r="L23" i="15"/>
  <c r="L28" i="15" s="1"/>
  <c r="D24" i="15"/>
  <c r="E65" i="7"/>
  <c r="E64" i="7"/>
  <c r="E63" i="7"/>
  <c r="E69" i="7" l="1"/>
  <c r="A54" i="21"/>
  <c r="E68" i="7"/>
  <c r="E73" i="7" s="1"/>
  <c r="A53" i="21"/>
  <c r="E70" i="7"/>
  <c r="E75" i="7" s="1"/>
  <c r="A55" i="21"/>
  <c r="L145" i="5"/>
  <c r="W145" i="4" a="1"/>
  <c r="W145" i="4" s="1"/>
  <c r="N25" i="5"/>
  <c r="N144" i="4"/>
  <c r="N144" i="5" s="1"/>
  <c r="O25" i="5"/>
  <c r="O144" i="4"/>
  <c r="O144" i="5" s="1"/>
  <c r="W144" i="5"/>
  <c r="O26" i="4" a="1"/>
  <c r="O26" i="4" s="1"/>
  <c r="O145" i="4" s="1"/>
  <c r="O145" i="5" s="1"/>
  <c r="L27" i="4" a="1"/>
  <c r="L27" i="4" s="1"/>
  <c r="L146" i="4" s="1"/>
  <c r="P26" i="4" a="1"/>
  <c r="P26" i="4" s="1"/>
  <c r="P26" i="5" s="1"/>
  <c r="L26" i="5"/>
  <c r="N26" i="4" a="1"/>
  <c r="N26" i="4" s="1"/>
  <c r="O65" i="17"/>
  <c r="AS10" i="17"/>
  <c r="AN12" i="17"/>
  <c r="AP12" i="17"/>
  <c r="X11" i="17"/>
  <c r="AB12" i="17"/>
  <c r="AM12" i="17" s="1"/>
  <c r="AD12" i="17"/>
  <c r="AO12" i="17" s="1"/>
  <c r="P12" i="17"/>
  <c r="AA12" i="17"/>
  <c r="AL12" i="17" s="1"/>
  <c r="AF11" i="17"/>
  <c r="AQ11" i="17"/>
  <c r="M93" i="4"/>
  <c r="M70" i="5"/>
  <c r="L92" i="4"/>
  <c r="L92" i="5" s="1"/>
  <c r="L69" i="5"/>
  <c r="J68" i="7"/>
  <c r="H68" i="7"/>
  <c r="I68" i="7"/>
  <c r="E74" i="7"/>
  <c r="G68" i="7" l="1"/>
  <c r="F68" i="7"/>
  <c r="O26" i="5"/>
  <c r="N26" i="5"/>
  <c r="N145" i="4"/>
  <c r="N145" i="5" s="1"/>
  <c r="W145" i="5"/>
  <c r="W146" i="4" a="1"/>
  <c r="W146" i="4" s="1"/>
  <c r="L146" i="5"/>
  <c r="N27" i="4" a="1"/>
  <c r="N27" i="4" s="1"/>
  <c r="N146" i="4" s="1"/>
  <c r="N146" i="5" s="1"/>
  <c r="P27" i="4" a="1"/>
  <c r="P27" i="4" s="1"/>
  <c r="P27" i="5" s="1"/>
  <c r="O27" i="4" a="1"/>
  <c r="O27" i="4" s="1"/>
  <c r="L27" i="5"/>
  <c r="L28" i="4" a="1"/>
  <c r="L28" i="4" s="1"/>
  <c r="L65" i="17"/>
  <c r="T65" i="17"/>
  <c r="S65" i="17"/>
  <c r="K65" i="17"/>
  <c r="AE65" i="17"/>
  <c r="W65" i="17"/>
  <c r="M65" i="17"/>
  <c r="AC65" i="17" s="1"/>
  <c r="U65" i="17"/>
  <c r="N65" i="17"/>
  <c r="V65" i="17"/>
  <c r="S64" i="17"/>
  <c r="K64" i="17"/>
  <c r="L64" i="17"/>
  <c r="M64" i="17"/>
  <c r="AC64" i="17" s="1"/>
  <c r="V64" i="17"/>
  <c r="U64" i="17"/>
  <c r="N64" i="17"/>
  <c r="O64" i="17"/>
  <c r="AE64" i="17" s="1"/>
  <c r="W64" i="17"/>
  <c r="T64" i="17"/>
  <c r="M13" i="17"/>
  <c r="AC13" i="17" s="1"/>
  <c r="U13" i="17"/>
  <c r="T13" i="17"/>
  <c r="V13" i="17"/>
  <c r="O13" i="17"/>
  <c r="AE13" i="17" s="1"/>
  <c r="L13" i="17"/>
  <c r="N13" i="17"/>
  <c r="W13" i="17"/>
  <c r="S13" i="17"/>
  <c r="K13" i="17"/>
  <c r="X12" i="17"/>
  <c r="AS11" i="17"/>
  <c r="AF12" i="17"/>
  <c r="AQ12" i="17"/>
  <c r="E51" i="7"/>
  <c r="E50" i="7"/>
  <c r="E49" i="7"/>
  <c r="E53" i="7"/>
  <c r="AA15" i="1"/>
  <c r="A110" i="4"/>
  <c r="A110" i="5" s="1"/>
  <c r="E37" i="7"/>
  <c r="A109" i="4"/>
  <c r="A109" i="5" s="1"/>
  <c r="E41" i="7"/>
  <c r="A113" i="4"/>
  <c r="A113" i="5" s="1"/>
  <c r="E39" i="7"/>
  <c r="A111" i="4"/>
  <c r="A111" i="5" s="1"/>
  <c r="M93" i="5"/>
  <c r="M126" i="5" s="1"/>
  <c r="M107" i="4"/>
  <c r="M107" i="5" s="1"/>
  <c r="E38" i="7"/>
  <c r="E11" i="7"/>
  <c r="P32" i="9"/>
  <c r="P33" i="9"/>
  <c r="P36" i="9"/>
  <c r="P37" i="9"/>
  <c r="P40" i="9"/>
  <c r="P41" i="9"/>
  <c r="P44" i="9"/>
  <c r="P45" i="9"/>
  <c r="P48" i="9"/>
  <c r="P49" i="9"/>
  <c r="L147" i="4" l="1"/>
  <c r="W147" i="4" s="1" a="1"/>
  <c r="W147" i="4" s="1"/>
  <c r="A35" i="22"/>
  <c r="L147" i="5"/>
  <c r="O27" i="5"/>
  <c r="O146" i="4"/>
  <c r="O146" i="5" s="1"/>
  <c r="W146" i="5"/>
  <c r="N27" i="5"/>
  <c r="P28" i="4" a="1"/>
  <c r="P28" i="4" s="1"/>
  <c r="P28" i="5" s="1"/>
  <c r="O28" i="4" a="1"/>
  <c r="O28" i="4" s="1"/>
  <c r="N28" i="4" a="1"/>
  <c r="N28" i="4" s="1"/>
  <c r="L29" i="4" a="1"/>
  <c r="L29" i="4" s="1"/>
  <c r="L148" i="4" s="1"/>
  <c r="L28" i="5"/>
  <c r="AP64" i="17"/>
  <c r="AN64" i="17"/>
  <c r="AN65" i="17"/>
  <c r="AP65" i="17"/>
  <c r="AP13" i="17"/>
  <c r="AN13" i="17"/>
  <c r="O15" i="17"/>
  <c r="AE15" i="17" s="1"/>
  <c r="W15" i="17"/>
  <c r="L15" i="17"/>
  <c r="T15" i="17"/>
  <c r="K15" i="17"/>
  <c r="V15" i="17"/>
  <c r="S15" i="17"/>
  <c r="N15" i="17"/>
  <c r="M15" i="17"/>
  <c r="AC15" i="17" s="1"/>
  <c r="U15" i="17"/>
  <c r="AS12" i="17"/>
  <c r="AD64" i="17"/>
  <c r="AO64" i="17" s="1"/>
  <c r="AB65" i="17"/>
  <c r="AM65" i="17" s="1"/>
  <c r="AD65" i="17"/>
  <c r="AO65" i="17" s="1"/>
  <c r="AB13" i="17"/>
  <c r="AM13" i="17" s="1"/>
  <c r="X13" i="17"/>
  <c r="AD13" i="17"/>
  <c r="AO13" i="17" s="1"/>
  <c r="AB64" i="17"/>
  <c r="AM64" i="17" s="1"/>
  <c r="X64" i="17"/>
  <c r="P64" i="17"/>
  <c r="P65" i="17"/>
  <c r="P13" i="17"/>
  <c r="AA65" i="17"/>
  <c r="AL65" i="17" s="1"/>
  <c r="AA64" i="17"/>
  <c r="AL64" i="17" s="1"/>
  <c r="AA13" i="17"/>
  <c r="AL13" i="17" s="1"/>
  <c r="AA16" i="1"/>
  <c r="L109" i="4"/>
  <c r="O49" i="7"/>
  <c r="O37" i="7"/>
  <c r="L193" i="4"/>
  <c r="L199" i="5" s="1"/>
  <c r="L195" i="4"/>
  <c r="L201" i="5" s="1"/>
  <c r="L111" i="4"/>
  <c r="O51" i="7"/>
  <c r="A56" i="20" s="1"/>
  <c r="O39" i="7"/>
  <c r="A82" i="16"/>
  <c r="A106" i="16" s="1"/>
  <c r="H82" i="16"/>
  <c r="H106" i="16" s="1"/>
  <c r="H8" i="15"/>
  <c r="I8" i="15"/>
  <c r="J8" i="15"/>
  <c r="K8" i="15"/>
  <c r="G8" i="15"/>
  <c r="A15" i="15"/>
  <c r="A23" i="15" s="1"/>
  <c r="B15" i="15"/>
  <c r="B23" i="15" s="1"/>
  <c r="B28" i="15" s="1"/>
  <c r="C15" i="15"/>
  <c r="C23" i="15" s="1"/>
  <c r="C28" i="15" s="1"/>
  <c r="D15" i="15"/>
  <c r="D23" i="15" s="1"/>
  <c r="D28" i="15" s="1"/>
  <c r="A54" i="20" l="1"/>
  <c r="D23" i="16"/>
  <c r="E23" i="16"/>
  <c r="F23" i="16"/>
  <c r="G23" i="16"/>
  <c r="C23" i="16"/>
  <c r="L148" i="5"/>
  <c r="W148" i="4" a="1"/>
  <c r="W148" i="4" s="1"/>
  <c r="N28" i="5"/>
  <c r="N147" i="4"/>
  <c r="N147" i="5" s="1"/>
  <c r="O28" i="5"/>
  <c r="O147" i="4"/>
  <c r="O147" i="5" s="1"/>
  <c r="W147" i="5"/>
  <c r="L29" i="5"/>
  <c r="N29" i="4" a="1"/>
  <c r="N29" i="4" s="1"/>
  <c r="O29" i="4" a="1"/>
  <c r="O29" i="4" s="1"/>
  <c r="P29" i="4" a="1"/>
  <c r="P29" i="4" s="1"/>
  <c r="P29" i="5" s="1"/>
  <c r="L30" i="4" a="1"/>
  <c r="L30" i="4" s="1"/>
  <c r="L111" i="5"/>
  <c r="L109" i="5"/>
  <c r="G15" i="15"/>
  <c r="G23" i="15" s="1"/>
  <c r="G28" i="15" s="1"/>
  <c r="C8" i="19"/>
  <c r="B15" i="19" s="1"/>
  <c r="K15" i="15"/>
  <c r="K23" i="15" s="1"/>
  <c r="K28" i="15" s="1"/>
  <c r="G8" i="19"/>
  <c r="F15" i="19" s="1"/>
  <c r="J15" i="15"/>
  <c r="J23" i="15" s="1"/>
  <c r="J28" i="15" s="1"/>
  <c r="F8" i="19"/>
  <c r="E15" i="19" s="1"/>
  <c r="I15" i="15"/>
  <c r="I23" i="15" s="1"/>
  <c r="I28" i="15" s="1"/>
  <c r="E8" i="19"/>
  <c r="D15" i="19" s="1"/>
  <c r="H15" i="15"/>
  <c r="H23" i="15" s="1"/>
  <c r="H28" i="15" s="1"/>
  <c r="D8" i="19"/>
  <c r="C15" i="19" s="1"/>
  <c r="AN15" i="17"/>
  <c r="AP15" i="17"/>
  <c r="M16" i="17"/>
  <c r="AC16" i="17" s="1"/>
  <c r="U16" i="17"/>
  <c r="T16" i="17"/>
  <c r="L16" i="17"/>
  <c r="O16" i="17"/>
  <c r="AE16" i="17" s="1"/>
  <c r="S16" i="17"/>
  <c r="W16" i="17"/>
  <c r="V16" i="17"/>
  <c r="N16" i="17"/>
  <c r="K16" i="17"/>
  <c r="X65" i="17"/>
  <c r="AB15" i="17"/>
  <c r="AM15" i="17" s="1"/>
  <c r="AD15" i="17"/>
  <c r="AO15" i="17" s="1"/>
  <c r="AQ13" i="17"/>
  <c r="AF13" i="17"/>
  <c r="P15" i="17"/>
  <c r="AA15" i="17"/>
  <c r="AL15" i="17" s="1"/>
  <c r="AF64" i="17"/>
  <c r="AQ64" i="17"/>
  <c r="AQ65" i="17"/>
  <c r="AF65" i="17"/>
  <c r="AA17" i="1"/>
  <c r="C24" i="15"/>
  <c r="L9" i="15"/>
  <c r="K30" i="7" s="1"/>
  <c r="G5" i="15"/>
  <c r="K5" i="15"/>
  <c r="B82" i="16"/>
  <c r="B106" i="16" s="1"/>
  <c r="H5" i="15"/>
  <c r="I5" i="15"/>
  <c r="A24" i="15"/>
  <c r="J5" i="15"/>
  <c r="G46" i="16" l="1"/>
  <c r="G62" i="16" s="1"/>
  <c r="G82" i="16" s="1"/>
  <c r="G106" i="16" s="1"/>
  <c r="C46" i="16"/>
  <c r="C62" i="16" s="1"/>
  <c r="C82" i="16" s="1"/>
  <c r="C106" i="16" s="1"/>
  <c r="F46" i="16"/>
  <c r="F62" i="16" s="1"/>
  <c r="F82" i="16" s="1"/>
  <c r="F106" i="16" s="1"/>
  <c r="D46" i="16"/>
  <c r="D62" i="16" s="1"/>
  <c r="D82" i="16" s="1"/>
  <c r="D106" i="16" s="1"/>
  <c r="E46" i="16"/>
  <c r="E62" i="16" s="1"/>
  <c r="E82" i="16" s="1"/>
  <c r="E106" i="16" s="1"/>
  <c r="L149" i="4"/>
  <c r="A36" i="22"/>
  <c r="W149" i="4" a="1"/>
  <c r="W149" i="4" s="1"/>
  <c r="L149" i="5"/>
  <c r="O29" i="5"/>
  <c r="O148" i="4"/>
  <c r="O148" i="5" s="1"/>
  <c r="N29" i="5"/>
  <c r="N148" i="4"/>
  <c r="N148" i="5" s="1"/>
  <c r="W148" i="5"/>
  <c r="L30" i="5"/>
  <c r="N30" i="4" a="1"/>
  <c r="N30" i="4" s="1"/>
  <c r="O30" i="4" a="1"/>
  <c r="O30" i="4" s="1"/>
  <c r="P30" i="4" a="1"/>
  <c r="P30" i="4" s="1"/>
  <c r="P30" i="5" s="1"/>
  <c r="L31" i="4" a="1"/>
  <c r="L31" i="4" s="1"/>
  <c r="L150" i="4" s="1"/>
  <c r="AS13" i="17"/>
  <c r="AN16" i="17"/>
  <c r="AP16" i="17"/>
  <c r="M17" i="17"/>
  <c r="AC17" i="17" s="1"/>
  <c r="N17" i="17"/>
  <c r="U17" i="17"/>
  <c r="V17" i="17"/>
  <c r="O17" i="17"/>
  <c r="AE17" i="17" s="1"/>
  <c r="W17" i="17"/>
  <c r="L17" i="17"/>
  <c r="T17" i="17"/>
  <c r="S17" i="17"/>
  <c r="K17" i="17"/>
  <c r="X15" i="17"/>
  <c r="AB16" i="17"/>
  <c r="AM16" i="17" s="1"/>
  <c r="P16" i="17"/>
  <c r="AD16" i="17"/>
  <c r="AO16" i="17" s="1"/>
  <c r="AS65" i="17"/>
  <c r="AS64" i="17"/>
  <c r="AA16" i="17"/>
  <c r="AL16" i="17" s="1"/>
  <c r="AF15" i="17"/>
  <c r="AQ15" i="17"/>
  <c r="E52" i="7"/>
  <c r="A112" i="4"/>
  <c r="A112" i="5" s="1"/>
  <c r="E40" i="7"/>
  <c r="W150" i="4" l="1" a="1"/>
  <c r="W150" i="4" s="1"/>
  <c r="L150" i="5"/>
  <c r="O30" i="5"/>
  <c r="O149" i="4"/>
  <c r="O149" i="5" s="1"/>
  <c r="N30" i="5"/>
  <c r="N149" i="4"/>
  <c r="N149" i="5" s="1"/>
  <c r="W149" i="5"/>
  <c r="N31" i="4" a="1"/>
  <c r="N31" i="4" s="1"/>
  <c r="P31" i="4" a="1"/>
  <c r="P31" i="4" s="1"/>
  <c r="P31" i="5" s="1"/>
  <c r="O31" i="4" a="1"/>
  <c r="O31" i="4" s="1"/>
  <c r="L32" i="4" a="1"/>
  <c r="L32" i="4" s="1"/>
  <c r="L151" i="4" s="1"/>
  <c r="L31" i="5"/>
  <c r="AN17" i="17"/>
  <c r="AP17" i="17"/>
  <c r="X16" i="17"/>
  <c r="P17" i="17"/>
  <c r="AB17" i="17"/>
  <c r="AM17" i="17" s="1"/>
  <c r="AD17" i="17"/>
  <c r="AO17" i="17" s="1"/>
  <c r="AS15" i="17"/>
  <c r="AA17" i="17"/>
  <c r="AL17" i="17" s="1"/>
  <c r="AF16" i="17"/>
  <c r="AQ16" i="17"/>
  <c r="N31" i="5" l="1"/>
  <c r="N150" i="4"/>
  <c r="N150" i="5" s="1"/>
  <c r="L151" i="5"/>
  <c r="W151" i="4" a="1"/>
  <c r="W151" i="4" s="1"/>
  <c r="O31" i="5"/>
  <c r="O150" i="4"/>
  <c r="O150" i="5" s="1"/>
  <c r="W150" i="5"/>
  <c r="N32" i="4" a="1"/>
  <c r="N32" i="4" s="1"/>
  <c r="P32" i="4" a="1"/>
  <c r="P32" i="4" s="1"/>
  <c r="P32" i="5" s="1"/>
  <c r="O32" i="4" a="1"/>
  <c r="O32" i="4" s="1"/>
  <c r="L33" i="4" a="1"/>
  <c r="L33" i="4" s="1"/>
  <c r="L152" i="4" s="1"/>
  <c r="L32" i="5"/>
  <c r="X17" i="17"/>
  <c r="AS16" i="17"/>
  <c r="AQ17" i="17"/>
  <c r="AF17" i="17"/>
  <c r="AA20" i="1"/>
  <c r="O32" i="5" l="1"/>
  <c r="O151" i="4"/>
  <c r="O151" i="5" s="1"/>
  <c r="L152" i="5"/>
  <c r="W152" i="4" a="1"/>
  <c r="W152" i="4" s="1"/>
  <c r="N32" i="5"/>
  <c r="N151" i="4"/>
  <c r="N151" i="5" s="1"/>
  <c r="W151" i="5"/>
  <c r="O33" i="4" a="1"/>
  <c r="O33" i="4" s="1"/>
  <c r="N33" i="4" a="1"/>
  <c r="N33" i="4" s="1"/>
  <c r="P33" i="4" a="1"/>
  <c r="P33" i="4" s="1"/>
  <c r="P33" i="5" s="1"/>
  <c r="L33" i="5"/>
  <c r="L34" i="4" a="1"/>
  <c r="L34" i="4" s="1"/>
  <c r="L153" i="4" s="1"/>
  <c r="W153" i="4" s="1" a="1"/>
  <c r="W153" i="4" s="1"/>
  <c r="S20" i="17"/>
  <c r="W20" i="17"/>
  <c r="L20" i="17"/>
  <c r="U20" i="17"/>
  <c r="N20" i="17"/>
  <c r="K20" i="17"/>
  <c r="O20" i="17"/>
  <c r="AE20" i="17" s="1"/>
  <c r="T20" i="17"/>
  <c r="M20" i="17"/>
  <c r="AC20" i="17" s="1"/>
  <c r="V20" i="17"/>
  <c r="AS17" i="17"/>
  <c r="AA21" i="1"/>
  <c r="L153" i="5" l="1"/>
  <c r="N33" i="5"/>
  <c r="N152" i="4"/>
  <c r="N152" i="5" s="1"/>
  <c r="O33" i="5"/>
  <c r="O152" i="4"/>
  <c r="O152" i="5" s="1"/>
  <c r="W152" i="5"/>
  <c r="N34" i="4" a="1"/>
  <c r="N34" i="4" s="1"/>
  <c r="O34" i="4" a="1"/>
  <c r="O34" i="4" s="1"/>
  <c r="P34" i="4" a="1"/>
  <c r="P34" i="4" s="1"/>
  <c r="P34" i="5" s="1"/>
  <c r="L34" i="5"/>
  <c r="L35" i="4" a="1"/>
  <c r="L35" i="4" s="1"/>
  <c r="L154" i="4" s="1"/>
  <c r="AN20" i="17"/>
  <c r="AP20" i="17"/>
  <c r="U21" i="17"/>
  <c r="M21" i="17"/>
  <c r="AC21" i="17" s="1"/>
  <c r="O21" i="17"/>
  <c r="AE21" i="17" s="1"/>
  <c r="W21" i="17"/>
  <c r="L21" i="17"/>
  <c r="T21" i="17"/>
  <c r="N21" i="17"/>
  <c r="V21" i="17"/>
  <c r="K21" i="17"/>
  <c r="S21" i="17"/>
  <c r="AD20" i="17"/>
  <c r="AO20" i="17" s="1"/>
  <c r="AB20" i="17"/>
  <c r="AM20" i="17" s="1"/>
  <c r="X20" i="17"/>
  <c r="P20" i="17"/>
  <c r="AA20" i="17"/>
  <c r="AL20" i="17" s="1"/>
  <c r="AA23" i="1"/>
  <c r="AA22" i="1"/>
  <c r="W154" i="4" l="1" a="1"/>
  <c r="W154" i="4" s="1"/>
  <c r="L154" i="5"/>
  <c r="O34" i="5"/>
  <c r="O153" i="4"/>
  <c r="O153" i="5" s="1"/>
  <c r="N34" i="5"/>
  <c r="N153" i="4"/>
  <c r="N153" i="5" s="1"/>
  <c r="W153" i="5"/>
  <c r="N35" i="4" a="1"/>
  <c r="N35" i="4" s="1"/>
  <c r="P35" i="4" a="1"/>
  <c r="P35" i="4" s="1"/>
  <c r="P35" i="5" s="1"/>
  <c r="O35" i="4" a="1"/>
  <c r="O35" i="4" s="1"/>
  <c r="L36" i="4" a="1"/>
  <c r="L36" i="4" s="1"/>
  <c r="L155" i="4" s="1"/>
  <c r="L35" i="5"/>
  <c r="AP21" i="17"/>
  <c r="AN21" i="17"/>
  <c r="W22" i="17"/>
  <c r="K22" i="17"/>
  <c r="O22" i="17"/>
  <c r="AE22" i="17" s="1"/>
  <c r="S22" i="17"/>
  <c r="L22" i="17"/>
  <c r="M22" i="17"/>
  <c r="AC22" i="17" s="1"/>
  <c r="T22" i="17"/>
  <c r="U22" i="17"/>
  <c r="N22" i="17"/>
  <c r="V22" i="17"/>
  <c r="W23" i="17"/>
  <c r="S23" i="17"/>
  <c r="L23" i="17"/>
  <c r="O23" i="17"/>
  <c r="AE23" i="17" s="1"/>
  <c r="K23" i="17"/>
  <c r="M23" i="17"/>
  <c r="AC23" i="17" s="1"/>
  <c r="N23" i="17"/>
  <c r="U23" i="17"/>
  <c r="V23" i="17"/>
  <c r="T23" i="17"/>
  <c r="AB21" i="17"/>
  <c r="AM21" i="17" s="1"/>
  <c r="AD21" i="17"/>
  <c r="AO21" i="17" s="1"/>
  <c r="P21" i="17"/>
  <c r="AA21" i="17"/>
  <c r="AL21" i="17" s="1"/>
  <c r="AF20" i="17"/>
  <c r="AQ20" i="17"/>
  <c r="AA24" i="1"/>
  <c r="W155" i="4" l="1" a="1"/>
  <c r="W155" i="4" s="1"/>
  <c r="L155" i="5"/>
  <c r="O35" i="5"/>
  <c r="O154" i="4"/>
  <c r="O154" i="5" s="1"/>
  <c r="N35" i="5"/>
  <c r="N154" i="4"/>
  <c r="N154" i="5" s="1"/>
  <c r="W154" i="5"/>
  <c r="N36" i="4" a="1"/>
  <c r="N36" i="4" s="1"/>
  <c r="L36" i="5"/>
  <c r="O36" i="4" a="1"/>
  <c r="O36" i="4" s="1"/>
  <c r="L37" i="4" a="1"/>
  <c r="L37" i="4" s="1"/>
  <c r="L156" i="4" s="1"/>
  <c r="P36" i="4" a="1"/>
  <c r="P36" i="4" s="1"/>
  <c r="P36" i="5" s="1"/>
  <c r="AP22" i="17"/>
  <c r="AN22" i="17"/>
  <c r="AN23" i="17"/>
  <c r="AP23" i="17"/>
  <c r="T24" i="17"/>
  <c r="L24" i="17"/>
  <c r="O24" i="17"/>
  <c r="AE24" i="17" s="1"/>
  <c r="M24" i="17"/>
  <c r="AC24" i="17" s="1"/>
  <c r="W24" i="17"/>
  <c r="U24" i="17"/>
  <c r="K24" i="17"/>
  <c r="S24" i="17"/>
  <c r="N24" i="17"/>
  <c r="V24" i="17"/>
  <c r="X21" i="17"/>
  <c r="AB23" i="17"/>
  <c r="AM23" i="17" s="1"/>
  <c r="AB22" i="17"/>
  <c r="AM22" i="17" s="1"/>
  <c r="AD22" i="17"/>
  <c r="AO22" i="17" s="1"/>
  <c r="AD23" i="17"/>
  <c r="AO23" i="17" s="1"/>
  <c r="P22" i="17"/>
  <c r="AS20" i="17"/>
  <c r="P23" i="17"/>
  <c r="AA23" i="17"/>
  <c r="AL23" i="17" s="1"/>
  <c r="AA22" i="17"/>
  <c r="AL22" i="17" s="1"/>
  <c r="AF21" i="17"/>
  <c r="AQ21" i="17"/>
  <c r="AA25" i="1"/>
  <c r="W156" i="4" l="1" a="1"/>
  <c r="W156" i="4" s="1"/>
  <c r="L156" i="5"/>
  <c r="O36" i="5"/>
  <c r="O155" i="4"/>
  <c r="O155" i="5" s="1"/>
  <c r="N36" i="5"/>
  <c r="N155" i="4"/>
  <c r="N155" i="5" s="1"/>
  <c r="W155" i="5"/>
  <c r="P37" i="4" a="1"/>
  <c r="P37" i="4" s="1"/>
  <c r="P37" i="5" s="1"/>
  <c r="L37" i="5"/>
  <c r="N37" i="4" a="1"/>
  <c r="N37" i="4" s="1"/>
  <c r="L38" i="4" a="1"/>
  <c r="L38" i="4" s="1"/>
  <c r="L157" i="4" s="1"/>
  <c r="O37" i="4" a="1"/>
  <c r="O37" i="4" s="1"/>
  <c r="AN24" i="17"/>
  <c r="AP24" i="17"/>
  <c r="W25" i="17"/>
  <c r="O25" i="17"/>
  <c r="AE25" i="17" s="1"/>
  <c r="L25" i="17"/>
  <c r="U25" i="17"/>
  <c r="M25" i="17"/>
  <c r="AC25" i="17" s="1"/>
  <c r="T25" i="17"/>
  <c r="K25" i="17"/>
  <c r="S25" i="17"/>
  <c r="V25" i="17"/>
  <c r="N25" i="17"/>
  <c r="X22" i="17"/>
  <c r="X23" i="17"/>
  <c r="AB24" i="17"/>
  <c r="AM24" i="17" s="1"/>
  <c r="AD24" i="17"/>
  <c r="AO24" i="17" s="1"/>
  <c r="AS21" i="17"/>
  <c r="P24" i="17"/>
  <c r="AQ22" i="17"/>
  <c r="AF22" i="17"/>
  <c r="AF23" i="17"/>
  <c r="AQ23" i="17"/>
  <c r="AA24" i="17"/>
  <c r="AL24" i="17" s="1"/>
  <c r="AA26" i="1"/>
  <c r="C9" i="8"/>
  <c r="F8" i="4"/>
  <c r="F8" i="8" s="1"/>
  <c r="F27" i="8" s="1"/>
  <c r="F32" i="8" s="1"/>
  <c r="G8" i="4"/>
  <c r="G8" i="8" s="1"/>
  <c r="G27" i="8" s="1"/>
  <c r="G32" i="8" s="1"/>
  <c r="H8" i="4"/>
  <c r="H8" i="8" s="1"/>
  <c r="H27" i="8" s="1"/>
  <c r="H32" i="8" s="1"/>
  <c r="I8" i="4"/>
  <c r="M66" i="4" s="1"/>
  <c r="E8" i="4"/>
  <c r="E8" i="8" s="1"/>
  <c r="E27" i="8" s="1"/>
  <c r="E32" i="8" s="1"/>
  <c r="O37" i="5" l="1"/>
  <c r="O156" i="4"/>
  <c r="O156" i="5" s="1"/>
  <c r="L157" i="5"/>
  <c r="W157" i="4" a="1"/>
  <c r="W157" i="4" s="1"/>
  <c r="N37" i="5"/>
  <c r="N156" i="4"/>
  <c r="N156" i="5" s="1"/>
  <c r="W156" i="5"/>
  <c r="O38" i="4" a="1"/>
  <c r="O38" i="4" s="1"/>
  <c r="P38" i="4" a="1"/>
  <c r="P38" i="4" s="1"/>
  <c r="P38" i="5" s="1"/>
  <c r="N38" i="4" a="1"/>
  <c r="N38" i="4" s="1"/>
  <c r="L39" i="4" a="1"/>
  <c r="L39" i="4" s="1"/>
  <c r="L158" i="4" s="1"/>
  <c r="L38" i="5"/>
  <c r="C12" i="8"/>
  <c r="I11" i="21"/>
  <c r="I12" i="21" s="1"/>
  <c r="I13" i="21" s="1"/>
  <c r="H13" i="21" s="1"/>
  <c r="G13" i="21" s="1"/>
  <c r="F13" i="21" s="1"/>
  <c r="AP25" i="17"/>
  <c r="AN25" i="17"/>
  <c r="M25" i="4"/>
  <c r="M144" i="4" s="1"/>
  <c r="M144" i="5" s="1"/>
  <c r="M26" i="4"/>
  <c r="M145" i="4" s="1"/>
  <c r="M145" i="5" s="1"/>
  <c r="M27" i="4"/>
  <c r="M146" i="4" s="1"/>
  <c r="M146" i="5" s="1"/>
  <c r="M28" i="4"/>
  <c r="M147" i="4" s="1"/>
  <c r="M147" i="5" s="1"/>
  <c r="M29" i="4"/>
  <c r="M148" i="4" s="1"/>
  <c r="M148" i="5" s="1"/>
  <c r="M30" i="4"/>
  <c r="M149" i="4" s="1"/>
  <c r="M149" i="5" s="1"/>
  <c r="M31" i="4"/>
  <c r="M150" i="4" s="1"/>
  <c r="M150" i="5" s="1"/>
  <c r="M32" i="4"/>
  <c r="M151" i="4" s="1"/>
  <c r="M151" i="5" s="1"/>
  <c r="M33" i="4"/>
  <c r="M152" i="4" s="1"/>
  <c r="M152" i="5" s="1"/>
  <c r="M34" i="4"/>
  <c r="M153" i="4" s="1"/>
  <c r="M153" i="5" s="1"/>
  <c r="M35" i="4"/>
  <c r="M154" i="4" s="1"/>
  <c r="M154" i="5" s="1"/>
  <c r="M36" i="4"/>
  <c r="M155" i="4" s="1"/>
  <c r="M155" i="5" s="1"/>
  <c r="M37" i="4"/>
  <c r="M156" i="4" s="1"/>
  <c r="M156" i="5" s="1"/>
  <c r="M38" i="4"/>
  <c r="M157" i="4" s="1"/>
  <c r="M157" i="5" s="1"/>
  <c r="O26" i="17"/>
  <c r="AE26" i="17" s="1"/>
  <c r="V26" i="17"/>
  <c r="W26" i="17"/>
  <c r="N26" i="17"/>
  <c r="U26" i="17"/>
  <c r="M26" i="17"/>
  <c r="AC26" i="17" s="1"/>
  <c r="T26" i="17"/>
  <c r="L26" i="17"/>
  <c r="K26" i="17"/>
  <c r="S26" i="17"/>
  <c r="X24" i="17"/>
  <c r="AS22" i="17"/>
  <c r="AD25" i="17"/>
  <c r="AO25" i="17" s="1"/>
  <c r="AB25" i="17"/>
  <c r="AM25" i="17" s="1"/>
  <c r="X25" i="17"/>
  <c r="AS23" i="17"/>
  <c r="P25" i="17"/>
  <c r="AA25" i="17"/>
  <c r="AL25" i="17" s="1"/>
  <c r="AQ24" i="17"/>
  <c r="AF24" i="17"/>
  <c r="AA27" i="1"/>
  <c r="I8" i="8"/>
  <c r="I27" i="8" s="1"/>
  <c r="I32" i="8" s="1"/>
  <c r="D9" i="8"/>
  <c r="J11" i="21" s="1"/>
  <c r="J12" i="21" s="1"/>
  <c r="L158" i="5" l="1"/>
  <c r="W158" i="4" a="1"/>
  <c r="W158" i="4" s="1"/>
  <c r="N38" i="5"/>
  <c r="N157" i="4"/>
  <c r="N157" i="5" s="1"/>
  <c r="O38" i="5"/>
  <c r="O157" i="4"/>
  <c r="O157" i="5" s="1"/>
  <c r="W157" i="5"/>
  <c r="N39" i="4" a="1"/>
  <c r="N39" i="4" s="1"/>
  <c r="P39" i="4" a="1"/>
  <c r="P39" i="4" s="1"/>
  <c r="P39" i="5" s="1"/>
  <c r="O39" i="4" a="1"/>
  <c r="O39" i="4" s="1"/>
  <c r="L40" i="4" a="1"/>
  <c r="L40" i="4" s="1"/>
  <c r="L159" i="4" s="1"/>
  <c r="L39" i="5"/>
  <c r="M39" i="4"/>
  <c r="M158" i="4" s="1"/>
  <c r="M158" i="5" s="1"/>
  <c r="B37" i="21"/>
  <c r="E37" i="21"/>
  <c r="E38" i="21"/>
  <c r="D37" i="21"/>
  <c r="B39" i="21"/>
  <c r="E39" i="21"/>
  <c r="C38" i="21"/>
  <c r="B38" i="21"/>
  <c r="D38" i="21"/>
  <c r="C39" i="21"/>
  <c r="D39" i="21"/>
  <c r="C37" i="21"/>
  <c r="D12" i="8"/>
  <c r="AN26" i="17"/>
  <c r="AP26" i="17"/>
  <c r="M27" i="17"/>
  <c r="AC27" i="17" s="1"/>
  <c r="U27" i="17"/>
  <c r="N27" i="17"/>
  <c r="K27" i="17"/>
  <c r="S27" i="17"/>
  <c r="L27" i="17"/>
  <c r="W27" i="17"/>
  <c r="O27" i="17"/>
  <c r="AE27" i="17" s="1"/>
  <c r="T27" i="17"/>
  <c r="V27" i="17"/>
  <c r="AD26" i="17"/>
  <c r="AO26" i="17" s="1"/>
  <c r="AB26" i="17"/>
  <c r="AM26" i="17" s="1"/>
  <c r="X26" i="17"/>
  <c r="AS24" i="17"/>
  <c r="P26" i="17"/>
  <c r="AA26" i="17"/>
  <c r="AL26" i="17" s="1"/>
  <c r="AF25" i="17"/>
  <c r="AQ25" i="17"/>
  <c r="AA28" i="1"/>
  <c r="E9" i="8"/>
  <c r="K11" i="21" s="1"/>
  <c r="B42" i="21" l="1"/>
  <c r="L159" i="5"/>
  <c r="W159" i="4" a="1"/>
  <c r="W159" i="4" s="1"/>
  <c r="O39" i="5"/>
  <c r="O158" i="4"/>
  <c r="O158" i="5" s="1"/>
  <c r="N39" i="5"/>
  <c r="N158" i="4"/>
  <c r="N158" i="5" s="1"/>
  <c r="W158" i="5"/>
  <c r="L40" i="5"/>
  <c r="N40" i="4" a="1"/>
  <c r="N40" i="4" s="1"/>
  <c r="O40" i="4" a="1"/>
  <c r="O40" i="4" s="1"/>
  <c r="M40" i="4"/>
  <c r="M159" i="4" s="1"/>
  <c r="M159" i="5" s="1"/>
  <c r="L41" i="4" a="1"/>
  <c r="L41" i="4" s="1"/>
  <c r="L160" i="4" s="1"/>
  <c r="P40" i="4" a="1"/>
  <c r="P40" i="4" s="1"/>
  <c r="P40" i="5" s="1"/>
  <c r="B41" i="21"/>
  <c r="E12" i="8"/>
  <c r="F35" i="8"/>
  <c r="G35" i="8"/>
  <c r="H35" i="8"/>
  <c r="I35" i="8"/>
  <c r="E35" i="8"/>
  <c r="AP27" i="17"/>
  <c r="AN27" i="17"/>
  <c r="O28" i="17"/>
  <c r="AE28" i="17" s="1"/>
  <c r="W28" i="17"/>
  <c r="S28" i="17"/>
  <c r="V28" i="17"/>
  <c r="K28" i="17"/>
  <c r="N28" i="17"/>
  <c r="M28" i="17"/>
  <c r="AC28" i="17" s="1"/>
  <c r="L28" i="17"/>
  <c r="U28" i="17"/>
  <c r="T28" i="17"/>
  <c r="AF26" i="17"/>
  <c r="AD27" i="17"/>
  <c r="AO27" i="17" s="1"/>
  <c r="AB27" i="17"/>
  <c r="AM27" i="17" s="1"/>
  <c r="X27" i="17"/>
  <c r="P27" i="17"/>
  <c r="AS25" i="17"/>
  <c r="AA27" i="17"/>
  <c r="AL27" i="17" s="1"/>
  <c r="AQ26" i="17"/>
  <c r="F9" i="8"/>
  <c r="L160" i="5" l="1"/>
  <c r="W160" i="4" a="1"/>
  <c r="W160" i="4" s="1"/>
  <c r="O40" i="5"/>
  <c r="O159" i="4"/>
  <c r="O159" i="5" s="1"/>
  <c r="N40" i="5"/>
  <c r="N159" i="4"/>
  <c r="N159" i="5" s="1"/>
  <c r="W159" i="5"/>
  <c r="M41" i="4"/>
  <c r="M160" i="4" s="1"/>
  <c r="M160" i="5" s="1"/>
  <c r="N41" i="4" a="1"/>
  <c r="N41" i="4" s="1"/>
  <c r="L41" i="5"/>
  <c r="L42" i="4" a="1"/>
  <c r="L42" i="4" s="1"/>
  <c r="L161" i="4" s="1"/>
  <c r="O41" i="4" a="1"/>
  <c r="O41" i="4" s="1"/>
  <c r="P41" i="4" a="1"/>
  <c r="P41" i="4" s="1"/>
  <c r="P41" i="5" s="1"/>
  <c r="F12" i="8"/>
  <c r="L11" i="21"/>
  <c r="AP28" i="17"/>
  <c r="AN28" i="17"/>
  <c r="T29" i="17"/>
  <c r="M29" i="17"/>
  <c r="AC29" i="17" s="1"/>
  <c r="L29" i="17"/>
  <c r="U29" i="17"/>
  <c r="N29" i="17"/>
  <c r="W29" i="17"/>
  <c r="V29" i="17"/>
  <c r="O29" i="17"/>
  <c r="AE29" i="17" s="1"/>
  <c r="S29" i="17"/>
  <c r="K29" i="17"/>
  <c r="AS26" i="17"/>
  <c r="AB28" i="17"/>
  <c r="AM28" i="17" s="1"/>
  <c r="AD28" i="17"/>
  <c r="AO28" i="17" s="1"/>
  <c r="P28" i="17"/>
  <c r="AA28" i="17"/>
  <c r="AL28" i="17" s="1"/>
  <c r="AF27" i="17"/>
  <c r="AQ27" i="17"/>
  <c r="AA30" i="1"/>
  <c r="G9" i="8"/>
  <c r="M11" i="21" s="1"/>
  <c r="O41" i="5" l="1"/>
  <c r="O160" i="4"/>
  <c r="O160" i="5" s="1"/>
  <c r="W161" i="4" a="1"/>
  <c r="W161" i="4" s="1"/>
  <c r="L161" i="5"/>
  <c r="N41" i="5"/>
  <c r="N160" i="4"/>
  <c r="N160" i="5" s="1"/>
  <c r="W160" i="5"/>
  <c r="O42" i="4" a="1"/>
  <c r="O42" i="4" s="1"/>
  <c r="P42" i="4" a="1"/>
  <c r="P42" i="4" s="1"/>
  <c r="P42" i="5" s="1"/>
  <c r="L42" i="5"/>
  <c r="M42" i="4"/>
  <c r="M161" i="4" s="1"/>
  <c r="M161" i="5" s="1"/>
  <c r="L43" i="4" a="1"/>
  <c r="L43" i="4" s="1"/>
  <c r="L162" i="4" s="1"/>
  <c r="N42" i="4" a="1"/>
  <c r="N42" i="4" s="1"/>
  <c r="G12" i="8"/>
  <c r="H11" i="8"/>
  <c r="AP29" i="17"/>
  <c r="AN29" i="17"/>
  <c r="L30" i="17"/>
  <c r="O30" i="17"/>
  <c r="AE30" i="17" s="1"/>
  <c r="W30" i="17"/>
  <c r="T30" i="17"/>
  <c r="U30" i="17"/>
  <c r="M30" i="17"/>
  <c r="AC30" i="17" s="1"/>
  <c r="V30" i="17"/>
  <c r="S30" i="17"/>
  <c r="N30" i="17"/>
  <c r="K30" i="17"/>
  <c r="X28" i="17"/>
  <c r="AD29" i="17"/>
  <c r="AO29" i="17" s="1"/>
  <c r="AB29" i="17"/>
  <c r="AM29" i="17" s="1"/>
  <c r="X29" i="17"/>
  <c r="P29" i="17"/>
  <c r="AS27" i="17"/>
  <c r="AA29" i="17"/>
  <c r="AL29" i="17" s="1"/>
  <c r="AF28" i="17"/>
  <c r="AQ28" i="17"/>
  <c r="AA31" i="1"/>
  <c r="H9" i="8"/>
  <c r="W162" i="4" l="1" a="1"/>
  <c r="W162" i="4" s="1"/>
  <c r="L162" i="5"/>
  <c r="O42" i="5"/>
  <c r="O161" i="4"/>
  <c r="O161" i="5" s="1"/>
  <c r="N42" i="5"/>
  <c r="N161" i="4"/>
  <c r="N161" i="5" s="1"/>
  <c r="W161" i="5"/>
  <c r="P43" i="4" a="1"/>
  <c r="P43" i="4" s="1"/>
  <c r="P43" i="5" s="1"/>
  <c r="N43" i="4" a="1"/>
  <c r="N43" i="4" s="1"/>
  <c r="O43" i="4" a="1"/>
  <c r="O43" i="4" s="1"/>
  <c r="L43" i="5"/>
  <c r="M43" i="4"/>
  <c r="M162" i="4" s="1"/>
  <c r="M162" i="5" s="1"/>
  <c r="L44" i="4" a="1"/>
  <c r="L44" i="4" s="1"/>
  <c r="I11" i="8"/>
  <c r="N11" i="21"/>
  <c r="G90" i="7"/>
  <c r="F10" i="19"/>
  <c r="E16" i="19" s="1"/>
  <c r="L10" i="19"/>
  <c r="F21" i="19" s="1"/>
  <c r="F23" i="19" s="1"/>
  <c r="M10" i="19"/>
  <c r="Q10" i="19"/>
  <c r="C10" i="19"/>
  <c r="B16" i="19" s="1"/>
  <c r="AN30" i="17"/>
  <c r="AP30" i="17"/>
  <c r="U31" i="17"/>
  <c r="S31" i="17"/>
  <c r="T31" i="17"/>
  <c r="M31" i="17"/>
  <c r="AC31" i="17" s="1"/>
  <c r="K31" i="17"/>
  <c r="O31" i="17"/>
  <c r="AE31" i="17" s="1"/>
  <c r="N31" i="17"/>
  <c r="L31" i="17"/>
  <c r="W31" i="17"/>
  <c r="V31" i="17"/>
  <c r="AB30" i="17"/>
  <c r="AM30" i="17" s="1"/>
  <c r="AD30" i="17"/>
  <c r="AO30" i="17" s="1"/>
  <c r="AS28" i="17"/>
  <c r="P30" i="17"/>
  <c r="AQ29" i="17"/>
  <c r="AF29" i="17"/>
  <c r="AA30" i="17"/>
  <c r="AL30" i="17" s="1"/>
  <c r="AA32" i="1"/>
  <c r="I9" i="8"/>
  <c r="O11" i="21" l="1"/>
  <c r="L163" i="4"/>
  <c r="L163" i="5" s="1"/>
  <c r="A24" i="22"/>
  <c r="O43" i="5"/>
  <c r="O162" i="4"/>
  <c r="O162" i="5" s="1"/>
  <c r="N43" i="5"/>
  <c r="N162" i="4"/>
  <c r="N162" i="5" s="1"/>
  <c r="W162" i="5"/>
  <c r="L44" i="5"/>
  <c r="N44" i="4" a="1"/>
  <c r="N44" i="4" s="1"/>
  <c r="O44" i="4" a="1"/>
  <c r="O44" i="4" s="1"/>
  <c r="P44" i="4" a="1"/>
  <c r="P44" i="4" s="1"/>
  <c r="P44" i="5" s="1"/>
  <c r="L45" i="4" a="1"/>
  <c r="L45" i="4" s="1"/>
  <c r="L164" i="4" s="1"/>
  <c r="M44" i="4"/>
  <c r="M163" i="4" s="1"/>
  <c r="M163" i="5" s="1"/>
  <c r="K10" i="19"/>
  <c r="E21" i="19" s="1"/>
  <c r="E23" i="19" s="1"/>
  <c r="J10" i="19"/>
  <c r="D21" i="19" s="1"/>
  <c r="D23" i="19" s="1"/>
  <c r="I10" i="19"/>
  <c r="C21" i="19" s="1"/>
  <c r="C23" i="19" s="1"/>
  <c r="J69" i="7"/>
  <c r="H10" i="19"/>
  <c r="B21" i="19" s="1"/>
  <c r="G21" i="19" s="1"/>
  <c r="G69" i="7"/>
  <c r="G10" i="19"/>
  <c r="F16" i="19" s="1"/>
  <c r="E10" i="19"/>
  <c r="D16" i="19" s="1"/>
  <c r="P10" i="19"/>
  <c r="D10" i="19"/>
  <c r="C16" i="19" s="1"/>
  <c r="O10" i="19"/>
  <c r="F69" i="7"/>
  <c r="N10" i="19"/>
  <c r="F90" i="7"/>
  <c r="AN31" i="17"/>
  <c r="AP31" i="17"/>
  <c r="W32" i="17"/>
  <c r="O32" i="17"/>
  <c r="AE32" i="17" s="1"/>
  <c r="U32" i="17"/>
  <c r="V32" i="17"/>
  <c r="M32" i="17"/>
  <c r="AC32" i="17" s="1"/>
  <c r="N32" i="17"/>
  <c r="L32" i="17"/>
  <c r="T32" i="17"/>
  <c r="K32" i="17"/>
  <c r="S32" i="17"/>
  <c r="AS29" i="17"/>
  <c r="X30" i="17"/>
  <c r="AB31" i="17"/>
  <c r="AM31" i="17" s="1"/>
  <c r="AD31" i="17"/>
  <c r="AO31" i="17" s="1"/>
  <c r="P31" i="17"/>
  <c r="AA31" i="17"/>
  <c r="AL31" i="17" s="1"/>
  <c r="AF30" i="17"/>
  <c r="AQ30" i="17"/>
  <c r="AA33" i="1"/>
  <c r="J9" i="8"/>
  <c r="J90" i="7" l="1"/>
  <c r="H69" i="7"/>
  <c r="I82" i="7"/>
  <c r="I69" i="7"/>
  <c r="W163" i="4" a="1"/>
  <c r="W163" i="4" s="1"/>
  <c r="H82" i="7"/>
  <c r="G25" i="7"/>
  <c r="J25" i="7"/>
  <c r="I25" i="7"/>
  <c r="F25" i="7"/>
  <c r="H25" i="7"/>
  <c r="G16" i="19"/>
  <c r="F82" i="7"/>
  <c r="H90" i="7"/>
  <c r="G82" i="7"/>
  <c r="I90" i="7"/>
  <c r="L164" i="5"/>
  <c r="W164" i="4" a="1"/>
  <c r="W164" i="4" s="1"/>
  <c r="O44" i="5"/>
  <c r="O163" i="4"/>
  <c r="O163" i="5" s="1"/>
  <c r="N44" i="5"/>
  <c r="N163" i="4"/>
  <c r="N163" i="5" s="1"/>
  <c r="W163" i="5"/>
  <c r="O45" i="4" a="1"/>
  <c r="O45" i="4" s="1"/>
  <c r="M45" i="4"/>
  <c r="M164" i="4" s="1"/>
  <c r="M164" i="5" s="1"/>
  <c r="L45" i="5"/>
  <c r="P45" i="4" a="1"/>
  <c r="P45" i="4" s="1"/>
  <c r="P45" i="5" s="1"/>
  <c r="L46" i="4" a="1"/>
  <c r="L46" i="4" s="1"/>
  <c r="L165" i="4" s="1"/>
  <c r="N45" i="4" a="1"/>
  <c r="N45" i="4" s="1"/>
  <c r="J82" i="7"/>
  <c r="AP32" i="17"/>
  <c r="AN32" i="17"/>
  <c r="S33" i="17"/>
  <c r="W33" i="17"/>
  <c r="U33" i="17"/>
  <c r="M33" i="17"/>
  <c r="AC33" i="17" s="1"/>
  <c r="O33" i="17"/>
  <c r="AE33" i="17" s="1"/>
  <c r="L33" i="17"/>
  <c r="N33" i="17"/>
  <c r="T33" i="17"/>
  <c r="V33" i="17"/>
  <c r="K33" i="17"/>
  <c r="X31" i="17"/>
  <c r="AD32" i="17"/>
  <c r="AO32" i="17" s="1"/>
  <c r="AB32" i="17"/>
  <c r="AM32" i="17" s="1"/>
  <c r="X32" i="17"/>
  <c r="AS30" i="17"/>
  <c r="P32" i="17"/>
  <c r="AA32" i="17"/>
  <c r="AL32" i="17" s="1"/>
  <c r="AQ31" i="17"/>
  <c r="AF31" i="17"/>
  <c r="AA34" i="1"/>
  <c r="K9" i="8"/>
  <c r="N45" i="5" l="1"/>
  <c r="N164" i="4"/>
  <c r="N164" i="5" s="1"/>
  <c r="O45" i="5"/>
  <c r="O164" i="4"/>
  <c r="O164" i="5" s="1"/>
  <c r="W164" i="5"/>
  <c r="W165" i="4" a="1"/>
  <c r="W165" i="4" s="1"/>
  <c r="L165" i="5"/>
  <c r="N46" i="4" a="1"/>
  <c r="N46" i="4" s="1"/>
  <c r="O46" i="4" a="1"/>
  <c r="O46" i="4" s="1"/>
  <c r="M46" i="4"/>
  <c r="M165" i="4" s="1"/>
  <c r="M165" i="5" s="1"/>
  <c r="P46" i="4" a="1"/>
  <c r="P46" i="4" s="1"/>
  <c r="P46" i="5" s="1"/>
  <c r="L47" i="4" a="1"/>
  <c r="L47" i="4" s="1"/>
  <c r="L166" i="4" s="1"/>
  <c r="L46" i="5"/>
  <c r="AN33" i="17"/>
  <c r="AS31" i="17"/>
  <c r="AP33" i="17"/>
  <c r="W34" i="17"/>
  <c r="O34" i="17"/>
  <c r="AE34" i="17" s="1"/>
  <c r="N34" i="17"/>
  <c r="V34" i="17"/>
  <c r="M34" i="17"/>
  <c r="AC34" i="17" s="1"/>
  <c r="U34" i="17"/>
  <c r="K34" i="17"/>
  <c r="S34" i="17"/>
  <c r="L34" i="17"/>
  <c r="T34" i="17"/>
  <c r="AB33" i="17"/>
  <c r="AM33" i="17" s="1"/>
  <c r="AD33" i="17"/>
  <c r="AO33" i="17" s="1"/>
  <c r="P33" i="17"/>
  <c r="AF32" i="17"/>
  <c r="AQ32" i="17"/>
  <c r="AA33" i="17"/>
  <c r="AL33" i="17" s="1"/>
  <c r="L9" i="8"/>
  <c r="L166" i="5" l="1"/>
  <c r="W166" i="4" a="1"/>
  <c r="W166" i="4" s="1"/>
  <c r="O46" i="5"/>
  <c r="O165" i="4"/>
  <c r="O165" i="5" s="1"/>
  <c r="N46" i="5"/>
  <c r="N165" i="4"/>
  <c r="N165" i="5" s="1"/>
  <c r="W165" i="5"/>
  <c r="N47" i="4" a="1"/>
  <c r="N47" i="4" s="1"/>
  <c r="P47" i="4" a="1"/>
  <c r="P47" i="4" s="1"/>
  <c r="P47" i="5" s="1"/>
  <c r="O47" i="4" a="1"/>
  <c r="O47" i="4" s="1"/>
  <c r="L47" i="5"/>
  <c r="L48" i="4" a="1"/>
  <c r="L48" i="4" s="1"/>
  <c r="M47" i="4"/>
  <c r="M166" i="4" s="1"/>
  <c r="M166" i="5" s="1"/>
  <c r="AP34" i="17"/>
  <c r="AN34" i="17"/>
  <c r="X33" i="17"/>
  <c r="AB34" i="17"/>
  <c r="AM34" i="17" s="1"/>
  <c r="AD34" i="17"/>
  <c r="AO34" i="17" s="1"/>
  <c r="AS32" i="17"/>
  <c r="P34" i="17"/>
  <c r="AA34" i="17"/>
  <c r="AL34" i="17" s="1"/>
  <c r="AF33" i="17"/>
  <c r="AQ33" i="17"/>
  <c r="M9" i="8"/>
  <c r="L167" i="4" l="1"/>
  <c r="L167" i="5" s="1"/>
  <c r="A25" i="22"/>
  <c r="N47" i="5"/>
  <c r="N166" i="4"/>
  <c r="N166" i="5" s="1"/>
  <c r="O47" i="5"/>
  <c r="O166" i="4"/>
  <c r="O166" i="5" s="1"/>
  <c r="W166" i="5"/>
  <c r="O48" i="4" a="1"/>
  <c r="O48" i="4" s="1"/>
  <c r="P48" i="4" a="1"/>
  <c r="P48" i="4" s="1"/>
  <c r="P48" i="5" s="1"/>
  <c r="N48" i="4" a="1"/>
  <c r="N48" i="4" s="1"/>
  <c r="M48" i="4"/>
  <c r="M167" i="4" s="1"/>
  <c r="M167" i="5" s="1"/>
  <c r="L48" i="5"/>
  <c r="L49" i="4" a="1"/>
  <c r="L49" i="4" s="1"/>
  <c r="X34" i="17"/>
  <c r="AS33" i="17"/>
  <c r="AQ34" i="17"/>
  <c r="AF34" i="17"/>
  <c r="N9" i="8"/>
  <c r="W167" i="4" l="1" a="1"/>
  <c r="W167" i="4" s="1"/>
  <c r="W167" i="5" s="1"/>
  <c r="L168" i="4"/>
  <c r="A37" i="22"/>
  <c r="W168" i="4" a="1"/>
  <c r="W168" i="4" s="1"/>
  <c r="L168" i="5"/>
  <c r="N48" i="5"/>
  <c r="N167" i="4"/>
  <c r="N167" i="5" s="1"/>
  <c r="O48" i="5"/>
  <c r="O167" i="4"/>
  <c r="O167" i="5" s="1"/>
  <c r="N49" i="4" a="1"/>
  <c r="N49" i="4" s="1"/>
  <c r="L50" i="4" a="1"/>
  <c r="L50" i="4" s="1"/>
  <c r="P49" i="4" a="1"/>
  <c r="P49" i="4" s="1"/>
  <c r="P49" i="5" s="1"/>
  <c r="O49" i="4" a="1"/>
  <c r="O49" i="4" s="1"/>
  <c r="M49" i="4"/>
  <c r="M168" i="4" s="1"/>
  <c r="M168" i="5" s="1"/>
  <c r="L49" i="5"/>
  <c r="AS34" i="17"/>
  <c r="L169" i="4" l="1"/>
  <c r="A38" i="22"/>
  <c r="O49" i="5"/>
  <c r="O168" i="4"/>
  <c r="O168" i="5" s="1"/>
  <c r="N49" i="5"/>
  <c r="N168" i="4"/>
  <c r="N168" i="5" s="1"/>
  <c r="L169" i="5"/>
  <c r="W169" i="4" a="1"/>
  <c r="W169" i="4" s="1"/>
  <c r="W168" i="5"/>
  <c r="L50" i="5"/>
  <c r="N50" i="4" a="1"/>
  <c r="N50" i="4" s="1"/>
  <c r="O50" i="4" a="1"/>
  <c r="O50" i="4" s="1"/>
  <c r="P50" i="4" a="1"/>
  <c r="P50" i="4" s="1"/>
  <c r="P50" i="5" s="1"/>
  <c r="M50" i="4"/>
  <c r="M169" i="4" s="1"/>
  <c r="M169" i="5" s="1"/>
  <c r="L51" i="4" a="1"/>
  <c r="L51" i="4" s="1"/>
  <c r="L170" i="4" s="1"/>
  <c r="R8" i="4"/>
  <c r="S8" i="4"/>
  <c r="T8" i="4"/>
  <c r="U8" i="4"/>
  <c r="Q8" i="4"/>
  <c r="W169" i="5" l="1"/>
  <c r="W170" i="4" a="1"/>
  <c r="W170" i="4" s="1"/>
  <c r="L170" i="5"/>
  <c r="N50" i="5"/>
  <c r="N169" i="4"/>
  <c r="N169" i="5" s="1"/>
  <c r="O50" i="5"/>
  <c r="O169" i="4"/>
  <c r="O169" i="5" s="1"/>
  <c r="N51" i="4" a="1"/>
  <c r="N51" i="4" s="1"/>
  <c r="P51" i="4" a="1"/>
  <c r="P51" i="4" s="1"/>
  <c r="P51" i="5" s="1"/>
  <c r="O51" i="4" a="1"/>
  <c r="O51" i="4" s="1"/>
  <c r="L52" i="4" a="1"/>
  <c r="L52" i="4" s="1"/>
  <c r="L171" i="4" s="1"/>
  <c r="L51" i="5"/>
  <c r="M51" i="4"/>
  <c r="M170" i="4" s="1"/>
  <c r="M170" i="5" s="1"/>
  <c r="L8" i="8"/>
  <c r="L27" i="8" s="1"/>
  <c r="L32" i="8" s="1"/>
  <c r="S70" i="4"/>
  <c r="J8" i="8"/>
  <c r="J27" i="8" s="1"/>
  <c r="J32" i="8" s="1"/>
  <c r="Q70" i="4"/>
  <c r="K8" i="8"/>
  <c r="K27" i="8" s="1"/>
  <c r="K32" i="8" s="1"/>
  <c r="R70" i="4"/>
  <c r="M8" i="8"/>
  <c r="M27" i="8" s="1"/>
  <c r="M32" i="8" s="1"/>
  <c r="T70" i="4"/>
  <c r="N8" i="8"/>
  <c r="N27" i="8" s="1"/>
  <c r="N32" i="8" s="1"/>
  <c r="U70" i="4"/>
  <c r="O51" i="5" l="1"/>
  <c r="O170" i="4"/>
  <c r="O170" i="5" s="1"/>
  <c r="N51" i="5"/>
  <c r="N170" i="4"/>
  <c r="N170" i="5" s="1"/>
  <c r="W170" i="5"/>
  <c r="W171" i="4" a="1"/>
  <c r="W171" i="4" s="1"/>
  <c r="L171" i="5"/>
  <c r="O52" i="4" a="1"/>
  <c r="O52" i="4" s="1"/>
  <c r="L52" i="5"/>
  <c r="L53" i="4" a="1"/>
  <c r="L53" i="4" s="1"/>
  <c r="L172" i="4" s="1"/>
  <c r="M52" i="4"/>
  <c r="M171" i="4" s="1"/>
  <c r="M171" i="5" s="1"/>
  <c r="N52" i="4" a="1"/>
  <c r="N52" i="4" s="1"/>
  <c r="P52" i="4" a="1"/>
  <c r="P52" i="4" s="1"/>
  <c r="P52" i="5" s="1"/>
  <c r="T93" i="4"/>
  <c r="T93" i="5" s="1"/>
  <c r="T70" i="5"/>
  <c r="U93" i="4"/>
  <c r="U93" i="5" s="1"/>
  <c r="U70" i="5"/>
  <c r="R93" i="4"/>
  <c r="R93" i="5" s="1"/>
  <c r="R70" i="5"/>
  <c r="S93" i="4"/>
  <c r="S93" i="5" s="1"/>
  <c r="S70" i="5"/>
  <c r="Q93" i="4"/>
  <c r="Q93" i="5" s="1"/>
  <c r="Q70" i="5"/>
  <c r="W171" i="5" l="1"/>
  <c r="N52" i="5"/>
  <c r="N171" i="4"/>
  <c r="N171" i="5" s="1"/>
  <c r="W172" i="4" a="1"/>
  <c r="W172" i="4" s="1"/>
  <c r="L172" i="5"/>
  <c r="O52" i="5"/>
  <c r="O171" i="4"/>
  <c r="O171" i="5" s="1"/>
  <c r="O53" i="4" a="1"/>
  <c r="O53" i="4" s="1"/>
  <c r="N53" i="4" a="1"/>
  <c r="N53" i="4" s="1"/>
  <c r="P53" i="4" a="1"/>
  <c r="P53" i="4" s="1"/>
  <c r="P53" i="5" s="1"/>
  <c r="L53" i="5"/>
  <c r="L54" i="4" a="1"/>
  <c r="L54" i="4" s="1"/>
  <c r="L173" i="4" s="1"/>
  <c r="M53" i="4"/>
  <c r="M172" i="4" s="1"/>
  <c r="M172" i="5" s="1"/>
  <c r="M19" i="4"/>
  <c r="M138" i="4" s="1"/>
  <c r="M138" i="5" s="1"/>
  <c r="W173" i="4" l="1" a="1"/>
  <c r="W173" i="4" s="1"/>
  <c r="L173" i="5"/>
  <c r="W172" i="5"/>
  <c r="N53" i="5"/>
  <c r="N172" i="4"/>
  <c r="N172" i="5" s="1"/>
  <c r="O53" i="5"/>
  <c r="O172" i="4"/>
  <c r="O172" i="5" s="1"/>
  <c r="N54" i="4" a="1"/>
  <c r="N54" i="4" s="1"/>
  <c r="O54" i="4" a="1"/>
  <c r="O54" i="4" s="1"/>
  <c r="M54" i="4"/>
  <c r="M173" i="4" s="1"/>
  <c r="M173" i="5" s="1"/>
  <c r="P54" i="4" a="1"/>
  <c r="P54" i="4" s="1"/>
  <c r="P54" i="5" s="1"/>
  <c r="L55" i="4" a="1"/>
  <c r="L55" i="4" s="1"/>
  <c r="L174" i="4" s="1"/>
  <c r="L54" i="5"/>
  <c r="M20" i="4"/>
  <c r="M139" i="4" s="1"/>
  <c r="M139" i="5" s="1"/>
  <c r="W174" i="4" l="1" a="1"/>
  <c r="W174" i="4" s="1"/>
  <c r="L174" i="5"/>
  <c r="O54" i="5"/>
  <c r="O173" i="4"/>
  <c r="O173" i="5" s="1"/>
  <c r="N54" i="5"/>
  <c r="N173" i="4"/>
  <c r="N173" i="5" s="1"/>
  <c r="W173" i="5"/>
  <c r="N55" i="4" a="1"/>
  <c r="N55" i="4" s="1"/>
  <c r="P55" i="4" a="1"/>
  <c r="P55" i="4" s="1"/>
  <c r="P55" i="5" s="1"/>
  <c r="L56" i="4" a="1"/>
  <c r="L56" i="4" s="1"/>
  <c r="O55" i="4" a="1"/>
  <c r="O55" i="4" s="1"/>
  <c r="M55" i="4"/>
  <c r="M174" i="4" s="1"/>
  <c r="M174" i="5" s="1"/>
  <c r="L55" i="5"/>
  <c r="M21" i="4"/>
  <c r="M140" i="4" s="1"/>
  <c r="M140" i="5" s="1"/>
  <c r="L175" i="4" l="1"/>
  <c r="A40" i="22"/>
  <c r="N55" i="5"/>
  <c r="N174" i="4"/>
  <c r="N174" i="5" s="1"/>
  <c r="L175" i="5"/>
  <c r="W175" i="4" a="1"/>
  <c r="W175" i="4" s="1"/>
  <c r="O55" i="5"/>
  <c r="O174" i="4"/>
  <c r="O174" i="5" s="1"/>
  <c r="W174" i="5"/>
  <c r="M56" i="4"/>
  <c r="M175" i="4" s="1"/>
  <c r="M175" i="5" s="1"/>
  <c r="L57" i="4" a="1"/>
  <c r="L57" i="4" s="1"/>
  <c r="L176" i="4" s="1"/>
  <c r="O56" i="4" a="1"/>
  <c r="O56" i="4" s="1"/>
  <c r="P56" i="4" a="1"/>
  <c r="P56" i="4" s="1"/>
  <c r="P56" i="5" s="1"/>
  <c r="N56" i="4" a="1"/>
  <c r="N56" i="4" s="1"/>
  <c r="L56" i="5"/>
  <c r="M23" i="4"/>
  <c r="M142" i="4" s="1"/>
  <c r="M142" i="5" s="1"/>
  <c r="M22" i="4"/>
  <c r="M141" i="4" s="1"/>
  <c r="M141" i="5" s="1"/>
  <c r="N56" i="5" l="1"/>
  <c r="N175" i="4"/>
  <c r="N175" i="5" s="1"/>
  <c r="O56" i="5"/>
  <c r="O175" i="4"/>
  <c r="O175" i="5" s="1"/>
  <c r="W176" i="4" a="1"/>
  <c r="W176" i="4" s="1"/>
  <c r="L176" i="5"/>
  <c r="W175" i="5"/>
  <c r="L57" i="5"/>
  <c r="O57" i="4" a="1"/>
  <c r="O57" i="4" s="1"/>
  <c r="N57" i="4" a="1"/>
  <c r="N57" i="4" s="1"/>
  <c r="M57" i="4"/>
  <c r="M176" i="4" s="1"/>
  <c r="M176" i="5" s="1"/>
  <c r="P57" i="4" a="1"/>
  <c r="P57" i="4" s="1"/>
  <c r="P57" i="5" s="1"/>
  <c r="L58" i="4" a="1"/>
  <c r="L58" i="4" s="1"/>
  <c r="L177" i="4" s="1"/>
  <c r="M24" i="4"/>
  <c r="M143" i="4" s="1"/>
  <c r="M143" i="5" s="1"/>
  <c r="G16" i="9"/>
  <c r="H19" i="9"/>
  <c r="K16" i="9"/>
  <c r="G20" i="9"/>
  <c r="I16" i="9"/>
  <c r="K20" i="9"/>
  <c r="J17" i="9"/>
  <c r="I17" i="9"/>
  <c r="H20" i="9"/>
  <c r="I19" i="9"/>
  <c r="K17" i="9"/>
  <c r="G17" i="9"/>
  <c r="J19" i="9"/>
  <c r="K19" i="9"/>
  <c r="J20" i="9"/>
  <c r="H16" i="9"/>
  <c r="I20" i="9"/>
  <c r="J16" i="9"/>
  <c r="G19" i="9"/>
  <c r="H17" i="9"/>
  <c r="W177" i="4" l="1" a="1"/>
  <c r="W177" i="4" s="1"/>
  <c r="L177" i="5"/>
  <c r="N57" i="5"/>
  <c r="N176" i="4"/>
  <c r="N176" i="5" s="1"/>
  <c r="O57" i="5"/>
  <c r="O176" i="4"/>
  <c r="O176" i="5" s="1"/>
  <c r="W176" i="5"/>
  <c r="M58" i="4"/>
  <c r="M177" i="4" s="1"/>
  <c r="M177" i="5" s="1"/>
  <c r="L59" i="4" a="1"/>
  <c r="L59" i="4" s="1"/>
  <c r="A41" i="22" s="1"/>
  <c r="L58" i="5"/>
  <c r="N58" i="4" a="1"/>
  <c r="N58" i="4" s="1"/>
  <c r="O58" i="4" a="1"/>
  <c r="O58" i="4" s="1"/>
  <c r="P58" i="4" a="1"/>
  <c r="P58" i="4" s="1"/>
  <c r="P58" i="5" s="1"/>
  <c r="R8" i="5"/>
  <c r="Q8" i="7" s="1"/>
  <c r="Q95" i="7" s="1"/>
  <c r="S8" i="5"/>
  <c r="R8" i="7" s="1"/>
  <c r="R95" i="7" s="1"/>
  <c r="T8" i="5"/>
  <c r="S8" i="7" s="1"/>
  <c r="S95" i="7" s="1"/>
  <c r="U8" i="5"/>
  <c r="T8" i="7" s="1"/>
  <c r="T95" i="7" s="1"/>
  <c r="Q8" i="5"/>
  <c r="P8" i="7" s="1"/>
  <c r="P95" i="7" s="1"/>
  <c r="F8" i="5"/>
  <c r="G8" i="5"/>
  <c r="H8" i="5"/>
  <c r="I8" i="5"/>
  <c r="E8" i="5"/>
  <c r="F8" i="7" s="1"/>
  <c r="N58" i="5" l="1"/>
  <c r="N177" i="4"/>
  <c r="N177" i="5" s="1"/>
  <c r="O58" i="5"/>
  <c r="O177" i="4"/>
  <c r="O177" i="5" s="1"/>
  <c r="N59" i="4" a="1"/>
  <c r="N59" i="4" s="1"/>
  <c r="L178" i="4"/>
  <c r="W177" i="5"/>
  <c r="L59" i="5"/>
  <c r="L60" i="4" a="1"/>
  <c r="L60" i="4" s="1"/>
  <c r="M59" i="4"/>
  <c r="M178" i="4" s="1"/>
  <c r="M178" i="5" s="1"/>
  <c r="P59" i="4" a="1"/>
  <c r="P59" i="4" s="1"/>
  <c r="P59" i="5" s="1"/>
  <c r="O59" i="4" a="1"/>
  <c r="O59" i="4" s="1"/>
  <c r="R31" i="7"/>
  <c r="R25" i="7"/>
  <c r="Q31" i="7"/>
  <c r="Q25" i="7"/>
  <c r="S25" i="7"/>
  <c r="S31" i="7"/>
  <c r="P25" i="7"/>
  <c r="P31" i="7"/>
  <c r="T25" i="7"/>
  <c r="T31" i="7"/>
  <c r="W178" i="4" l="1" a="1"/>
  <c r="W178" i="4" s="1"/>
  <c r="L178" i="5"/>
  <c r="N60" i="4" a="1"/>
  <c r="N60" i="4" s="1"/>
  <c r="L179" i="4"/>
  <c r="O59" i="5"/>
  <c r="O178" i="4"/>
  <c r="O178" i="5" s="1"/>
  <c r="N59" i="5"/>
  <c r="N178" i="4"/>
  <c r="N178" i="5" s="1"/>
  <c r="L61" i="4" a="1"/>
  <c r="L61" i="4" s="1"/>
  <c r="L60" i="5"/>
  <c r="M60" i="4"/>
  <c r="M179" i="4" s="1"/>
  <c r="M179" i="5" s="1"/>
  <c r="O60" i="4" a="1"/>
  <c r="O60" i="4" s="1"/>
  <c r="P60" i="4" a="1"/>
  <c r="P60" i="4" s="1"/>
  <c r="P60" i="5" s="1"/>
  <c r="K28" i="7"/>
  <c r="O60" i="5" l="1"/>
  <c r="O179" i="4"/>
  <c r="O179" i="5" s="1"/>
  <c r="W179" i="4" a="1"/>
  <c r="W179" i="4" s="1"/>
  <c r="L179" i="5"/>
  <c r="N60" i="5"/>
  <c r="N179" i="4"/>
  <c r="N179" i="5" s="1"/>
  <c r="N61" i="4" a="1"/>
  <c r="N61" i="4" s="1"/>
  <c r="L180" i="4"/>
  <c r="W178" i="5"/>
  <c r="L61" i="5"/>
  <c r="O61" i="4" a="1"/>
  <c r="O61" i="4" s="1"/>
  <c r="P61" i="4" a="1"/>
  <c r="P61" i="4" s="1"/>
  <c r="P61" i="5" s="1"/>
  <c r="L62" i="4" a="1"/>
  <c r="L62" i="4" s="1"/>
  <c r="M61" i="4"/>
  <c r="M180" i="4" s="1"/>
  <c r="M180" i="5" s="1"/>
  <c r="K23" i="7"/>
  <c r="W180" i="4" l="1" a="1"/>
  <c r="W180" i="4" s="1"/>
  <c r="L180" i="5"/>
  <c r="N61" i="5"/>
  <c r="N180" i="4"/>
  <c r="N180" i="5" s="1"/>
  <c r="O61" i="5"/>
  <c r="O180" i="4"/>
  <c r="O180" i="5" s="1"/>
  <c r="W179" i="5"/>
  <c r="M62" i="4"/>
  <c r="M181" i="4" s="1"/>
  <c r="M181" i="5" s="1"/>
  <c r="L181" i="4"/>
  <c r="O62" i="4" a="1"/>
  <c r="O62" i="4" s="1"/>
  <c r="L62" i="5"/>
  <c r="N62" i="4" a="1"/>
  <c r="N62" i="4" s="1"/>
  <c r="L63" i="4" a="1"/>
  <c r="L63" i="4" s="1"/>
  <c r="P62" i="4" a="1"/>
  <c r="P62" i="4" s="1"/>
  <c r="P62" i="5" s="1"/>
  <c r="K80" i="7"/>
  <c r="L64" i="4" l="1" a="1"/>
  <c r="L64" i="4" s="1"/>
  <c r="N64" i="4" s="1" a="1"/>
  <c r="N64" i="4" s="1"/>
  <c r="L182" i="4"/>
  <c r="W181" i="4" a="1"/>
  <c r="W181" i="4" s="1"/>
  <c r="L181" i="5"/>
  <c r="N62" i="5"/>
  <c r="N181" i="4"/>
  <c r="N181" i="5" s="1"/>
  <c r="O62" i="5"/>
  <c r="O181" i="4"/>
  <c r="O181" i="5" s="1"/>
  <c r="W180" i="5"/>
  <c r="O63" i="4" a="1"/>
  <c r="O63" i="4" s="1"/>
  <c r="L63" i="5"/>
  <c r="N63" i="4" a="1"/>
  <c r="N63" i="4" s="1"/>
  <c r="M63" i="4"/>
  <c r="M182" i="4" s="1"/>
  <c r="M182" i="5" s="1"/>
  <c r="P63" i="4" a="1"/>
  <c r="P63" i="4" s="1"/>
  <c r="P63" i="5" s="1"/>
  <c r="C70" i="4"/>
  <c r="D70" i="4"/>
  <c r="E70" i="4"/>
  <c r="B70" i="4"/>
  <c r="B93" i="4" s="1"/>
  <c r="A70" i="4"/>
  <c r="N64" i="5" l="1"/>
  <c r="N183" i="4"/>
  <c r="N183" i="5" s="1"/>
  <c r="N63" i="5"/>
  <c r="N182" i="4"/>
  <c r="N182" i="5" s="1"/>
  <c r="O63" i="5"/>
  <c r="O182" i="4"/>
  <c r="O182" i="5" s="1"/>
  <c r="M64" i="4"/>
  <c r="M183" i="4" s="1"/>
  <c r="M183" i="5" s="1"/>
  <c r="L65" i="4" a="1"/>
  <c r="L65" i="4" s="1"/>
  <c r="P64" i="4" a="1"/>
  <c r="P64" i="4" s="1"/>
  <c r="P64" i="5" s="1"/>
  <c r="W181" i="5"/>
  <c r="O64" i="4" a="1"/>
  <c r="O64" i="4" s="1"/>
  <c r="L182" i="5"/>
  <c r="W182" i="4" a="1"/>
  <c r="W182" i="4" s="1"/>
  <c r="L64" i="5"/>
  <c r="L183" i="4"/>
  <c r="D70" i="5"/>
  <c r="D93" i="4"/>
  <c r="D93" i="5" s="1"/>
  <c r="C93" i="4"/>
  <c r="C93" i="5" s="1"/>
  <c r="C70" i="5"/>
  <c r="A70" i="5"/>
  <c r="A93" i="4"/>
  <c r="A93" i="5" s="1"/>
  <c r="E70" i="5"/>
  <c r="E93" i="4"/>
  <c r="E93" i="5" s="1"/>
  <c r="M65" i="4" l="1"/>
  <c r="W182" i="5"/>
  <c r="O65" i="4" a="1"/>
  <c r="O65" i="4" s="1"/>
  <c r="S26" i="7" s="1"/>
  <c r="F25" i="20" s="1"/>
  <c r="O64" i="5"/>
  <c r="O183" i="4"/>
  <c r="O183" i="5" s="1"/>
  <c r="P65" i="4" a="1"/>
  <c r="P65" i="4" s="1"/>
  <c r="N65" i="4" a="1"/>
  <c r="N65" i="4" s="1"/>
  <c r="T112" i="4" s="1"/>
  <c r="L65" i="5"/>
  <c r="W183" i="4" a="1"/>
  <c r="W183" i="4" s="1"/>
  <c r="L183" i="5"/>
  <c r="R26" i="7"/>
  <c r="E25" i="20" s="1"/>
  <c r="T26" i="7"/>
  <c r="G25" i="20" s="1"/>
  <c r="U48" i="7"/>
  <c r="K48" i="7"/>
  <c r="K10" i="7"/>
  <c r="K13" i="7"/>
  <c r="O8" i="5"/>
  <c r="P65" i="5" l="1"/>
  <c r="P26" i="7"/>
  <c r="C25" i="20" s="1"/>
  <c r="R112" i="4"/>
  <c r="S112" i="4"/>
  <c r="Q120" i="4"/>
  <c r="R121" i="4"/>
  <c r="Q26" i="7"/>
  <c r="D25" i="20" s="1"/>
  <c r="N65" i="5"/>
  <c r="U112" i="4"/>
  <c r="O65" i="5"/>
  <c r="W183" i="5"/>
  <c r="K36" i="7" l="1"/>
  <c r="K61" i="7"/>
  <c r="G52" i="21" s="1"/>
  <c r="U36" i="7" l="1"/>
  <c r="U19" i="7" l="1"/>
  <c r="U16" i="7"/>
  <c r="U13" i="7"/>
  <c r="V117" i="4" l="1"/>
  <c r="V117" i="5" s="1"/>
  <c r="J117" i="4"/>
  <c r="J117" i="5" s="1"/>
  <c r="F28" i="7"/>
  <c r="F23" i="7" l="1"/>
  <c r="F48" i="7"/>
  <c r="F10" i="7"/>
  <c r="F36" i="7"/>
  <c r="F61" i="7"/>
  <c r="F80" i="7" l="1"/>
  <c r="B52" i="21"/>
  <c r="T8" i="1"/>
  <c r="AK8" i="17" s="1"/>
  <c r="H13" i="8"/>
  <c r="Q58" i="4" l="1"/>
  <c r="Q177" i="4" s="1"/>
  <c r="U66" i="4"/>
  <c r="T66" i="4"/>
  <c r="Q66" i="4"/>
  <c r="S66" i="4"/>
  <c r="R66" i="4"/>
  <c r="Q21" i="4"/>
  <c r="B4" i="22" s="1"/>
  <c r="Q38" i="4"/>
  <c r="Q28" i="4"/>
  <c r="B35" i="22" s="1"/>
  <c r="U61" i="4"/>
  <c r="F42" i="22" s="1"/>
  <c r="S61" i="4"/>
  <c r="D42" i="22" s="1"/>
  <c r="T61" i="4"/>
  <c r="E42" i="22" s="1"/>
  <c r="R61" i="4"/>
  <c r="C42" i="22" s="1"/>
  <c r="Q61" i="4"/>
  <c r="B42" i="22" s="1"/>
  <c r="T62" i="4"/>
  <c r="Q62" i="4"/>
  <c r="R62" i="4"/>
  <c r="U62" i="4"/>
  <c r="S62" i="4"/>
  <c r="S63" i="4"/>
  <c r="T63" i="4"/>
  <c r="Q63" i="4"/>
  <c r="U63" i="4"/>
  <c r="R63" i="4"/>
  <c r="T64" i="4"/>
  <c r="U64" i="4"/>
  <c r="R64" i="4"/>
  <c r="S64" i="4"/>
  <c r="Q64" i="4"/>
  <c r="R65" i="4"/>
  <c r="T65" i="4"/>
  <c r="U65" i="4"/>
  <c r="Q65" i="4"/>
  <c r="S65" i="4"/>
  <c r="U10" i="4"/>
  <c r="U129" i="4" s="1"/>
  <c r="S11" i="4"/>
  <c r="S130" i="4" s="1"/>
  <c r="S10" i="4"/>
  <c r="S129" i="4" s="1"/>
  <c r="R10" i="4"/>
  <c r="R129" i="4" s="1"/>
  <c r="T10" i="4"/>
  <c r="T129" i="4" s="1"/>
  <c r="Q10" i="4"/>
  <c r="Q129" i="4" s="1"/>
  <c r="Q11" i="4"/>
  <c r="Q130" i="4" s="1"/>
  <c r="T11" i="4"/>
  <c r="T130" i="4" s="1"/>
  <c r="U11" i="4"/>
  <c r="U130" i="4" s="1"/>
  <c r="R11" i="4"/>
  <c r="R130" i="4" s="1"/>
  <c r="U12" i="4"/>
  <c r="U131" i="4" s="1"/>
  <c r="T12" i="4"/>
  <c r="T131" i="4" s="1"/>
  <c r="R12" i="4"/>
  <c r="R131" i="4" s="1"/>
  <c r="S12" i="4"/>
  <c r="S131" i="4" s="1"/>
  <c r="Q12" i="4"/>
  <c r="Q131" i="4" s="1"/>
  <c r="R32" i="4"/>
  <c r="R151" i="4" s="1"/>
  <c r="S32" i="4"/>
  <c r="S151" i="4" s="1"/>
  <c r="U32" i="4"/>
  <c r="U151" i="4" s="1"/>
  <c r="Q32" i="4"/>
  <c r="Q151" i="4" s="1"/>
  <c r="T32" i="4"/>
  <c r="T151" i="4" s="1"/>
  <c r="Q33" i="4"/>
  <c r="Q152" i="4" s="1"/>
  <c r="R33" i="4"/>
  <c r="R152" i="4" s="1"/>
  <c r="S33" i="4"/>
  <c r="S152" i="4" s="1"/>
  <c r="T33" i="4"/>
  <c r="T152" i="4" s="1"/>
  <c r="U33" i="4"/>
  <c r="U152" i="4" s="1"/>
  <c r="S34" i="4"/>
  <c r="D12" i="22" s="1"/>
  <c r="R34" i="4"/>
  <c r="C12" i="22" s="1"/>
  <c r="U13" i="4"/>
  <c r="S13" i="4"/>
  <c r="Q34" i="4"/>
  <c r="B12" i="22" s="1"/>
  <c r="R13" i="4"/>
  <c r="Q13" i="4"/>
  <c r="T13" i="4"/>
  <c r="T34" i="4"/>
  <c r="E12" i="22" s="1"/>
  <c r="U34" i="4"/>
  <c r="F12" i="22" s="1"/>
  <c r="U36" i="4"/>
  <c r="U155" i="4" s="1"/>
  <c r="R36" i="4"/>
  <c r="R155" i="4" s="1"/>
  <c r="T36" i="4"/>
  <c r="T155" i="4" s="1"/>
  <c r="Q36" i="4"/>
  <c r="Q155" i="4" s="1"/>
  <c r="S36" i="4"/>
  <c r="S155" i="4" s="1"/>
  <c r="R16" i="4"/>
  <c r="C22" i="22" s="1"/>
  <c r="U37" i="4"/>
  <c r="U156" i="4" s="1"/>
  <c r="Q16" i="4"/>
  <c r="B22" i="22" s="1"/>
  <c r="S37" i="4"/>
  <c r="S156" i="4" s="1"/>
  <c r="U16" i="4"/>
  <c r="F22" i="22" s="1"/>
  <c r="T16" i="4"/>
  <c r="E22" i="22" s="1"/>
  <c r="S16" i="4"/>
  <c r="D22" i="22" s="1"/>
  <c r="T37" i="4"/>
  <c r="T156" i="4" s="1"/>
  <c r="Q37" i="4"/>
  <c r="Q156" i="4" s="1"/>
  <c r="R37" i="4"/>
  <c r="R156" i="4" s="1"/>
  <c r="Q17" i="4"/>
  <c r="Q136" i="4" s="1"/>
  <c r="T17" i="4"/>
  <c r="T136" i="4" s="1"/>
  <c r="U17" i="4"/>
  <c r="U136" i="4" s="1"/>
  <c r="R17" i="4"/>
  <c r="R136" i="4" s="1"/>
  <c r="S38" i="4"/>
  <c r="S157" i="4" s="1"/>
  <c r="R38" i="4"/>
  <c r="R157" i="4" s="1"/>
  <c r="S17" i="4"/>
  <c r="S136" i="4" s="1"/>
  <c r="U38" i="4"/>
  <c r="U157" i="4" s="1"/>
  <c r="T38" i="4"/>
  <c r="T157" i="4" s="1"/>
  <c r="T39" i="4"/>
  <c r="T158" i="4" s="1"/>
  <c r="R39" i="4"/>
  <c r="R158" i="4" s="1"/>
  <c r="S39" i="4"/>
  <c r="S158" i="4" s="1"/>
  <c r="U39" i="4"/>
  <c r="U158" i="4" s="1"/>
  <c r="Q39" i="4"/>
  <c r="Q158" i="4" s="1"/>
  <c r="Q20" i="4"/>
  <c r="Q139" i="4" s="1"/>
  <c r="S20" i="4"/>
  <c r="S139" i="4" s="1"/>
  <c r="T20" i="4"/>
  <c r="T139" i="4" s="1"/>
  <c r="T40" i="4"/>
  <c r="E8" i="22" s="1"/>
  <c r="R20" i="4"/>
  <c r="R139" i="4" s="1"/>
  <c r="S40" i="4"/>
  <c r="D8" i="22" s="1"/>
  <c r="U20" i="4"/>
  <c r="U139" i="4" s="1"/>
  <c r="U40" i="4"/>
  <c r="F8" i="22" s="1"/>
  <c r="Q40" i="4"/>
  <c r="B8" i="22" s="1"/>
  <c r="R40" i="4"/>
  <c r="C8" i="22" s="1"/>
  <c r="T21" i="4"/>
  <c r="E4" i="22" s="1"/>
  <c r="R21" i="4"/>
  <c r="C4" i="22" s="1"/>
  <c r="R41" i="4"/>
  <c r="R160" i="4" s="1"/>
  <c r="S21" i="4"/>
  <c r="D4" i="22" s="1"/>
  <c r="T41" i="4"/>
  <c r="T160" i="4" s="1"/>
  <c r="U21" i="4"/>
  <c r="F4" i="22" s="1"/>
  <c r="S41" i="4"/>
  <c r="S160" i="4" s="1"/>
  <c r="U41" i="4"/>
  <c r="U160" i="4" s="1"/>
  <c r="S22" i="4"/>
  <c r="D5" i="22" s="1"/>
  <c r="Q41" i="4"/>
  <c r="Q160" i="4" s="1"/>
  <c r="R22" i="4"/>
  <c r="C5" i="22" s="1"/>
  <c r="T22" i="4"/>
  <c r="E5" i="22" s="1"/>
  <c r="U22" i="4"/>
  <c r="F5" i="22" s="1"/>
  <c r="R42" i="4"/>
  <c r="R161" i="4" s="1"/>
  <c r="T42" i="4"/>
  <c r="T161" i="4" s="1"/>
  <c r="S42" i="4"/>
  <c r="S161" i="4" s="1"/>
  <c r="Q42" i="4"/>
  <c r="Q161" i="4" s="1"/>
  <c r="Q22" i="4"/>
  <c r="B5" i="22" s="1"/>
  <c r="U42" i="4"/>
  <c r="U161" i="4" s="1"/>
  <c r="T23" i="4"/>
  <c r="E34" i="22" s="1"/>
  <c r="S23" i="4"/>
  <c r="D34" i="22" s="1"/>
  <c r="U23" i="4"/>
  <c r="F34" i="22" s="1"/>
  <c r="T43" i="4"/>
  <c r="E13" i="22" s="1"/>
  <c r="Q43" i="4"/>
  <c r="B13" i="22" s="1"/>
  <c r="S43" i="4"/>
  <c r="D13" i="22" s="1"/>
  <c r="Q23" i="4"/>
  <c r="B34" i="22" s="1"/>
  <c r="R23" i="4"/>
  <c r="C34" i="22" s="1"/>
  <c r="R43" i="4"/>
  <c r="C13" i="22" s="1"/>
  <c r="U43" i="4"/>
  <c r="F13" i="22" s="1"/>
  <c r="Q44" i="4"/>
  <c r="B24" i="22" s="1"/>
  <c r="R24" i="4"/>
  <c r="C11" i="22" s="1"/>
  <c r="U24" i="4"/>
  <c r="F11" i="22" s="1"/>
  <c r="U25" i="4"/>
  <c r="F6" i="22" s="1"/>
  <c r="T44" i="4"/>
  <c r="E24" i="22" s="1"/>
  <c r="R44" i="4"/>
  <c r="C24" i="22" s="1"/>
  <c r="S44" i="4"/>
  <c r="D24" i="22" s="1"/>
  <c r="Q24" i="4"/>
  <c r="B11" i="22" s="1"/>
  <c r="S24" i="4"/>
  <c r="D11" i="22" s="1"/>
  <c r="T24" i="4"/>
  <c r="E11" i="22" s="1"/>
  <c r="U44" i="4"/>
  <c r="F24" i="22" s="1"/>
  <c r="S26" i="4"/>
  <c r="D7" i="22" s="1"/>
  <c r="Q25" i="4"/>
  <c r="B6" i="22" s="1"/>
  <c r="R25" i="4"/>
  <c r="C6" i="22" s="1"/>
  <c r="T25" i="4"/>
  <c r="E6" i="22" s="1"/>
  <c r="S25" i="4"/>
  <c r="D6" i="22" s="1"/>
  <c r="R45" i="4"/>
  <c r="R164" i="4" s="1"/>
  <c r="T45" i="4"/>
  <c r="T164" i="4" s="1"/>
  <c r="U45" i="4"/>
  <c r="U164" i="4" s="1"/>
  <c r="S45" i="4"/>
  <c r="S164" i="4" s="1"/>
  <c r="Q45" i="4"/>
  <c r="Q164" i="4" s="1"/>
  <c r="T26" i="4"/>
  <c r="E7" i="22" s="1"/>
  <c r="R26" i="4"/>
  <c r="C7" i="22" s="1"/>
  <c r="S46" i="4"/>
  <c r="S165" i="4" s="1"/>
  <c r="U26" i="4"/>
  <c r="F7" i="22" s="1"/>
  <c r="S27" i="4"/>
  <c r="S146" i="4" s="1"/>
  <c r="T46" i="4"/>
  <c r="T165" i="4" s="1"/>
  <c r="Q26" i="4"/>
  <c r="B7" i="22" s="1"/>
  <c r="U46" i="4"/>
  <c r="U165" i="4" s="1"/>
  <c r="R46" i="4"/>
  <c r="R165" i="4" s="1"/>
  <c r="Q46" i="4"/>
  <c r="Q165" i="4" s="1"/>
  <c r="Q27" i="4"/>
  <c r="Q146" i="4" s="1"/>
  <c r="R47" i="4"/>
  <c r="C14" i="22" s="1"/>
  <c r="T27" i="4"/>
  <c r="T146" i="4" s="1"/>
  <c r="R27" i="4"/>
  <c r="R146" i="4" s="1"/>
  <c r="U47" i="4"/>
  <c r="F14" i="22" s="1"/>
  <c r="Q47" i="4"/>
  <c r="B14" i="22" s="1"/>
  <c r="U28" i="4"/>
  <c r="F35" i="22" s="1"/>
  <c r="S28" i="4"/>
  <c r="D35" i="22" s="1"/>
  <c r="T47" i="4"/>
  <c r="E14" i="22" s="1"/>
  <c r="U27" i="4"/>
  <c r="U146" i="4" s="1"/>
  <c r="S47" i="4"/>
  <c r="D14" i="22" s="1"/>
  <c r="R28" i="4"/>
  <c r="C35" i="22" s="1"/>
  <c r="S48" i="4"/>
  <c r="D25" i="22" s="1"/>
  <c r="T28" i="4"/>
  <c r="E35" i="22" s="1"/>
  <c r="S29" i="4"/>
  <c r="S148" i="4" s="1"/>
  <c r="U48" i="4"/>
  <c r="F25" i="22" s="1"/>
  <c r="Q48" i="4"/>
  <c r="B25" i="22" s="1"/>
  <c r="T48" i="4"/>
  <c r="E25" i="22" s="1"/>
  <c r="R48" i="4"/>
  <c r="C25" i="22" s="1"/>
  <c r="Q29" i="4"/>
  <c r="Q148" i="4" s="1"/>
  <c r="T29" i="4"/>
  <c r="T148" i="4" s="1"/>
  <c r="R29" i="4"/>
  <c r="R148" i="4" s="1"/>
  <c r="U49" i="4"/>
  <c r="F37" i="22" s="1"/>
  <c r="S49" i="4"/>
  <c r="D37" i="22" s="1"/>
  <c r="U29" i="4"/>
  <c r="U148" i="4" s="1"/>
  <c r="R49" i="4"/>
  <c r="T49" i="4"/>
  <c r="E37" i="22" s="1"/>
  <c r="Q49" i="4"/>
  <c r="B37" i="22" s="1"/>
  <c r="Q50" i="4"/>
  <c r="B38" i="22" s="1"/>
  <c r="T50" i="4"/>
  <c r="E38" i="22" s="1"/>
  <c r="T30" i="4"/>
  <c r="E36" i="22" s="1"/>
  <c r="R30" i="4"/>
  <c r="C36" i="22" s="1"/>
  <c r="S30" i="4"/>
  <c r="D36" i="22" s="1"/>
  <c r="U30" i="4"/>
  <c r="F36" i="22" s="1"/>
  <c r="Q30" i="4"/>
  <c r="B36" i="22" s="1"/>
  <c r="S50" i="4"/>
  <c r="D38" i="22" s="1"/>
  <c r="R50" i="4"/>
  <c r="C38" i="22" s="1"/>
  <c r="U50" i="4"/>
  <c r="F38" i="22" s="1"/>
  <c r="Q51" i="4"/>
  <c r="Q170" i="4" s="1"/>
  <c r="T51" i="4"/>
  <c r="T170" i="4" s="1"/>
  <c r="R51" i="4"/>
  <c r="R170" i="4" s="1"/>
  <c r="S51" i="4"/>
  <c r="S170" i="4" s="1"/>
  <c r="U51" i="4"/>
  <c r="U170" i="4" s="1"/>
  <c r="U52" i="4"/>
  <c r="U171" i="4" s="1"/>
  <c r="Q52" i="4"/>
  <c r="Q171" i="4" s="1"/>
  <c r="T52" i="4"/>
  <c r="T171" i="4" s="1"/>
  <c r="S52" i="4"/>
  <c r="S171" i="4" s="1"/>
  <c r="R52" i="4"/>
  <c r="R171" i="4" s="1"/>
  <c r="Q53" i="4"/>
  <c r="Q172" i="4" s="1"/>
  <c r="U53" i="4"/>
  <c r="U172" i="4" s="1"/>
  <c r="T53" i="4"/>
  <c r="T172" i="4" s="1"/>
  <c r="R53" i="4"/>
  <c r="R172" i="4" s="1"/>
  <c r="S53" i="4"/>
  <c r="S172" i="4" s="1"/>
  <c r="R54" i="4"/>
  <c r="R173" i="4" s="1"/>
  <c r="T54" i="4"/>
  <c r="T173" i="4" s="1"/>
  <c r="S54" i="4"/>
  <c r="S173" i="4" s="1"/>
  <c r="U54" i="4"/>
  <c r="U173" i="4" s="1"/>
  <c r="Q54" i="4"/>
  <c r="Q173" i="4" s="1"/>
  <c r="Q55" i="4"/>
  <c r="B10" i="22" s="1"/>
  <c r="U55" i="4"/>
  <c r="F10" i="22" s="1"/>
  <c r="S55" i="4"/>
  <c r="D10" i="22" s="1"/>
  <c r="R55" i="4"/>
  <c r="C10" i="22" s="1"/>
  <c r="T55" i="4"/>
  <c r="E10" i="22" s="1"/>
  <c r="T56" i="4"/>
  <c r="E40" i="22" s="1"/>
  <c r="U56" i="4"/>
  <c r="F40" i="22" s="1"/>
  <c r="Q56" i="4"/>
  <c r="B40" i="22" s="1"/>
  <c r="R56" i="4"/>
  <c r="C40" i="22" s="1"/>
  <c r="S56" i="4"/>
  <c r="D40" i="22" s="1"/>
  <c r="R57" i="4"/>
  <c r="R176" i="4" s="1"/>
  <c r="Q57" i="4"/>
  <c r="Q176" i="4" s="1"/>
  <c r="S57" i="4"/>
  <c r="S176" i="4" s="1"/>
  <c r="U57" i="4"/>
  <c r="U176" i="4" s="1"/>
  <c r="T57" i="4"/>
  <c r="T176" i="4" s="1"/>
  <c r="S58" i="4"/>
  <c r="S177" i="4" s="1"/>
  <c r="U58" i="4"/>
  <c r="U177" i="4" s="1"/>
  <c r="T58" i="4"/>
  <c r="T177" i="4" s="1"/>
  <c r="R58" i="4"/>
  <c r="R177" i="4" s="1"/>
  <c r="Q59" i="4"/>
  <c r="B41" i="22" s="1"/>
  <c r="S59" i="4"/>
  <c r="D41" i="22" s="1"/>
  <c r="U59" i="4"/>
  <c r="F41" i="22" s="1"/>
  <c r="R59" i="4"/>
  <c r="C41" i="22" s="1"/>
  <c r="T59" i="4"/>
  <c r="E41" i="22" s="1"/>
  <c r="T60" i="4"/>
  <c r="T179" i="4" s="1"/>
  <c r="R60" i="4"/>
  <c r="R179" i="4" s="1"/>
  <c r="S60" i="4"/>
  <c r="S179" i="4" s="1"/>
  <c r="Q60" i="4"/>
  <c r="Q179" i="4" s="1"/>
  <c r="U60" i="4"/>
  <c r="U179" i="4" s="1"/>
  <c r="E14" i="8"/>
  <c r="N8" i="5"/>
  <c r="L8" i="5"/>
  <c r="O8" i="4"/>
  <c r="O70" i="4" s="1"/>
  <c r="S120" i="4" s="1"/>
  <c r="N8" i="4"/>
  <c r="N70" i="4" s="1"/>
  <c r="L70" i="4"/>
  <c r="E107" i="4"/>
  <c r="C37" i="22" l="1"/>
  <c r="C39" i="22" s="1"/>
  <c r="B9" i="22"/>
  <c r="B15" i="22" s="1"/>
  <c r="B39" i="22"/>
  <c r="Q178" i="4"/>
  <c r="T147" i="4"/>
  <c r="D39" i="22"/>
  <c r="R147" i="4"/>
  <c r="S163" i="4"/>
  <c r="T180" i="4"/>
  <c r="T175" i="4"/>
  <c r="Q149" i="4"/>
  <c r="F39" i="22"/>
  <c r="R163" i="4"/>
  <c r="S180" i="4"/>
  <c r="T178" i="4"/>
  <c r="U149" i="4"/>
  <c r="T163" i="4"/>
  <c r="U142" i="4"/>
  <c r="U180" i="4"/>
  <c r="S149" i="4"/>
  <c r="S142" i="4"/>
  <c r="S135" i="4"/>
  <c r="Q147" i="4"/>
  <c r="R178" i="4"/>
  <c r="U178" i="4"/>
  <c r="S175" i="4"/>
  <c r="R149" i="4"/>
  <c r="S147" i="4"/>
  <c r="T142" i="4"/>
  <c r="T135" i="4"/>
  <c r="Q175" i="4"/>
  <c r="S178" i="4"/>
  <c r="R175" i="4"/>
  <c r="T149" i="4"/>
  <c r="U147" i="4"/>
  <c r="U135" i="4"/>
  <c r="T132" i="4"/>
  <c r="Q163" i="4"/>
  <c r="Q132" i="4"/>
  <c r="Q135" i="4"/>
  <c r="R132" i="4"/>
  <c r="U163" i="4"/>
  <c r="E39" i="22"/>
  <c r="R142" i="4"/>
  <c r="R135" i="4"/>
  <c r="S132" i="4"/>
  <c r="U175" i="4"/>
  <c r="Q142" i="4"/>
  <c r="U132" i="4"/>
  <c r="Q180" i="4"/>
  <c r="R180" i="4"/>
  <c r="D9" i="22"/>
  <c r="D15" i="22" s="1"/>
  <c r="F9" i="22"/>
  <c r="F15" i="22" s="1"/>
  <c r="E9" i="22"/>
  <c r="E15" i="22" s="1"/>
  <c r="C9" i="22"/>
  <c r="C15" i="22" s="1"/>
  <c r="T38" i="7"/>
  <c r="Q145" i="4"/>
  <c r="U144" i="4"/>
  <c r="S141" i="4"/>
  <c r="S144" i="4"/>
  <c r="T144" i="4"/>
  <c r="U143" i="4"/>
  <c r="T166" i="4"/>
  <c r="R144" i="4"/>
  <c r="R143" i="4"/>
  <c r="Q166" i="4"/>
  <c r="U145" i="4"/>
  <c r="Q144" i="4"/>
  <c r="Q141" i="4"/>
  <c r="U140" i="4"/>
  <c r="U166" i="4"/>
  <c r="S145" i="4"/>
  <c r="U162" i="4"/>
  <c r="P38" i="7"/>
  <c r="Q140" i="4"/>
  <c r="R145" i="4"/>
  <c r="R162" i="4"/>
  <c r="S140" i="4"/>
  <c r="T145" i="4"/>
  <c r="T143" i="4"/>
  <c r="R166" i="4"/>
  <c r="S143" i="4"/>
  <c r="R140" i="4"/>
  <c r="Q143" i="4"/>
  <c r="S162" i="4"/>
  <c r="U141" i="4"/>
  <c r="T140" i="4"/>
  <c r="S38" i="7"/>
  <c r="Q162" i="4"/>
  <c r="T141" i="4"/>
  <c r="G10" i="22"/>
  <c r="S166" i="4"/>
  <c r="T162" i="4"/>
  <c r="R141" i="4"/>
  <c r="G8" i="22"/>
  <c r="V176" i="4"/>
  <c r="V136" i="4"/>
  <c r="Q110" i="4"/>
  <c r="Q110" i="5" s="1"/>
  <c r="V170" i="4"/>
  <c r="V165" i="4"/>
  <c r="R110" i="4"/>
  <c r="V146" i="4"/>
  <c r="V139" i="4"/>
  <c r="S110" i="4"/>
  <c r="V173" i="4"/>
  <c r="V158" i="4"/>
  <c r="V156" i="4"/>
  <c r="V152" i="4"/>
  <c r="V179" i="4"/>
  <c r="V171" i="4"/>
  <c r="V148" i="4"/>
  <c r="H12" i="19"/>
  <c r="B22" i="19" s="1"/>
  <c r="G22" i="19" s="1"/>
  <c r="G23" i="19" s="1"/>
  <c r="Q157" i="4"/>
  <c r="V157" i="4" s="1"/>
  <c r="V161" i="4"/>
  <c r="V160" i="4"/>
  <c r="V151" i="4"/>
  <c r="P102" i="7"/>
  <c r="V172" i="4"/>
  <c r="V155" i="4"/>
  <c r="V164" i="4"/>
  <c r="V177" i="4"/>
  <c r="P103" i="7"/>
  <c r="Q103" i="7"/>
  <c r="R103" i="7"/>
  <c r="S103" i="7"/>
  <c r="T103" i="7"/>
  <c r="Q28" i="7"/>
  <c r="D27" i="20" s="1"/>
  <c r="R28" i="7"/>
  <c r="E27" i="20" s="1"/>
  <c r="V66" i="4"/>
  <c r="P28" i="7"/>
  <c r="C27" i="20" s="1"/>
  <c r="T110" i="4"/>
  <c r="S28" i="7"/>
  <c r="F27" i="20" s="1"/>
  <c r="U110" i="4"/>
  <c r="T28" i="7"/>
  <c r="G27" i="20" s="1"/>
  <c r="R98" i="7"/>
  <c r="E77" i="20" s="1"/>
  <c r="T98" i="7"/>
  <c r="G77" i="20" s="1"/>
  <c r="S98" i="7"/>
  <c r="F77" i="20" s="1"/>
  <c r="Q98" i="7"/>
  <c r="D77" i="20" s="1"/>
  <c r="P98" i="7"/>
  <c r="C77" i="20" s="1"/>
  <c r="V65" i="4"/>
  <c r="V62" i="4"/>
  <c r="V61" i="4"/>
  <c r="G42" i="22" s="1"/>
  <c r="V64" i="4"/>
  <c r="V63" i="4"/>
  <c r="V60" i="4"/>
  <c r="V51" i="4"/>
  <c r="V53" i="4"/>
  <c r="V45" i="4"/>
  <c r="V33" i="4"/>
  <c r="V27" i="4"/>
  <c r="V39" i="4"/>
  <c r="V36" i="4"/>
  <c r="V55" i="4"/>
  <c r="V30" i="4"/>
  <c r="G36" i="22" s="1"/>
  <c r="V46" i="4"/>
  <c r="V43" i="4"/>
  <c r="G13" i="22" s="1"/>
  <c r="V32" i="4"/>
  <c r="V57" i="4"/>
  <c r="V54" i="4"/>
  <c r="V37" i="4"/>
  <c r="V34" i="4"/>
  <c r="G12" i="22" s="1"/>
  <c r="V42" i="4"/>
  <c r="V52" i="4"/>
  <c r="V41" i="4"/>
  <c r="V40" i="4"/>
  <c r="V38" i="4"/>
  <c r="V29" i="4"/>
  <c r="V26" i="4"/>
  <c r="V28" i="4"/>
  <c r="G35" i="22" s="1"/>
  <c r="V59" i="4"/>
  <c r="G41" i="22" s="1"/>
  <c r="V49" i="4"/>
  <c r="G37" i="22" s="1"/>
  <c r="V56" i="4"/>
  <c r="G40" i="22" s="1"/>
  <c r="V58" i="4"/>
  <c r="V50" i="4"/>
  <c r="G38" i="22" s="1"/>
  <c r="V48" i="4"/>
  <c r="G25" i="22" s="1"/>
  <c r="V47" i="4"/>
  <c r="G14" i="22" s="1"/>
  <c r="V25" i="4"/>
  <c r="V44" i="4"/>
  <c r="G24" i="22" s="1"/>
  <c r="R120" i="4"/>
  <c r="R122" i="4"/>
  <c r="S122" i="4"/>
  <c r="T120" i="4"/>
  <c r="U121" i="4"/>
  <c r="S121" i="4"/>
  <c r="U122" i="4"/>
  <c r="T122" i="4"/>
  <c r="U120" i="4"/>
  <c r="T121" i="4"/>
  <c r="Q121" i="4"/>
  <c r="Q122" i="4"/>
  <c r="Q112" i="4"/>
  <c r="Q112" i="5" s="1"/>
  <c r="T40" i="7"/>
  <c r="S40" i="7"/>
  <c r="E15" i="8"/>
  <c r="G13" i="8"/>
  <c r="F14" i="8"/>
  <c r="G14" i="8" s="1"/>
  <c r="H14" i="8" s="1"/>
  <c r="I14" i="8" s="1"/>
  <c r="O9" i="5"/>
  <c r="O93" i="4"/>
  <c r="O70" i="5"/>
  <c r="L93" i="4"/>
  <c r="L70" i="5"/>
  <c r="N93" i="4"/>
  <c r="N70" i="5"/>
  <c r="N128" i="4"/>
  <c r="N9" i="5"/>
  <c r="E117" i="4"/>
  <c r="E107" i="5"/>
  <c r="C14" i="8"/>
  <c r="J13" i="20" s="1"/>
  <c r="B112" i="20" s="1"/>
  <c r="B113" i="20" s="1"/>
  <c r="O128" i="4"/>
  <c r="O128" i="5" s="1"/>
  <c r="L9" i="5"/>
  <c r="Q8" i="1"/>
  <c r="AI8" i="17" s="1"/>
  <c r="U8" i="1"/>
  <c r="P8" i="1"/>
  <c r="AH8" i="17" s="1"/>
  <c r="V180" i="4" l="1"/>
  <c r="V175" i="4"/>
  <c r="V149" i="4"/>
  <c r="Y149" i="4" s="1"/>
  <c r="Y176" i="4"/>
  <c r="H77" i="20"/>
  <c r="V163" i="4"/>
  <c r="Y163" i="4" s="1"/>
  <c r="V147" i="4"/>
  <c r="Y147" i="4" s="1"/>
  <c r="V135" i="4"/>
  <c r="V178" i="4"/>
  <c r="Y178" i="4" s="1"/>
  <c r="D55" i="22"/>
  <c r="C81" i="20"/>
  <c r="V142" i="4"/>
  <c r="F15" i="8"/>
  <c r="C19" i="20"/>
  <c r="C13" i="20"/>
  <c r="B100" i="20" s="1"/>
  <c r="B102" i="20" s="1"/>
  <c r="G39" i="22"/>
  <c r="D56" i="22"/>
  <c r="D51" i="22"/>
  <c r="E51" i="22"/>
  <c r="G51" i="22"/>
  <c r="H51" i="22"/>
  <c r="F51" i="22"/>
  <c r="F56" i="22"/>
  <c r="G56" i="22"/>
  <c r="E56" i="22"/>
  <c r="H56" i="22"/>
  <c r="G6" i="22"/>
  <c r="V162" i="4"/>
  <c r="Y162" i="4" s="1"/>
  <c r="V145" i="4"/>
  <c r="Y145" i="4" s="1"/>
  <c r="Y170" i="4"/>
  <c r="Y165" i="4"/>
  <c r="V141" i="4"/>
  <c r="V166" i="4"/>
  <c r="Y166" i="4" s="1"/>
  <c r="V140" i="4"/>
  <c r="V143" i="4"/>
  <c r="V144" i="4"/>
  <c r="Y144" i="4" s="1"/>
  <c r="G11" i="22"/>
  <c r="G5" i="22"/>
  <c r="G7" i="22"/>
  <c r="Y146" i="4"/>
  <c r="B23" i="19"/>
  <c r="N128" i="5"/>
  <c r="R52" i="7"/>
  <c r="S52" i="7"/>
  <c r="T52" i="7"/>
  <c r="P52" i="7"/>
  <c r="Q52" i="7"/>
  <c r="Y155" i="4"/>
  <c r="Y161" i="4"/>
  <c r="Y180" i="4"/>
  <c r="Y151" i="4"/>
  <c r="Y160" i="4"/>
  <c r="Y148" i="4"/>
  <c r="Y177" i="4"/>
  <c r="Y172" i="4"/>
  <c r="Y157" i="4"/>
  <c r="Y171" i="4"/>
  <c r="Y179" i="4"/>
  <c r="Y164" i="4"/>
  <c r="Y152" i="4"/>
  <c r="Y156" i="4"/>
  <c r="Y175" i="4"/>
  <c r="Y158" i="4"/>
  <c r="Y173" i="4"/>
  <c r="F13" i="8"/>
  <c r="B14" i="8"/>
  <c r="L107" i="5"/>
  <c r="L93" i="5"/>
  <c r="L126" i="5" s="1"/>
  <c r="N93" i="5"/>
  <c r="N126" i="5" s="1"/>
  <c r="N107" i="4"/>
  <c r="N107" i="5" s="1"/>
  <c r="O107" i="4"/>
  <c r="O107" i="5" s="1"/>
  <c r="O93" i="5"/>
  <c r="O126" i="5" s="1"/>
  <c r="E126" i="4"/>
  <c r="E117" i="5"/>
  <c r="M11" i="4"/>
  <c r="M130" i="4" s="1"/>
  <c r="M130" i="5" s="1"/>
  <c r="M12" i="4"/>
  <c r="M131" i="4" s="1"/>
  <c r="M131" i="5" s="1"/>
  <c r="M9" i="4"/>
  <c r="L128" i="4"/>
  <c r="M10" i="4"/>
  <c r="M129" i="4" s="1"/>
  <c r="M129" i="5" s="1"/>
  <c r="G8" i="7"/>
  <c r="G10" i="7" s="1"/>
  <c r="F70" i="4"/>
  <c r="F107" i="4"/>
  <c r="B107" i="20" l="1"/>
  <c r="C112" i="20"/>
  <c r="C113" i="20" s="1"/>
  <c r="G15" i="8"/>
  <c r="D19" i="20"/>
  <c r="D13" i="20"/>
  <c r="C100" i="20" s="1"/>
  <c r="C102" i="20" s="1"/>
  <c r="G57" i="20"/>
  <c r="F57" i="20"/>
  <c r="G9" i="22"/>
  <c r="W128" i="4" a="1"/>
  <c r="W128" i="4" s="1"/>
  <c r="L128" i="5"/>
  <c r="AA18" i="1"/>
  <c r="E13" i="8"/>
  <c r="M111" i="4"/>
  <c r="M122" i="4"/>
  <c r="F70" i="5"/>
  <c r="F93" i="4"/>
  <c r="F93" i="5" s="1"/>
  <c r="F117" i="4"/>
  <c r="F107" i="5"/>
  <c r="E191" i="4"/>
  <c r="E126" i="5"/>
  <c r="M110" i="4"/>
  <c r="M121" i="4"/>
  <c r="M109" i="4"/>
  <c r="M120" i="4"/>
  <c r="M112" i="4"/>
  <c r="M113" i="4"/>
  <c r="M119" i="4"/>
  <c r="M198" i="4"/>
  <c r="M194" i="4"/>
  <c r="M197" i="4"/>
  <c r="M195" i="4"/>
  <c r="M201" i="4"/>
  <c r="M193" i="4"/>
  <c r="M204" i="4" s="1"/>
  <c r="M196" i="4"/>
  <c r="M128" i="4"/>
  <c r="M128" i="5" s="1"/>
  <c r="M200" i="4"/>
  <c r="M199" i="4"/>
  <c r="G48" i="7"/>
  <c r="G28" i="7"/>
  <c r="G36" i="7"/>
  <c r="G23" i="7"/>
  <c r="H8" i="7"/>
  <c r="H10" i="7" s="1"/>
  <c r="G61" i="7"/>
  <c r="G70" i="4"/>
  <c r="G107" i="4"/>
  <c r="C107" i="20" l="1"/>
  <c r="D112" i="20"/>
  <c r="H15" i="8"/>
  <c r="E19" i="20"/>
  <c r="E13" i="20"/>
  <c r="D100" i="20" s="1"/>
  <c r="D102" i="20" s="1"/>
  <c r="B78" i="16"/>
  <c r="W128" i="5"/>
  <c r="G80" i="7"/>
  <c r="C52" i="21"/>
  <c r="D13" i="8"/>
  <c r="V18" i="17"/>
  <c r="K18" i="17"/>
  <c r="N18" i="17"/>
  <c r="T18" i="17"/>
  <c r="O18" i="17"/>
  <c r="AE18" i="17" s="1"/>
  <c r="L18" i="17"/>
  <c r="W18" i="17"/>
  <c r="S18" i="17"/>
  <c r="U18" i="17"/>
  <c r="M18" i="17"/>
  <c r="AC18" i="17" s="1"/>
  <c r="G117" i="4"/>
  <c r="G107" i="5"/>
  <c r="G93" i="4"/>
  <c r="G93" i="5" s="1"/>
  <c r="G70" i="5"/>
  <c r="F126" i="4"/>
  <c r="F117" i="5"/>
  <c r="B102" i="16"/>
  <c r="H36" i="7"/>
  <c r="H23" i="7"/>
  <c r="H48" i="7"/>
  <c r="H61" i="7"/>
  <c r="I8" i="7"/>
  <c r="H28" i="7"/>
  <c r="H70" i="4"/>
  <c r="H107" i="4"/>
  <c r="D113" i="20" l="1"/>
  <c r="D107" i="20"/>
  <c r="E112" i="20"/>
  <c r="E113" i="20" s="1"/>
  <c r="I15" i="8"/>
  <c r="F19" i="20"/>
  <c r="F13" i="20"/>
  <c r="E100" i="20" s="1"/>
  <c r="E102" i="20" s="1"/>
  <c r="H80" i="7"/>
  <c r="D52" i="21"/>
  <c r="C13" i="8"/>
  <c r="AN18" i="17"/>
  <c r="AP18" i="17"/>
  <c r="AB18" i="17"/>
  <c r="AM18" i="17" s="1"/>
  <c r="AD18" i="17"/>
  <c r="AO18" i="17" s="1"/>
  <c r="P18" i="17"/>
  <c r="AA18" i="17"/>
  <c r="AL18" i="17" s="1"/>
  <c r="I23" i="7"/>
  <c r="F191" i="4"/>
  <c r="F126" i="5"/>
  <c r="H117" i="4"/>
  <c r="H107" i="5"/>
  <c r="H93" i="4"/>
  <c r="H93" i="5" s="1"/>
  <c r="H70" i="5"/>
  <c r="G126" i="4"/>
  <c r="G117" i="5"/>
  <c r="I10" i="7"/>
  <c r="I48" i="7"/>
  <c r="I61" i="7"/>
  <c r="I36" i="7"/>
  <c r="J8" i="7"/>
  <c r="J23" i="7" s="1"/>
  <c r="I28" i="7"/>
  <c r="I70" i="4"/>
  <c r="I107" i="4"/>
  <c r="P48" i="7"/>
  <c r="E107" i="20" l="1"/>
  <c r="F112" i="20"/>
  <c r="F113" i="20" s="1"/>
  <c r="G112" i="20"/>
  <c r="G113" i="20" s="1"/>
  <c r="G19" i="20"/>
  <c r="G13" i="20"/>
  <c r="L31" i="15"/>
  <c r="I80" i="7"/>
  <c r="E52" i="21"/>
  <c r="B13" i="8"/>
  <c r="Q18" i="4"/>
  <c r="B32" i="22" s="1"/>
  <c r="T18" i="4"/>
  <c r="E32" i="22" s="1"/>
  <c r="R18" i="4"/>
  <c r="C32" i="22" s="1"/>
  <c r="U18" i="4"/>
  <c r="F32" i="22" s="1"/>
  <c r="S18" i="4"/>
  <c r="D32" i="22" s="1"/>
  <c r="X18" i="17"/>
  <c r="AF18" i="17"/>
  <c r="AQ18" i="17"/>
  <c r="H70" i="7"/>
  <c r="G191" i="4"/>
  <c r="G126" i="5"/>
  <c r="H126" i="4"/>
  <c r="H117" i="5"/>
  <c r="I70" i="5"/>
  <c r="I93" i="4"/>
  <c r="I93" i="5" s="1"/>
  <c r="I117" i="4"/>
  <c r="I107" i="5"/>
  <c r="F70" i="7"/>
  <c r="G70" i="7"/>
  <c r="J70" i="7"/>
  <c r="J10" i="7"/>
  <c r="J61" i="7"/>
  <c r="J36" i="7"/>
  <c r="J48" i="7"/>
  <c r="J28" i="7"/>
  <c r="Q107" i="4"/>
  <c r="P10" i="7"/>
  <c r="P16" i="7"/>
  <c r="P36" i="7"/>
  <c r="P13" i="7"/>
  <c r="P19" i="7"/>
  <c r="H13" i="20" l="1"/>
  <c r="G100" i="20" s="1"/>
  <c r="G102" i="20" s="1"/>
  <c r="G107" i="20" s="1"/>
  <c r="F100" i="20"/>
  <c r="F102" i="20" s="1"/>
  <c r="F107" i="20" s="1"/>
  <c r="H19" i="20"/>
  <c r="S137" i="4"/>
  <c r="U137" i="4"/>
  <c r="R137" i="4"/>
  <c r="T137" i="4"/>
  <c r="Q137" i="4"/>
  <c r="J80" i="7"/>
  <c r="F52" i="21"/>
  <c r="I70" i="7"/>
  <c r="AS18" i="17"/>
  <c r="L24" i="15"/>
  <c r="Q117" i="4"/>
  <c r="Q107" i="5"/>
  <c r="I126" i="4"/>
  <c r="I117" i="5"/>
  <c r="H191" i="4"/>
  <c r="H126" i="5"/>
  <c r="Q48" i="7"/>
  <c r="R107" i="4"/>
  <c r="Q16" i="7"/>
  <c r="Q13" i="7"/>
  <c r="Q36" i="7"/>
  <c r="Q10" i="7"/>
  <c r="Q19" i="7"/>
  <c r="V137" i="4" l="1"/>
  <c r="R117" i="4"/>
  <c r="R107" i="5"/>
  <c r="Q126" i="4"/>
  <c r="Q117" i="5"/>
  <c r="I191" i="4"/>
  <c r="I126" i="5"/>
  <c r="R48" i="7"/>
  <c r="S107" i="4"/>
  <c r="R10" i="7"/>
  <c r="R36" i="7"/>
  <c r="R13" i="7"/>
  <c r="R16" i="7"/>
  <c r="R19" i="7"/>
  <c r="Q182" i="4" l="1"/>
  <c r="Q181" i="4"/>
  <c r="Q187" i="4"/>
  <c r="Q185" i="4"/>
  <c r="Q186" i="4"/>
  <c r="Q184" i="4"/>
  <c r="Q134" i="4"/>
  <c r="Q153" i="4"/>
  <c r="Q159" i="4"/>
  <c r="Q167" i="4"/>
  <c r="Q168" i="4"/>
  <c r="Q169" i="4"/>
  <c r="Q174" i="4"/>
  <c r="Q183" i="4"/>
  <c r="P50" i="7" s="1"/>
  <c r="S117" i="4"/>
  <c r="S107" i="5"/>
  <c r="R126" i="4"/>
  <c r="R117" i="5"/>
  <c r="Q191" i="4"/>
  <c r="Q126" i="5"/>
  <c r="I71" i="7"/>
  <c r="G71" i="7"/>
  <c r="H71" i="7"/>
  <c r="K70" i="7"/>
  <c r="K68" i="7"/>
  <c r="F71" i="7"/>
  <c r="S48" i="7"/>
  <c r="U107" i="4"/>
  <c r="T107" i="4"/>
  <c r="S19" i="7"/>
  <c r="S16" i="7"/>
  <c r="S36" i="7"/>
  <c r="S13" i="7"/>
  <c r="S10" i="7"/>
  <c r="R182" i="4" l="1"/>
  <c r="R181" i="4"/>
  <c r="R187" i="4"/>
  <c r="R185" i="4"/>
  <c r="R186" i="4"/>
  <c r="R184" i="4"/>
  <c r="R153" i="4"/>
  <c r="R159" i="4"/>
  <c r="R167" i="4"/>
  <c r="R168" i="4"/>
  <c r="R174" i="4"/>
  <c r="R183" i="4"/>
  <c r="Q50" i="7" s="1"/>
  <c r="R169" i="4"/>
  <c r="Q197" i="5"/>
  <c r="Q187" i="5"/>
  <c r="Q186" i="5"/>
  <c r="Q134" i="5"/>
  <c r="Q168" i="5"/>
  <c r="Q169" i="5"/>
  <c r="Q183" i="5"/>
  <c r="T117" i="4"/>
  <c r="T107" i="5"/>
  <c r="R191" i="4"/>
  <c r="R126" i="5"/>
  <c r="U117" i="4"/>
  <c r="U107" i="5"/>
  <c r="S126" i="4"/>
  <c r="S117" i="5"/>
  <c r="AA9" i="1"/>
  <c r="T48" i="7"/>
  <c r="T36" i="7"/>
  <c r="T19" i="7"/>
  <c r="T13" i="7"/>
  <c r="T10" i="7"/>
  <c r="T16" i="7"/>
  <c r="S182" i="4" l="1"/>
  <c r="S181" i="4"/>
  <c r="S187" i="4"/>
  <c r="S185" i="4"/>
  <c r="S186" i="4"/>
  <c r="S184" i="4"/>
  <c r="S134" i="4"/>
  <c r="S153" i="4"/>
  <c r="S159" i="4"/>
  <c r="S167" i="4"/>
  <c r="S169" i="4"/>
  <c r="S174" i="4"/>
  <c r="S183" i="4"/>
  <c r="R50" i="7" s="1"/>
  <c r="S168" i="4"/>
  <c r="R197" i="5"/>
  <c r="R187" i="5"/>
  <c r="R186" i="5"/>
  <c r="R168" i="5"/>
  <c r="R183" i="5"/>
  <c r="S191" i="4"/>
  <c r="S126" i="5"/>
  <c r="U126" i="4"/>
  <c r="U117" i="5"/>
  <c r="T126" i="4"/>
  <c r="T117" i="5"/>
  <c r="J71" i="7"/>
  <c r="K71" i="7" s="1"/>
  <c r="K69" i="7"/>
  <c r="U182" i="4" l="1"/>
  <c r="U181" i="4"/>
  <c r="T182" i="4"/>
  <c r="T181" i="4"/>
  <c r="S197" i="5"/>
  <c r="S187" i="5"/>
  <c r="S186" i="5"/>
  <c r="S134" i="5"/>
  <c r="S169" i="5"/>
  <c r="S183" i="5"/>
  <c r="T187" i="4"/>
  <c r="T185" i="4"/>
  <c r="T186" i="4"/>
  <c r="T184" i="4"/>
  <c r="T134" i="4"/>
  <c r="T153" i="4"/>
  <c r="T159" i="4"/>
  <c r="T167" i="4"/>
  <c r="T168" i="4"/>
  <c r="T169" i="4"/>
  <c r="T174" i="4"/>
  <c r="T183" i="4"/>
  <c r="S50" i="7" s="1"/>
  <c r="U186" i="4"/>
  <c r="U184" i="4"/>
  <c r="U187" i="4"/>
  <c r="U185" i="4"/>
  <c r="U134" i="4"/>
  <c r="U153" i="4"/>
  <c r="U159" i="4"/>
  <c r="U167" i="4"/>
  <c r="U168" i="4"/>
  <c r="U169" i="4"/>
  <c r="U174" i="4"/>
  <c r="U183" i="4"/>
  <c r="T50" i="7" s="1"/>
  <c r="O9" i="17"/>
  <c r="W9" i="17"/>
  <c r="V9" i="17"/>
  <c r="N9" i="17"/>
  <c r="U9" i="17"/>
  <c r="T9" i="17"/>
  <c r="M9" i="17"/>
  <c r="L9" i="17"/>
  <c r="S9" i="17"/>
  <c r="K9" i="17"/>
  <c r="U191" i="4"/>
  <c r="U126" i="5"/>
  <c r="T191" i="4"/>
  <c r="T126" i="5"/>
  <c r="V159" i="4" l="1"/>
  <c r="Y159" i="4" s="1"/>
  <c r="V182" i="4"/>
  <c r="Y182" i="4" s="1"/>
  <c r="V181" i="4"/>
  <c r="Y181" i="4" s="1"/>
  <c r="V186" i="4"/>
  <c r="Y186" i="4" s="1"/>
  <c r="V174" i="4"/>
  <c r="Y174" i="4" s="1"/>
  <c r="V167" i="4"/>
  <c r="Y167" i="4" s="1"/>
  <c r="V153" i="4"/>
  <c r="Y153" i="4" s="1"/>
  <c r="V185" i="4"/>
  <c r="Y185" i="4" s="1"/>
  <c r="V169" i="4"/>
  <c r="Y169" i="4" s="1"/>
  <c r="V168" i="4"/>
  <c r="Y168" i="4" s="1"/>
  <c r="V187" i="4"/>
  <c r="Y187" i="4" s="1"/>
  <c r="V183" i="4"/>
  <c r="Y183" i="4" s="1"/>
  <c r="V184" i="4"/>
  <c r="Y184" i="4" s="1"/>
  <c r="U197" i="5"/>
  <c r="U187" i="5"/>
  <c r="U186" i="5"/>
  <c r="U134" i="5"/>
  <c r="U168" i="5"/>
  <c r="U169" i="5"/>
  <c r="T197" i="5"/>
  <c r="T187" i="5"/>
  <c r="T186" i="5"/>
  <c r="T134" i="5"/>
  <c r="T168" i="5"/>
  <c r="T169" i="5"/>
  <c r="T183" i="5"/>
  <c r="AB9" i="17"/>
  <c r="AM9" i="17" s="1"/>
  <c r="R9" i="4" s="1"/>
  <c r="AD9" i="17"/>
  <c r="AO9" i="17" s="1"/>
  <c r="AC9" i="17"/>
  <c r="AN9" i="17" s="1"/>
  <c r="S9" i="4" s="1"/>
  <c r="AE9" i="17"/>
  <c r="AP9" i="17" s="1"/>
  <c r="P9" i="17"/>
  <c r="AA9" i="17"/>
  <c r="AL9" i="17" s="1"/>
  <c r="Q9" i="4" s="1"/>
  <c r="L16" i="15"/>
  <c r="B31" i="22" l="1"/>
  <c r="D31" i="22"/>
  <c r="C31" i="22"/>
  <c r="R128" i="4"/>
  <c r="S128" i="4"/>
  <c r="V187" i="5"/>
  <c r="X187" i="5" s="1"/>
  <c r="Q128" i="4"/>
  <c r="U9" i="4"/>
  <c r="T9" i="4"/>
  <c r="X9" i="17"/>
  <c r="AQ9" i="17"/>
  <c r="AF9" i="17"/>
  <c r="E31" i="22" l="1"/>
  <c r="F31" i="22"/>
  <c r="U128" i="4"/>
  <c r="T128" i="4"/>
  <c r="AS9" i="17"/>
  <c r="K82" i="7" l="1"/>
  <c r="K90" i="7"/>
  <c r="M13" i="4" l="1"/>
  <c r="M132" i="4" s="1"/>
  <c r="M132" i="5" s="1"/>
  <c r="M14" i="4" l="1"/>
  <c r="M133" i="4" s="1"/>
  <c r="M133" i="5" s="1"/>
  <c r="M15" i="4" l="1"/>
  <c r="M134" i="4" s="1"/>
  <c r="M134" i="5" s="1"/>
  <c r="M16" i="4" l="1"/>
  <c r="M135" i="4" s="1"/>
  <c r="M135" i="5" s="1"/>
  <c r="M17" i="4" l="1"/>
  <c r="M136" i="4" s="1"/>
  <c r="M136" i="5" s="1"/>
  <c r="M18" i="4"/>
  <c r="M137" i="4" s="1"/>
  <c r="M137" i="5" s="1"/>
  <c r="U26" i="7" l="1"/>
  <c r="H25" i="20" s="1"/>
  <c r="V120" i="4"/>
  <c r="Q120" i="5"/>
  <c r="V121" i="4"/>
  <c r="Q121" i="5"/>
  <c r="Q196" i="4" l="1"/>
  <c r="P40" i="7"/>
  <c r="AA14" i="1"/>
  <c r="C57" i="20" l="1"/>
  <c r="T196" i="4"/>
  <c r="Q202" i="5"/>
  <c r="R40" i="7"/>
  <c r="Q40" i="7"/>
  <c r="E57" i="20" l="1"/>
  <c r="D57" i="20"/>
  <c r="M14" i="17"/>
  <c r="U14" i="17"/>
  <c r="O14" i="17"/>
  <c r="L14" i="17"/>
  <c r="W14" i="17"/>
  <c r="S14" i="17"/>
  <c r="V14" i="17"/>
  <c r="N14" i="17"/>
  <c r="K14" i="17"/>
  <c r="T14" i="17"/>
  <c r="U40" i="7"/>
  <c r="V112" i="4"/>
  <c r="S196" i="4"/>
  <c r="R196" i="4"/>
  <c r="U196" i="4"/>
  <c r="U103" i="7"/>
  <c r="AA35" i="1"/>
  <c r="L35" i="17" l="1"/>
  <c r="U35" i="17"/>
  <c r="M35" i="17"/>
  <c r="AC35" i="17" s="1"/>
  <c r="T35" i="17"/>
  <c r="W35" i="17"/>
  <c r="O35" i="17"/>
  <c r="AE35" i="17" s="1"/>
  <c r="V35" i="17"/>
  <c r="N35" i="17"/>
  <c r="S35" i="17"/>
  <c r="K35" i="17"/>
  <c r="AB14" i="17"/>
  <c r="AM14" i="17" s="1"/>
  <c r="R14" i="4" s="1"/>
  <c r="AE14" i="17"/>
  <c r="AP14" i="17" s="1"/>
  <c r="AD14" i="17"/>
  <c r="AO14" i="17" s="1"/>
  <c r="AC14" i="17"/>
  <c r="AN14" i="17" s="1"/>
  <c r="S14" i="4" s="1"/>
  <c r="P14" i="17"/>
  <c r="AA14" i="17"/>
  <c r="AL14" i="17" s="1"/>
  <c r="Q14" i="4" s="1"/>
  <c r="V196" i="4"/>
  <c r="U52" i="7"/>
  <c r="C20" i="22" l="1"/>
  <c r="B20" i="22"/>
  <c r="D20" i="22"/>
  <c r="R133" i="4"/>
  <c r="S133" i="4"/>
  <c r="H57" i="20"/>
  <c r="W52" i="7"/>
  <c r="Q133" i="4"/>
  <c r="T14" i="4"/>
  <c r="U14" i="4"/>
  <c r="AP35" i="17"/>
  <c r="U35" i="4" s="1"/>
  <c r="U154" i="4" s="1"/>
  <c r="U31" i="4"/>
  <c r="U150" i="4" s="1"/>
  <c r="T51" i="7" s="1"/>
  <c r="AN35" i="17"/>
  <c r="X14" i="17"/>
  <c r="AD35" i="17"/>
  <c r="AO35" i="17" s="1"/>
  <c r="AB35" i="17"/>
  <c r="AM35" i="17" s="1"/>
  <c r="X35" i="17"/>
  <c r="P35" i="17"/>
  <c r="AA35" i="17"/>
  <c r="AL35" i="17" s="1"/>
  <c r="AQ14" i="17"/>
  <c r="AF14" i="17"/>
  <c r="E20" i="22" l="1"/>
  <c r="F20" i="22"/>
  <c r="U133" i="4"/>
  <c r="T49" i="7" s="1"/>
  <c r="U195" i="4"/>
  <c r="T133" i="4"/>
  <c r="T97" i="7"/>
  <c r="T102" i="7"/>
  <c r="T100" i="7"/>
  <c r="T101" i="7"/>
  <c r="G80" i="20" s="1"/>
  <c r="T39" i="7"/>
  <c r="U111" i="4"/>
  <c r="T31" i="4"/>
  <c r="T150" i="4" s="1"/>
  <c r="S51" i="7" s="1"/>
  <c r="T35" i="4"/>
  <c r="T154" i="4" s="1"/>
  <c r="Q31" i="4"/>
  <c r="Q35" i="4"/>
  <c r="R31" i="4"/>
  <c r="R35" i="4"/>
  <c r="U98" i="7"/>
  <c r="S31" i="4"/>
  <c r="S35" i="4"/>
  <c r="S154" i="4" s="1"/>
  <c r="R49" i="7" s="1"/>
  <c r="AS14" i="17"/>
  <c r="AF35" i="17"/>
  <c r="AQ35" i="17"/>
  <c r="H53" i="22" l="1"/>
  <c r="G79" i="20"/>
  <c r="H55" i="22"/>
  <c r="G81" i="20"/>
  <c r="G76" i="20"/>
  <c r="F16" i="22"/>
  <c r="H54" i="22"/>
  <c r="H50" i="22"/>
  <c r="S49" i="7"/>
  <c r="Q154" i="4"/>
  <c r="P49" i="7" s="1"/>
  <c r="Q102" i="7"/>
  <c r="R154" i="4"/>
  <c r="R111" i="4"/>
  <c r="R150" i="4"/>
  <c r="Q51" i="7" s="1"/>
  <c r="Q111" i="4"/>
  <c r="Q111" i="5" s="1"/>
  <c r="Q150" i="4"/>
  <c r="P51" i="7" s="1"/>
  <c r="T195" i="4"/>
  <c r="S111" i="4"/>
  <c r="S150" i="4"/>
  <c r="R51" i="7" s="1"/>
  <c r="C9" i="18"/>
  <c r="P97" i="7"/>
  <c r="S97" i="7"/>
  <c r="S102" i="7"/>
  <c r="R97" i="7"/>
  <c r="R102" i="7"/>
  <c r="Q101" i="7"/>
  <c r="D80" i="20" s="1"/>
  <c r="Q97" i="7"/>
  <c r="P100" i="7"/>
  <c r="P101" i="7"/>
  <c r="C80" i="20" s="1"/>
  <c r="S100" i="7"/>
  <c r="S101" i="7"/>
  <c r="F80" i="20" s="1"/>
  <c r="R100" i="7"/>
  <c r="R101" i="7"/>
  <c r="E80" i="20" s="1"/>
  <c r="Q100" i="7"/>
  <c r="G56" i="20"/>
  <c r="R39" i="7"/>
  <c r="P39" i="7"/>
  <c r="Q39" i="7"/>
  <c r="T111" i="4"/>
  <c r="S39" i="7"/>
  <c r="V31" i="4"/>
  <c r="V35" i="4"/>
  <c r="AS35" i="17"/>
  <c r="C76" i="20" l="1"/>
  <c r="B16" i="22"/>
  <c r="D53" i="22"/>
  <c r="C79" i="20"/>
  <c r="E53" i="22"/>
  <c r="D79" i="20"/>
  <c r="F53" i="22"/>
  <c r="E79" i="20"/>
  <c r="G53" i="22"/>
  <c r="F79" i="20"/>
  <c r="D76" i="20"/>
  <c r="C16" i="22"/>
  <c r="H80" i="20"/>
  <c r="F55" i="22"/>
  <c r="E81" i="20"/>
  <c r="E76" i="20"/>
  <c r="D16" i="22"/>
  <c r="G55" i="22"/>
  <c r="F81" i="20"/>
  <c r="F76" i="20"/>
  <c r="E16" i="22"/>
  <c r="E55" i="22"/>
  <c r="D81" i="20"/>
  <c r="D50" i="22"/>
  <c r="D54" i="22"/>
  <c r="V154" i="4"/>
  <c r="Y154" i="4" s="1"/>
  <c r="F54" i="22"/>
  <c r="G54" i="22"/>
  <c r="E50" i="22"/>
  <c r="E54" i="22"/>
  <c r="F50" i="22"/>
  <c r="G50" i="22"/>
  <c r="S195" i="4"/>
  <c r="E56" i="20"/>
  <c r="Q195" i="4"/>
  <c r="Q201" i="5" s="1"/>
  <c r="C56" i="20"/>
  <c r="R195" i="4"/>
  <c r="D56" i="20"/>
  <c r="V150" i="4"/>
  <c r="Y150" i="4" s="1"/>
  <c r="U102" i="7"/>
  <c r="M3" i="22" s="1"/>
  <c r="U100" i="7"/>
  <c r="K3" i="22" s="1"/>
  <c r="F56" i="20"/>
  <c r="V111" i="4"/>
  <c r="U39" i="7"/>
  <c r="H81" i="20" l="1"/>
  <c r="H76" i="20"/>
  <c r="H79" i="20"/>
  <c r="C11" i="18"/>
  <c r="V195" i="4"/>
  <c r="U51" i="7"/>
  <c r="H109" i="16"/>
  <c r="H108" i="16"/>
  <c r="H56" i="20" l="1"/>
  <c r="W51" i="7"/>
  <c r="H111" i="16"/>
  <c r="H110" i="16"/>
  <c r="K25" i="7"/>
  <c r="R198" i="4" l="1"/>
  <c r="Q198" i="4"/>
  <c r="J66" i="9"/>
  <c r="Q201" i="4"/>
  <c r="I66" i="9"/>
  <c r="R201" i="4"/>
  <c r="L66" i="9"/>
  <c r="K66" i="9"/>
  <c r="Q204" i="5" l="1"/>
  <c r="Q207" i="5"/>
  <c r="J13" i="8" l="1"/>
  <c r="P23" i="7" s="1"/>
  <c r="J14" i="8"/>
  <c r="K14" i="8" s="1"/>
  <c r="L14" i="8" s="1"/>
  <c r="M14" i="8" s="1"/>
  <c r="N14" i="8" s="1"/>
  <c r="J15" i="8"/>
  <c r="K15" i="8" s="1"/>
  <c r="L15" i="8" s="1"/>
  <c r="M15" i="8" s="1"/>
  <c r="N15" i="8" s="1"/>
  <c r="T23" i="7" l="1"/>
  <c r="R23" i="7"/>
  <c r="S23" i="7"/>
  <c r="Q23" i="7"/>
  <c r="Q65" i="5"/>
  <c r="Q184" i="5" s="1"/>
  <c r="Q66" i="5"/>
  <c r="Q185" i="5" s="1"/>
  <c r="Q62" i="5"/>
  <c r="Q181" i="5" s="1"/>
  <c r="Q64" i="5"/>
  <c r="Q61" i="5"/>
  <c r="Q180" i="5" s="1"/>
  <c r="Q63" i="5"/>
  <c r="Q182" i="5" s="1"/>
  <c r="Q34" i="5"/>
  <c r="Q153" i="5" s="1"/>
  <c r="Q38" i="5"/>
  <c r="Q157" i="5" s="1"/>
  <c r="Q29" i="5"/>
  <c r="Q148" i="5" s="1"/>
  <c r="Q44" i="5"/>
  <c r="Q163" i="5" s="1"/>
  <c r="Q54" i="5"/>
  <c r="Q173" i="5" s="1"/>
  <c r="Q23" i="5"/>
  <c r="Q142" i="5" s="1"/>
  <c r="Q21" i="5"/>
  <c r="Q140" i="5" s="1"/>
  <c r="Q11" i="5"/>
  <c r="Q130" i="5" s="1"/>
  <c r="Q22" i="5"/>
  <c r="Q141" i="5" s="1"/>
  <c r="Q37" i="5"/>
  <c r="Q43" i="5"/>
  <c r="Q162" i="5" s="1"/>
  <c r="Q35" i="5"/>
  <c r="Q154" i="5" s="1"/>
  <c r="Q39" i="5"/>
  <c r="Q158" i="5" s="1"/>
  <c r="Q55" i="5"/>
  <c r="Q174" i="5" s="1"/>
  <c r="Q10" i="5"/>
  <c r="Q129" i="5" s="1"/>
  <c r="Q50" i="5"/>
  <c r="Q16" i="5"/>
  <c r="Q135" i="5" s="1"/>
  <c r="Q52" i="5"/>
  <c r="Q171" i="5" s="1"/>
  <c r="Q51" i="5"/>
  <c r="Q170" i="5" s="1"/>
  <c r="Q53" i="5"/>
  <c r="Q172" i="5" s="1"/>
  <c r="Q20" i="5"/>
  <c r="Q139" i="5" s="1"/>
  <c r="Q42" i="5"/>
  <c r="Q161" i="5" s="1"/>
  <c r="Q26" i="5"/>
  <c r="Q145" i="5" s="1"/>
  <c r="Q12" i="5"/>
  <c r="Q131" i="5" s="1"/>
  <c r="Q48" i="5"/>
  <c r="Q167" i="5" s="1"/>
  <c r="Q59" i="5"/>
  <c r="Q178" i="5" s="1"/>
  <c r="Q17" i="5"/>
  <c r="Q136" i="5" s="1"/>
  <c r="Q57" i="5"/>
  <c r="Q176" i="5" s="1"/>
  <c r="Q28" i="5"/>
  <c r="Q147" i="5" s="1"/>
  <c r="Q36" i="5"/>
  <c r="Q155" i="5" s="1"/>
  <c r="Q30" i="5"/>
  <c r="Q149" i="5" s="1"/>
  <c r="Q41" i="5"/>
  <c r="Q160" i="5" s="1"/>
  <c r="Q49" i="5"/>
  <c r="Q47" i="5"/>
  <c r="Q166" i="5" s="1"/>
  <c r="Q27" i="5"/>
  <c r="Q146" i="5" s="1"/>
  <c r="Q13" i="5"/>
  <c r="Q132" i="5" s="1"/>
  <c r="Q40" i="5"/>
  <c r="Q159" i="5" s="1"/>
  <c r="Q25" i="5"/>
  <c r="Q144" i="5" s="1"/>
  <c r="Q33" i="5"/>
  <c r="Q152" i="5" s="1"/>
  <c r="Q24" i="5"/>
  <c r="Q143" i="5" s="1"/>
  <c r="Q18" i="5"/>
  <c r="Q137" i="5" s="1"/>
  <c r="Q58" i="5"/>
  <c r="Q177" i="5" s="1"/>
  <c r="Q56" i="5"/>
  <c r="Q175" i="5" s="1"/>
  <c r="Q60" i="5"/>
  <c r="Q179" i="5" s="1"/>
  <c r="Q45" i="5"/>
  <c r="Q164" i="5" s="1"/>
  <c r="Q46" i="5"/>
  <c r="Q165" i="5" s="1"/>
  <c r="Q32" i="5"/>
  <c r="Q151" i="5" s="1"/>
  <c r="Q14" i="5"/>
  <c r="Q133" i="5" s="1"/>
  <c r="Q9" i="5"/>
  <c r="Q31" i="5"/>
  <c r="Q150" i="5" s="1"/>
  <c r="I18" i="9"/>
  <c r="H18" i="9"/>
  <c r="G18" i="9"/>
  <c r="R202" i="5"/>
  <c r="K18" i="9"/>
  <c r="R201" i="5"/>
  <c r="R204" i="5"/>
  <c r="K13" i="8"/>
  <c r="R207" i="5"/>
  <c r="R111" i="5"/>
  <c r="R112" i="5"/>
  <c r="R120" i="5"/>
  <c r="R121" i="5"/>
  <c r="J18" i="9"/>
  <c r="Q156" i="5" l="1"/>
  <c r="H11" i="19"/>
  <c r="U23" i="7"/>
  <c r="C71" i="20"/>
  <c r="R66" i="5"/>
  <c r="R65" i="5"/>
  <c r="R184" i="5" s="1"/>
  <c r="R61" i="5"/>
  <c r="R180" i="5" s="1"/>
  <c r="R62" i="5"/>
  <c r="R181" i="5" s="1"/>
  <c r="R64" i="5"/>
  <c r="R63" i="5"/>
  <c r="R182" i="5" s="1"/>
  <c r="R11" i="5"/>
  <c r="R130" i="5" s="1"/>
  <c r="R39" i="5"/>
  <c r="R158" i="5" s="1"/>
  <c r="R17" i="5"/>
  <c r="R136" i="5" s="1"/>
  <c r="R60" i="5"/>
  <c r="R179" i="5" s="1"/>
  <c r="R46" i="5"/>
  <c r="R165" i="5" s="1"/>
  <c r="R54" i="5"/>
  <c r="R173" i="5" s="1"/>
  <c r="R51" i="5"/>
  <c r="R170" i="5" s="1"/>
  <c r="R42" i="5"/>
  <c r="R161" i="5" s="1"/>
  <c r="R48" i="5"/>
  <c r="R167" i="5" s="1"/>
  <c r="R23" i="5"/>
  <c r="R142" i="5" s="1"/>
  <c r="R21" i="5"/>
  <c r="R140" i="5" s="1"/>
  <c r="R52" i="5"/>
  <c r="R171" i="5" s="1"/>
  <c r="R44" i="5"/>
  <c r="R163" i="5" s="1"/>
  <c r="R45" i="5"/>
  <c r="R164" i="5" s="1"/>
  <c r="R32" i="5"/>
  <c r="R151" i="5" s="1"/>
  <c r="R34" i="5"/>
  <c r="R153" i="5" s="1"/>
  <c r="R20" i="5"/>
  <c r="R139" i="5" s="1"/>
  <c r="R16" i="5"/>
  <c r="R135" i="5" s="1"/>
  <c r="R28" i="5"/>
  <c r="R147" i="5" s="1"/>
  <c r="R59" i="5"/>
  <c r="R178" i="5" s="1"/>
  <c r="R10" i="5"/>
  <c r="R129" i="5" s="1"/>
  <c r="R27" i="5"/>
  <c r="R146" i="5" s="1"/>
  <c r="R41" i="5"/>
  <c r="R160" i="5" s="1"/>
  <c r="R22" i="5"/>
  <c r="R141" i="5" s="1"/>
  <c r="R38" i="5"/>
  <c r="R157" i="5" s="1"/>
  <c r="R26" i="5"/>
  <c r="R145" i="5" s="1"/>
  <c r="R50" i="5"/>
  <c r="R169" i="5" s="1"/>
  <c r="R40" i="5"/>
  <c r="R159" i="5" s="1"/>
  <c r="R55" i="5"/>
  <c r="R174" i="5" s="1"/>
  <c r="R57" i="5"/>
  <c r="R176" i="5" s="1"/>
  <c r="R35" i="5"/>
  <c r="R154" i="5" s="1"/>
  <c r="R25" i="5"/>
  <c r="R144" i="5" s="1"/>
  <c r="R43" i="5"/>
  <c r="R162" i="5" s="1"/>
  <c r="R37" i="5"/>
  <c r="R156" i="5" s="1"/>
  <c r="R18" i="5"/>
  <c r="R137" i="5" s="1"/>
  <c r="R24" i="5"/>
  <c r="R143" i="5" s="1"/>
  <c r="R47" i="5"/>
  <c r="R166" i="5" s="1"/>
  <c r="R12" i="5"/>
  <c r="R131" i="5" s="1"/>
  <c r="R49" i="5"/>
  <c r="R13" i="5"/>
  <c r="R132" i="5" s="1"/>
  <c r="R56" i="5"/>
  <c r="R175" i="5" s="1"/>
  <c r="R58" i="5"/>
  <c r="R177" i="5" s="1"/>
  <c r="R30" i="5"/>
  <c r="R149" i="5" s="1"/>
  <c r="R33" i="5"/>
  <c r="R152" i="5" s="1"/>
  <c r="R53" i="5"/>
  <c r="R172" i="5" s="1"/>
  <c r="R29" i="5"/>
  <c r="R148" i="5" s="1"/>
  <c r="R36" i="5"/>
  <c r="R155" i="5" s="1"/>
  <c r="R14" i="5"/>
  <c r="R133" i="5" s="1"/>
  <c r="R9" i="5"/>
  <c r="R128" i="5" s="1"/>
  <c r="R31" i="5"/>
  <c r="R150" i="5" s="1"/>
  <c r="Q199" i="4"/>
  <c r="V11" i="4"/>
  <c r="R199" i="4"/>
  <c r="V17" i="4"/>
  <c r="Y136" i="4" s="1"/>
  <c r="V24" i="4"/>
  <c r="Y143" i="4" s="1"/>
  <c r="S122" i="5"/>
  <c r="U194" i="4"/>
  <c r="Q194" i="4"/>
  <c r="Q188" i="4"/>
  <c r="V130" i="4"/>
  <c r="V10" i="4"/>
  <c r="V132" i="4"/>
  <c r="H66" i="9"/>
  <c r="V16" i="4"/>
  <c r="G22" i="22" s="1"/>
  <c r="R122" i="5"/>
  <c r="S110" i="5"/>
  <c r="R38" i="7"/>
  <c r="S201" i="5"/>
  <c r="S202" i="5"/>
  <c r="S120" i="5"/>
  <c r="L13" i="8"/>
  <c r="S111" i="5"/>
  <c r="S121" i="5"/>
  <c r="S112" i="5"/>
  <c r="T194" i="4"/>
  <c r="Q200" i="4"/>
  <c r="V20" i="4"/>
  <c r="Y139" i="4" s="1"/>
  <c r="V13" i="4"/>
  <c r="R200" i="4"/>
  <c r="Q193" i="4"/>
  <c r="V23" i="4"/>
  <c r="G34" i="22" s="1"/>
  <c r="V21" i="4"/>
  <c r="G4" i="22" s="1"/>
  <c r="G15" i="22" s="1"/>
  <c r="S194" i="4"/>
  <c r="V18" i="4"/>
  <c r="G32" i="22" s="1"/>
  <c r="V12" i="4"/>
  <c r="V22" i="4"/>
  <c r="Y141" i="4" s="1"/>
  <c r="R194" i="4"/>
  <c r="Q38" i="7"/>
  <c r="R110" i="5"/>
  <c r="Y137" i="4" l="1"/>
  <c r="Y142" i="4"/>
  <c r="Y135" i="4"/>
  <c r="R185" i="5"/>
  <c r="Y132" i="4"/>
  <c r="Y140" i="4"/>
  <c r="Y130" i="4"/>
  <c r="D71" i="20"/>
  <c r="S65" i="5"/>
  <c r="S184" i="5" s="1"/>
  <c r="S66" i="5"/>
  <c r="T122" i="5"/>
  <c r="S62" i="5"/>
  <c r="S181" i="5" s="1"/>
  <c r="S63" i="5"/>
  <c r="S182" i="5" s="1"/>
  <c r="S61" i="5"/>
  <c r="S180" i="5" s="1"/>
  <c r="S64" i="5"/>
  <c r="S26" i="5"/>
  <c r="S145" i="5" s="1"/>
  <c r="S24" i="5"/>
  <c r="S143" i="5" s="1"/>
  <c r="S38" i="5"/>
  <c r="S157" i="5" s="1"/>
  <c r="S47" i="5"/>
  <c r="S166" i="5" s="1"/>
  <c r="S16" i="5"/>
  <c r="S135" i="5" s="1"/>
  <c r="S53" i="5"/>
  <c r="S172" i="5" s="1"/>
  <c r="S44" i="5"/>
  <c r="S163" i="5" s="1"/>
  <c r="S35" i="5"/>
  <c r="S154" i="5" s="1"/>
  <c r="S17" i="5"/>
  <c r="S136" i="5" s="1"/>
  <c r="S57" i="5"/>
  <c r="S176" i="5" s="1"/>
  <c r="S51" i="5"/>
  <c r="S170" i="5" s="1"/>
  <c r="S42" i="5"/>
  <c r="S161" i="5" s="1"/>
  <c r="S55" i="5"/>
  <c r="S174" i="5" s="1"/>
  <c r="S13" i="5"/>
  <c r="S132" i="5" s="1"/>
  <c r="S28" i="5"/>
  <c r="S147" i="5" s="1"/>
  <c r="S59" i="5"/>
  <c r="S178" i="5" s="1"/>
  <c r="S33" i="5"/>
  <c r="S152" i="5" s="1"/>
  <c r="S50" i="5"/>
  <c r="S32" i="5"/>
  <c r="S151" i="5" s="1"/>
  <c r="S34" i="5"/>
  <c r="S153" i="5" s="1"/>
  <c r="S18" i="5"/>
  <c r="S137" i="5" s="1"/>
  <c r="S60" i="5"/>
  <c r="S179" i="5" s="1"/>
  <c r="S49" i="5"/>
  <c r="S168" i="5" s="1"/>
  <c r="S52" i="5"/>
  <c r="S171" i="5" s="1"/>
  <c r="S25" i="5"/>
  <c r="S144" i="5" s="1"/>
  <c r="S10" i="5"/>
  <c r="S129" i="5" s="1"/>
  <c r="S12" i="5"/>
  <c r="S131" i="5" s="1"/>
  <c r="S54" i="5"/>
  <c r="S173" i="5" s="1"/>
  <c r="S58" i="5"/>
  <c r="S177" i="5" s="1"/>
  <c r="S20" i="5"/>
  <c r="S139" i="5" s="1"/>
  <c r="S48" i="5"/>
  <c r="S167" i="5" s="1"/>
  <c r="S27" i="5"/>
  <c r="S146" i="5" s="1"/>
  <c r="S11" i="5"/>
  <c r="S130" i="5" s="1"/>
  <c r="S37" i="5"/>
  <c r="S156" i="5" s="1"/>
  <c r="S36" i="5"/>
  <c r="S155" i="5" s="1"/>
  <c r="S23" i="5"/>
  <c r="S142" i="5" s="1"/>
  <c r="S46" i="5"/>
  <c r="S165" i="5" s="1"/>
  <c r="S56" i="5"/>
  <c r="S175" i="5" s="1"/>
  <c r="S22" i="5"/>
  <c r="S141" i="5" s="1"/>
  <c r="S45" i="5"/>
  <c r="S164" i="5" s="1"/>
  <c r="S21" i="5"/>
  <c r="S140" i="5" s="1"/>
  <c r="S39" i="5"/>
  <c r="S158" i="5" s="1"/>
  <c r="S41" i="5"/>
  <c r="S160" i="5" s="1"/>
  <c r="S29" i="5"/>
  <c r="S148" i="5" s="1"/>
  <c r="S43" i="5"/>
  <c r="S162" i="5" s="1"/>
  <c r="S30" i="5"/>
  <c r="S149" i="5" s="1"/>
  <c r="S40" i="5"/>
  <c r="S159" i="5" s="1"/>
  <c r="S14" i="5"/>
  <c r="S133" i="5" s="1"/>
  <c r="S9" i="5"/>
  <c r="S128" i="5" s="1"/>
  <c r="S31" i="5"/>
  <c r="S150" i="5" s="1"/>
  <c r="T110" i="5"/>
  <c r="Q199" i="5"/>
  <c r="T200" i="5"/>
  <c r="T112" i="5"/>
  <c r="T120" i="5"/>
  <c r="T201" i="5"/>
  <c r="M13" i="8"/>
  <c r="T121" i="5"/>
  <c r="T202" i="5"/>
  <c r="T111" i="5"/>
  <c r="Q205" i="5"/>
  <c r="R200" i="5"/>
  <c r="Q122" i="5"/>
  <c r="V122" i="4"/>
  <c r="R206" i="5"/>
  <c r="Q206" i="5"/>
  <c r="V110" i="4"/>
  <c r="U28" i="7"/>
  <c r="H27" i="20" s="1"/>
  <c r="S200" i="5"/>
  <c r="U38" i="7"/>
  <c r="V194" i="4"/>
  <c r="Q200" i="5"/>
  <c r="R205" i="5"/>
  <c r="H3" i="22" l="1"/>
  <c r="S185" i="5"/>
  <c r="E71" i="20"/>
  <c r="C55" i="20"/>
  <c r="D55" i="20"/>
  <c r="E55" i="20"/>
  <c r="G55" i="20"/>
  <c r="F55" i="20"/>
  <c r="T66" i="5"/>
  <c r="T185" i="5" s="1"/>
  <c r="T65" i="5"/>
  <c r="T184" i="5" s="1"/>
  <c r="U122" i="5"/>
  <c r="V122" i="5" s="1"/>
  <c r="T62" i="5"/>
  <c r="T181" i="5" s="1"/>
  <c r="T61" i="5"/>
  <c r="T180" i="5" s="1"/>
  <c r="T64" i="5"/>
  <c r="T63" i="5"/>
  <c r="T182" i="5" s="1"/>
  <c r="T27" i="5"/>
  <c r="T146" i="5" s="1"/>
  <c r="T60" i="5"/>
  <c r="T179" i="5" s="1"/>
  <c r="T29" i="5"/>
  <c r="T148" i="5" s="1"/>
  <c r="T16" i="5"/>
  <c r="T135" i="5" s="1"/>
  <c r="T33" i="5"/>
  <c r="T152" i="5" s="1"/>
  <c r="T55" i="5"/>
  <c r="T174" i="5" s="1"/>
  <c r="T26" i="5"/>
  <c r="T145" i="5" s="1"/>
  <c r="T59" i="5"/>
  <c r="T178" i="5" s="1"/>
  <c r="T37" i="5"/>
  <c r="T156" i="5" s="1"/>
  <c r="T30" i="5"/>
  <c r="T149" i="5" s="1"/>
  <c r="T53" i="5"/>
  <c r="T172" i="5" s="1"/>
  <c r="T24" i="5"/>
  <c r="T143" i="5" s="1"/>
  <c r="T57" i="5"/>
  <c r="T176" i="5" s="1"/>
  <c r="T58" i="5"/>
  <c r="T177" i="5" s="1"/>
  <c r="T45" i="5"/>
  <c r="T164" i="5" s="1"/>
  <c r="T47" i="5"/>
  <c r="T166" i="5" s="1"/>
  <c r="T49" i="5"/>
  <c r="T39" i="5"/>
  <c r="T158" i="5" s="1"/>
  <c r="T50" i="5"/>
  <c r="T35" i="5"/>
  <c r="T154" i="5" s="1"/>
  <c r="T42" i="5"/>
  <c r="T161" i="5" s="1"/>
  <c r="T22" i="5"/>
  <c r="T141" i="5" s="1"/>
  <c r="T43" i="5"/>
  <c r="T162" i="5" s="1"/>
  <c r="T44" i="5"/>
  <c r="T163" i="5" s="1"/>
  <c r="T46" i="5"/>
  <c r="T165" i="5" s="1"/>
  <c r="T48" i="5"/>
  <c r="T167" i="5" s="1"/>
  <c r="T18" i="5"/>
  <c r="T137" i="5" s="1"/>
  <c r="T21" i="5"/>
  <c r="T140" i="5" s="1"/>
  <c r="T10" i="5"/>
  <c r="T129" i="5" s="1"/>
  <c r="T25" i="5"/>
  <c r="T144" i="5" s="1"/>
  <c r="T32" i="5"/>
  <c r="T151" i="5" s="1"/>
  <c r="T17" i="5"/>
  <c r="T136" i="5" s="1"/>
  <c r="T51" i="5"/>
  <c r="T170" i="5" s="1"/>
  <c r="T12" i="5"/>
  <c r="T131" i="5" s="1"/>
  <c r="T23" i="5"/>
  <c r="T142" i="5" s="1"/>
  <c r="T56" i="5"/>
  <c r="T175" i="5" s="1"/>
  <c r="T28" i="5"/>
  <c r="T147" i="5" s="1"/>
  <c r="T13" i="5"/>
  <c r="T132" i="5" s="1"/>
  <c r="T41" i="5"/>
  <c r="T160" i="5" s="1"/>
  <c r="T36" i="5"/>
  <c r="T155" i="5" s="1"/>
  <c r="T52" i="5"/>
  <c r="T171" i="5" s="1"/>
  <c r="T40" i="5"/>
  <c r="T159" i="5" s="1"/>
  <c r="T34" i="5"/>
  <c r="T153" i="5" s="1"/>
  <c r="T11" i="5"/>
  <c r="T130" i="5" s="1"/>
  <c r="T20" i="5"/>
  <c r="T139" i="5" s="1"/>
  <c r="T38" i="5"/>
  <c r="T157" i="5" s="1"/>
  <c r="T54" i="5"/>
  <c r="T173" i="5" s="1"/>
  <c r="T14" i="5"/>
  <c r="T133" i="5" s="1"/>
  <c r="T9" i="5"/>
  <c r="T128" i="5" s="1"/>
  <c r="T31" i="5"/>
  <c r="T150" i="5" s="1"/>
  <c r="U101" i="7"/>
  <c r="L3" i="22" s="1"/>
  <c r="U200" i="5"/>
  <c r="V200" i="5" s="1"/>
  <c r="U110" i="5"/>
  <c r="V110" i="5" s="1"/>
  <c r="U202" i="5"/>
  <c r="V202" i="5" s="1"/>
  <c r="U121" i="5"/>
  <c r="V121" i="5" s="1"/>
  <c r="U120" i="5"/>
  <c r="V120" i="5" s="1"/>
  <c r="N13" i="8"/>
  <c r="U201" i="5"/>
  <c r="V201" i="5" s="1"/>
  <c r="U112" i="5"/>
  <c r="V112" i="5" s="1"/>
  <c r="U111" i="5"/>
  <c r="V111" i="5" s="1"/>
  <c r="U50" i="7"/>
  <c r="W50" i="7" s="1"/>
  <c r="F71" i="20" l="1"/>
  <c r="C12" i="18"/>
  <c r="H55" i="20"/>
  <c r="U65" i="5"/>
  <c r="U66" i="5"/>
  <c r="U185" i="5" s="1"/>
  <c r="U62" i="5"/>
  <c r="U181" i="5" s="1"/>
  <c r="U64" i="5"/>
  <c r="U183" i="5" s="1"/>
  <c r="U63" i="5"/>
  <c r="U182" i="5" s="1"/>
  <c r="U61" i="5"/>
  <c r="U180" i="5" s="1"/>
  <c r="U22" i="5"/>
  <c r="U141" i="5" s="1"/>
  <c r="U45" i="5"/>
  <c r="U164" i="5" s="1"/>
  <c r="U51" i="5"/>
  <c r="U170" i="5" s="1"/>
  <c r="U57" i="5"/>
  <c r="U176" i="5" s="1"/>
  <c r="U27" i="5"/>
  <c r="U146" i="5" s="1"/>
  <c r="U33" i="5"/>
  <c r="U152" i="5" s="1"/>
  <c r="U50" i="5"/>
  <c r="U58" i="5"/>
  <c r="U177" i="5" s="1"/>
  <c r="U37" i="5"/>
  <c r="U156" i="5" s="1"/>
  <c r="U55" i="5"/>
  <c r="U174" i="5" s="1"/>
  <c r="U32" i="5"/>
  <c r="U151" i="5" s="1"/>
  <c r="U46" i="5"/>
  <c r="U165" i="5" s="1"/>
  <c r="U36" i="5"/>
  <c r="U155" i="5" s="1"/>
  <c r="U13" i="5"/>
  <c r="U16" i="5"/>
  <c r="U21" i="5"/>
  <c r="U140" i="5" s="1"/>
  <c r="U20" i="5"/>
  <c r="U139" i="5" s="1"/>
  <c r="U34" i="5"/>
  <c r="U153" i="5" s="1"/>
  <c r="U48" i="5"/>
  <c r="U167" i="5" s="1"/>
  <c r="U43" i="5"/>
  <c r="U162" i="5" s="1"/>
  <c r="U12" i="5"/>
  <c r="U23" i="5"/>
  <c r="U142" i="5" s="1"/>
  <c r="U28" i="5"/>
  <c r="U147" i="5" s="1"/>
  <c r="U60" i="5"/>
  <c r="U179" i="5" s="1"/>
  <c r="U59" i="5"/>
  <c r="U178" i="5" s="1"/>
  <c r="U47" i="5"/>
  <c r="U166" i="5" s="1"/>
  <c r="U25" i="5"/>
  <c r="U144" i="5" s="1"/>
  <c r="U24" i="5"/>
  <c r="U143" i="5" s="1"/>
  <c r="U44" i="5"/>
  <c r="U163" i="5" s="1"/>
  <c r="U29" i="5"/>
  <c r="U148" i="5" s="1"/>
  <c r="U18" i="5"/>
  <c r="U39" i="5"/>
  <c r="U158" i="5" s="1"/>
  <c r="U35" i="5"/>
  <c r="U154" i="5" s="1"/>
  <c r="U53" i="5"/>
  <c r="U172" i="5" s="1"/>
  <c r="U17" i="5"/>
  <c r="U49" i="5"/>
  <c r="U54" i="5"/>
  <c r="U173" i="5" s="1"/>
  <c r="U41" i="5"/>
  <c r="U160" i="5" s="1"/>
  <c r="U26" i="5"/>
  <c r="U145" i="5" s="1"/>
  <c r="U40" i="5"/>
  <c r="U159" i="5" s="1"/>
  <c r="U42" i="5"/>
  <c r="U161" i="5" s="1"/>
  <c r="U30" i="5"/>
  <c r="U149" i="5" s="1"/>
  <c r="U52" i="5"/>
  <c r="U171" i="5" s="1"/>
  <c r="U10" i="5"/>
  <c r="U56" i="5"/>
  <c r="U175" i="5" s="1"/>
  <c r="U11" i="5"/>
  <c r="U38" i="5"/>
  <c r="U157" i="5" s="1"/>
  <c r="U14" i="5"/>
  <c r="U9" i="5"/>
  <c r="U128" i="5" s="1"/>
  <c r="U31" i="5"/>
  <c r="U150" i="5" s="1"/>
  <c r="S198" i="4"/>
  <c r="S201" i="4"/>
  <c r="S199" i="4"/>
  <c r="S200" i="4"/>
  <c r="V185" i="5" l="1"/>
  <c r="U184" i="5"/>
  <c r="V184" i="5" s="1"/>
  <c r="V14" i="5"/>
  <c r="U133" i="5"/>
  <c r="V17" i="5"/>
  <c r="U136" i="5"/>
  <c r="V11" i="5"/>
  <c r="U130" i="5"/>
  <c r="V12" i="5"/>
  <c r="U131" i="5"/>
  <c r="V10" i="5"/>
  <c r="U129" i="5"/>
  <c r="V18" i="5"/>
  <c r="U137" i="5"/>
  <c r="V137" i="5" s="1"/>
  <c r="V16" i="5"/>
  <c r="U135" i="5"/>
  <c r="V13" i="5"/>
  <c r="U132" i="5"/>
  <c r="V22" i="5"/>
  <c r="V142" i="5"/>
  <c r="V31" i="5"/>
  <c r="V151" i="5"/>
  <c r="V59" i="5"/>
  <c r="V179" i="5"/>
  <c r="V61" i="5"/>
  <c r="V181" i="5"/>
  <c r="V23" i="5"/>
  <c r="V143" i="5"/>
  <c r="V55" i="5"/>
  <c r="V175" i="5"/>
  <c r="V64" i="5"/>
  <c r="V41" i="5"/>
  <c r="V161" i="5"/>
  <c r="V54" i="5"/>
  <c r="V174" i="5"/>
  <c r="X174" i="5" s="1"/>
  <c r="V60" i="5"/>
  <c r="V180" i="5"/>
  <c r="X180" i="5" s="1"/>
  <c r="V32" i="5"/>
  <c r="V152" i="5"/>
  <c r="V35" i="5"/>
  <c r="V155" i="5"/>
  <c r="V37" i="5"/>
  <c r="V157" i="5"/>
  <c r="V62" i="5"/>
  <c r="V182" i="5"/>
  <c r="V45" i="5"/>
  <c r="V165" i="5"/>
  <c r="V46" i="5"/>
  <c r="V166" i="5"/>
  <c r="V63" i="5"/>
  <c r="V183" i="5"/>
  <c r="V39" i="5"/>
  <c r="V159" i="5"/>
  <c r="V43" i="5"/>
  <c r="V163" i="5"/>
  <c r="V58" i="5"/>
  <c r="V178" i="5"/>
  <c r="V36" i="5"/>
  <c r="V156" i="5"/>
  <c r="V38" i="5"/>
  <c r="V158" i="5"/>
  <c r="V50" i="5"/>
  <c r="V170" i="5"/>
  <c r="V29" i="5"/>
  <c r="V149" i="5"/>
  <c r="V33" i="5"/>
  <c r="V153" i="5"/>
  <c r="V30" i="5"/>
  <c r="V150" i="5"/>
  <c r="V42" i="5"/>
  <c r="V162" i="5"/>
  <c r="V44" i="5"/>
  <c r="V164" i="5"/>
  <c r="V20" i="5"/>
  <c r="V140" i="5"/>
  <c r="V27" i="5"/>
  <c r="V147" i="5"/>
  <c r="V53" i="5"/>
  <c r="V173" i="5"/>
  <c r="V48" i="5"/>
  <c r="V168" i="5"/>
  <c r="V40" i="5"/>
  <c r="V160" i="5"/>
  <c r="X160" i="5" s="1"/>
  <c r="V24" i="5"/>
  <c r="V144" i="5"/>
  <c r="V21" i="5"/>
  <c r="V141" i="5"/>
  <c r="V57" i="5"/>
  <c r="V177" i="5"/>
  <c r="V47" i="5"/>
  <c r="V167" i="5"/>
  <c r="V49" i="5"/>
  <c r="V169" i="5"/>
  <c r="V28" i="5"/>
  <c r="V148" i="5"/>
  <c r="X148" i="5" s="1"/>
  <c r="V56" i="5"/>
  <c r="V176" i="5"/>
  <c r="V52" i="5"/>
  <c r="V172" i="5"/>
  <c r="V34" i="5"/>
  <c r="V154" i="5"/>
  <c r="X154" i="5" s="1"/>
  <c r="V26" i="5"/>
  <c r="V146" i="5"/>
  <c r="V25" i="5"/>
  <c r="V145" i="5"/>
  <c r="V51" i="5"/>
  <c r="V171" i="5"/>
  <c r="X171" i="5" s="1"/>
  <c r="V66" i="5"/>
  <c r="X185" i="5" s="1"/>
  <c r="V186" i="5"/>
  <c r="X186" i="5" s="1"/>
  <c r="V65" i="5"/>
  <c r="H71" i="20" s="1"/>
  <c r="G71" i="20"/>
  <c r="T193" i="4"/>
  <c r="T198" i="4"/>
  <c r="T201" i="4"/>
  <c r="T207" i="5" s="1"/>
  <c r="T199" i="4"/>
  <c r="S205" i="5"/>
  <c r="S207" i="5"/>
  <c r="S204" i="5"/>
  <c r="T200" i="4"/>
  <c r="T188" i="4"/>
  <c r="S206" i="5"/>
  <c r="AA19" i="1"/>
  <c r="X150" i="5" l="1"/>
  <c r="X156" i="5"/>
  <c r="X145" i="5"/>
  <c r="X162" i="5"/>
  <c r="X142" i="5"/>
  <c r="X146" i="5"/>
  <c r="X182" i="5"/>
  <c r="X169" i="5"/>
  <c r="X151" i="5"/>
  <c r="X141" i="5"/>
  <c r="X158" i="5"/>
  <c r="X164" i="5"/>
  <c r="X166" i="5"/>
  <c r="X181" i="5"/>
  <c r="X178" i="5"/>
  <c r="X173" i="5"/>
  <c r="X177" i="5"/>
  <c r="X137" i="5"/>
  <c r="X165" i="5"/>
  <c r="X179" i="5"/>
  <c r="X168" i="5"/>
  <c r="X161" i="5"/>
  <c r="X167" i="5"/>
  <c r="X153" i="5"/>
  <c r="X163" i="5"/>
  <c r="X157" i="5"/>
  <c r="X184" i="5"/>
  <c r="X147" i="5"/>
  <c r="X149" i="5"/>
  <c r="X159" i="5"/>
  <c r="X155" i="5"/>
  <c r="X175" i="5"/>
  <c r="X172" i="5"/>
  <c r="X140" i="5"/>
  <c r="X170" i="5"/>
  <c r="X183" i="5"/>
  <c r="X152" i="5"/>
  <c r="X143" i="5"/>
  <c r="X176" i="5"/>
  <c r="X144" i="5"/>
  <c r="V131" i="5"/>
  <c r="X131" i="5" s="1"/>
  <c r="V136" i="5"/>
  <c r="X136" i="5" s="1"/>
  <c r="V130" i="5"/>
  <c r="X130" i="5" s="1"/>
  <c r="V132" i="5"/>
  <c r="X132" i="5" s="1"/>
  <c r="V133" i="5"/>
  <c r="X133" i="5" s="1"/>
  <c r="T199" i="5"/>
  <c r="T188" i="5"/>
  <c r="AA5" i="1"/>
  <c r="H4" i="17" s="1"/>
  <c r="T206" i="5"/>
  <c r="T205" i="5"/>
  <c r="T204" i="5"/>
  <c r="V14" i="4"/>
  <c r="G20" i="22" s="1"/>
  <c r="N19" i="17" l="1"/>
  <c r="N5" i="17" s="1"/>
  <c r="S19" i="17"/>
  <c r="S5" i="17" s="1"/>
  <c r="V19" i="17"/>
  <c r="V5" i="17" s="1"/>
  <c r="K19" i="17"/>
  <c r="K5" i="17" s="1"/>
  <c r="U19" i="17"/>
  <c r="U5" i="17" s="1"/>
  <c r="L19" i="17"/>
  <c r="L5" i="17" s="1"/>
  <c r="O19" i="17"/>
  <c r="O5" i="17" s="1"/>
  <c r="M19" i="17"/>
  <c r="M5" i="17" s="1"/>
  <c r="T19" i="17"/>
  <c r="W19" i="17"/>
  <c r="W5" i="17" s="1"/>
  <c r="V131" i="4"/>
  <c r="Y131" i="4" s="1"/>
  <c r="U193" i="4"/>
  <c r="V129" i="4"/>
  <c r="Y129" i="4" s="1"/>
  <c r="U198" i="4"/>
  <c r="U201" i="4"/>
  <c r="U199" i="4"/>
  <c r="U200" i="4"/>
  <c r="U188" i="4"/>
  <c r="V133" i="4"/>
  <c r="Y133" i="4" s="1"/>
  <c r="W4" i="17" l="1"/>
  <c r="V4" i="17"/>
  <c r="U4" i="17"/>
  <c r="S4" i="17"/>
  <c r="AD19" i="17"/>
  <c r="AO19" i="17" s="1"/>
  <c r="AO5" i="17" s="1"/>
  <c r="AB19" i="17"/>
  <c r="AM19" i="17" s="1"/>
  <c r="AC19" i="17"/>
  <c r="AN19" i="17" s="1"/>
  <c r="AE19" i="17"/>
  <c r="AP19" i="17" s="1"/>
  <c r="AP5" i="17" s="1"/>
  <c r="P19" i="17"/>
  <c r="P5" i="17" s="1"/>
  <c r="AA19" i="17"/>
  <c r="AL19" i="17" s="1"/>
  <c r="U199" i="5"/>
  <c r="U205" i="5"/>
  <c r="V205" i="5" s="1"/>
  <c r="V199" i="4"/>
  <c r="U207" i="5"/>
  <c r="V207" i="5" s="1"/>
  <c r="V201" i="4"/>
  <c r="U204" i="5"/>
  <c r="V204" i="5" s="1"/>
  <c r="V198" i="4"/>
  <c r="U188" i="5"/>
  <c r="U206" i="5"/>
  <c r="V200" i="4"/>
  <c r="Q15" i="4" l="1"/>
  <c r="Q19" i="4"/>
  <c r="B33" i="22" s="1"/>
  <c r="S15" i="4"/>
  <c r="S19" i="4"/>
  <c r="D33" i="22" s="1"/>
  <c r="R15" i="4"/>
  <c r="R19" i="4"/>
  <c r="C33" i="22" s="1"/>
  <c r="T15" i="4"/>
  <c r="T19" i="4"/>
  <c r="E33" i="22" s="1"/>
  <c r="U15" i="4"/>
  <c r="U19" i="4"/>
  <c r="F33" i="22" s="1"/>
  <c r="AL5" i="17"/>
  <c r="AM5" i="17"/>
  <c r="AN5" i="17"/>
  <c r="X19" i="17"/>
  <c r="X5" i="17" s="1"/>
  <c r="X4" i="17" s="1"/>
  <c r="T5" i="17"/>
  <c r="T4" i="17" s="1"/>
  <c r="AF19" i="17"/>
  <c r="AQ19" i="17"/>
  <c r="AQ5" i="17" s="1"/>
  <c r="V206" i="5"/>
  <c r="E21" i="22" l="1"/>
  <c r="E23" i="22" s="1"/>
  <c r="L15" i="9"/>
  <c r="L21" i="9" s="1"/>
  <c r="F21" i="22"/>
  <c r="F23" i="22" s="1"/>
  <c r="M15" i="9"/>
  <c r="M21" i="9" s="1"/>
  <c r="C21" i="22"/>
  <c r="C23" i="22" s="1"/>
  <c r="J15" i="9"/>
  <c r="J21" i="9" s="1"/>
  <c r="D21" i="22"/>
  <c r="D23" i="22" s="1"/>
  <c r="K15" i="9"/>
  <c r="K21" i="9" s="1"/>
  <c r="B21" i="22"/>
  <c r="B23" i="22" s="1"/>
  <c r="B26" i="22" s="1"/>
  <c r="I15" i="9"/>
  <c r="I21" i="9" s="1"/>
  <c r="U138" i="4"/>
  <c r="T53" i="7" s="1"/>
  <c r="F43" i="22"/>
  <c r="T99" i="7"/>
  <c r="U5" i="4"/>
  <c r="T138" i="4"/>
  <c r="S53" i="7" s="1"/>
  <c r="E43" i="22"/>
  <c r="E26" i="22"/>
  <c r="S99" i="7"/>
  <c r="T5" i="4"/>
  <c r="R138" i="4"/>
  <c r="Q53" i="7" s="1"/>
  <c r="C43" i="22"/>
  <c r="C26" i="22"/>
  <c r="Q99" i="7"/>
  <c r="R5" i="4"/>
  <c r="S138" i="4"/>
  <c r="R53" i="7" s="1"/>
  <c r="D43" i="22"/>
  <c r="D26" i="22"/>
  <c r="R99" i="7"/>
  <c r="S5" i="4"/>
  <c r="Q138" i="4"/>
  <c r="P53" i="7" s="1"/>
  <c r="B43" i="22"/>
  <c r="P37" i="7"/>
  <c r="P99" i="7"/>
  <c r="C78" i="20" s="1"/>
  <c r="R134" i="4"/>
  <c r="Q49" i="7" s="1"/>
  <c r="U113" i="4"/>
  <c r="U113" i="5" s="1"/>
  <c r="T96" i="7"/>
  <c r="T27" i="7"/>
  <c r="F118" i="20" s="1"/>
  <c r="F120" i="20" s="1"/>
  <c r="U109" i="4"/>
  <c r="U119" i="4"/>
  <c r="U119" i="5" s="1"/>
  <c r="U123" i="5" s="1"/>
  <c r="T109" i="4"/>
  <c r="S27" i="7"/>
  <c r="E118" i="20" s="1"/>
  <c r="E120" i="20" s="1"/>
  <c r="T119" i="4"/>
  <c r="T123" i="4" s="1"/>
  <c r="Q96" i="7"/>
  <c r="R113" i="4"/>
  <c r="R113" i="5" s="1"/>
  <c r="R109" i="4"/>
  <c r="Q27" i="7"/>
  <c r="C118" i="20" s="1"/>
  <c r="R119" i="4"/>
  <c r="R123" i="4" s="1"/>
  <c r="S113" i="4"/>
  <c r="S113" i="5" s="1"/>
  <c r="R96" i="7"/>
  <c r="S119" i="4"/>
  <c r="S119" i="5" s="1"/>
  <c r="S123" i="5" s="1"/>
  <c r="R27" i="7"/>
  <c r="D118" i="20" s="1"/>
  <c r="D120" i="20" s="1"/>
  <c r="S109" i="4"/>
  <c r="S109" i="5" s="1"/>
  <c r="Q113" i="4"/>
  <c r="Q113" i="5" s="1"/>
  <c r="P96" i="7"/>
  <c r="Q5" i="4"/>
  <c r="B87" i="20" s="1"/>
  <c r="P27" i="7"/>
  <c r="B118" i="20" s="1"/>
  <c r="B120" i="20" s="1"/>
  <c r="Q119" i="4"/>
  <c r="Q109" i="4"/>
  <c r="T113" i="4"/>
  <c r="S96" i="7"/>
  <c r="R41" i="7"/>
  <c r="P41" i="7"/>
  <c r="S15" i="5"/>
  <c r="S41" i="7"/>
  <c r="T41" i="7"/>
  <c r="T15" i="5"/>
  <c r="U15" i="5"/>
  <c r="Q15" i="5"/>
  <c r="U19" i="5"/>
  <c r="U138" i="5" s="1"/>
  <c r="T37" i="7"/>
  <c r="T19" i="5"/>
  <c r="T138" i="5" s="1"/>
  <c r="S37" i="7"/>
  <c r="R19" i="5"/>
  <c r="R138" i="5" s="1"/>
  <c r="Q37" i="7"/>
  <c r="R15" i="5"/>
  <c r="S19" i="5"/>
  <c r="S138" i="5" s="1"/>
  <c r="R37" i="7"/>
  <c r="Q41" i="7"/>
  <c r="V15" i="4"/>
  <c r="G21" i="22" s="1"/>
  <c r="G23" i="22" s="1"/>
  <c r="G26" i="22" s="1"/>
  <c r="Q19" i="5"/>
  <c r="Q138" i="5" s="1"/>
  <c r="V19" i="4"/>
  <c r="G33" i="22" s="1"/>
  <c r="V9" i="4"/>
  <c r="G31" i="22" s="1"/>
  <c r="AS19" i="17"/>
  <c r="I23" i="9" l="1"/>
  <c r="R5" i="5"/>
  <c r="U197" i="4"/>
  <c r="U202" i="4" s="1"/>
  <c r="U204" i="4" s="1"/>
  <c r="R197" i="4"/>
  <c r="R203" i="5" s="1"/>
  <c r="B27" i="22"/>
  <c r="B44" i="22"/>
  <c r="Q197" i="4"/>
  <c r="Q203" i="5" s="1"/>
  <c r="Q208" i="5" s="1"/>
  <c r="F26" i="22"/>
  <c r="F27" i="22" s="1"/>
  <c r="C120" i="20"/>
  <c r="G118" i="20"/>
  <c r="G120" i="20" s="1"/>
  <c r="F52" i="22"/>
  <c r="D27" i="22"/>
  <c r="E78" i="20"/>
  <c r="D44" i="22"/>
  <c r="E52" i="22"/>
  <c r="C27" i="22"/>
  <c r="D78" i="20"/>
  <c r="C44" i="22"/>
  <c r="G52" i="22"/>
  <c r="E27" i="22"/>
  <c r="F78" i="20"/>
  <c r="E44" i="22"/>
  <c r="H52" i="22"/>
  <c r="G78" i="20"/>
  <c r="F44" i="22"/>
  <c r="K23" i="9"/>
  <c r="D87" i="20"/>
  <c r="J23" i="9"/>
  <c r="C87" i="20"/>
  <c r="L23" i="9"/>
  <c r="E87" i="20"/>
  <c r="M23" i="9"/>
  <c r="F87" i="20"/>
  <c r="T4" i="4"/>
  <c r="S4" i="4"/>
  <c r="U4" i="4"/>
  <c r="R4" i="4"/>
  <c r="T197" i="4"/>
  <c r="T202" i="4" s="1"/>
  <c r="T204" i="4" s="1"/>
  <c r="G43" i="22"/>
  <c r="V138" i="4"/>
  <c r="Y138" i="4" s="1"/>
  <c r="Q5" i="5"/>
  <c r="S5" i="5"/>
  <c r="C75" i="20"/>
  <c r="D49" i="22"/>
  <c r="I3" i="22"/>
  <c r="S197" i="4"/>
  <c r="S203" i="5" s="1"/>
  <c r="D52" i="22"/>
  <c r="U99" i="7"/>
  <c r="G27" i="22" s="1"/>
  <c r="F75" i="20"/>
  <c r="G49" i="22"/>
  <c r="E75" i="20"/>
  <c r="F49" i="22"/>
  <c r="D75" i="20"/>
  <c r="E49" i="22"/>
  <c r="G75" i="20"/>
  <c r="H49" i="22"/>
  <c r="U203" i="5"/>
  <c r="U208" i="5" s="1"/>
  <c r="U210" i="5" s="1"/>
  <c r="Q202" i="4"/>
  <c r="Q204" i="4" s="1"/>
  <c r="R188" i="4"/>
  <c r="R193" i="4"/>
  <c r="V134" i="4"/>
  <c r="Y134" i="4" s="1"/>
  <c r="V138" i="5"/>
  <c r="R134" i="5"/>
  <c r="V139" i="5"/>
  <c r="X139" i="5" s="1"/>
  <c r="V72" i="4"/>
  <c r="V75" i="4"/>
  <c r="V81" i="4"/>
  <c r="V84" i="4"/>
  <c r="V74" i="4"/>
  <c r="V83" i="4"/>
  <c r="V73" i="4"/>
  <c r="V87" i="4"/>
  <c r="V76" i="4"/>
  <c r="V77" i="4"/>
  <c r="V79" i="4"/>
  <c r="V89" i="4"/>
  <c r="V80" i="4"/>
  <c r="V85" i="4"/>
  <c r="V86" i="4"/>
  <c r="V78" i="4"/>
  <c r="V82" i="4"/>
  <c r="V88" i="4"/>
  <c r="T5" i="5"/>
  <c r="T109" i="5"/>
  <c r="T114" i="4"/>
  <c r="Q114" i="4"/>
  <c r="Q109" i="5"/>
  <c r="Q114" i="5" s="1"/>
  <c r="Q119" i="5"/>
  <c r="Q123" i="5" s="1"/>
  <c r="Q123" i="4"/>
  <c r="U109" i="5"/>
  <c r="U114" i="5" s="1"/>
  <c r="U114" i="4"/>
  <c r="U5" i="5"/>
  <c r="R109" i="5"/>
  <c r="R114" i="5" s="1"/>
  <c r="R114" i="4"/>
  <c r="Q4" i="4"/>
  <c r="T29" i="7"/>
  <c r="T32" i="7" s="1"/>
  <c r="G26" i="20"/>
  <c r="R29" i="7"/>
  <c r="R32" i="7" s="1"/>
  <c r="E26" i="20"/>
  <c r="Q29" i="7"/>
  <c r="Q32" i="7" s="1"/>
  <c r="D26" i="20"/>
  <c r="P29" i="7"/>
  <c r="C26" i="20"/>
  <c r="S29" i="7"/>
  <c r="S32" i="7" s="1"/>
  <c r="F26" i="20"/>
  <c r="C58" i="20"/>
  <c r="F58" i="20"/>
  <c r="E58" i="20"/>
  <c r="S104" i="7"/>
  <c r="G57" i="22" s="1"/>
  <c r="R104" i="7"/>
  <c r="F57" i="22" s="1"/>
  <c r="T104" i="7"/>
  <c r="H57" i="22" s="1"/>
  <c r="T119" i="5"/>
  <c r="T123" i="5" s="1"/>
  <c r="D58" i="20"/>
  <c r="D54" i="20"/>
  <c r="G58" i="20"/>
  <c r="F54" i="20"/>
  <c r="E54" i="20"/>
  <c r="G54" i="20"/>
  <c r="V15" i="5"/>
  <c r="V113" i="4"/>
  <c r="T113" i="5"/>
  <c r="S123" i="4"/>
  <c r="U123" i="4"/>
  <c r="V119" i="4"/>
  <c r="U41" i="7"/>
  <c r="Q42" i="7"/>
  <c r="T42" i="7"/>
  <c r="R119" i="5"/>
  <c r="R123" i="5" s="1"/>
  <c r="U97" i="7"/>
  <c r="G16" i="22" s="1"/>
  <c r="R42" i="7"/>
  <c r="S42" i="7"/>
  <c r="U37" i="7"/>
  <c r="V109" i="4"/>
  <c r="V19" i="5"/>
  <c r="Q104" i="7"/>
  <c r="E57" i="22" s="1"/>
  <c r="S114" i="4"/>
  <c r="S114" i="5"/>
  <c r="P42" i="7"/>
  <c r="P104" i="7"/>
  <c r="D57" i="22" s="1"/>
  <c r="U96" i="7"/>
  <c r="U27" i="7"/>
  <c r="H26" i="20" s="1"/>
  <c r="V9" i="5"/>
  <c r="V5" i="4"/>
  <c r="G87" i="20" s="1"/>
  <c r="T203" i="5" l="1"/>
  <c r="T208" i="5" s="1"/>
  <c r="U104" i="7"/>
  <c r="H78" i="20"/>
  <c r="J3" i="22"/>
  <c r="H4" i="22" s="1"/>
  <c r="G44" i="22"/>
  <c r="H75" i="20"/>
  <c r="V197" i="4"/>
  <c r="Q4" i="5"/>
  <c r="F14" i="7"/>
  <c r="R4" i="5"/>
  <c r="G14" i="7"/>
  <c r="T4" i="5"/>
  <c r="I14" i="7"/>
  <c r="U4" i="5"/>
  <c r="J14" i="7"/>
  <c r="S4" i="5"/>
  <c r="H14" i="7"/>
  <c r="Q210" i="5"/>
  <c r="V203" i="5"/>
  <c r="T210" i="5"/>
  <c r="R188" i="5"/>
  <c r="V134" i="5"/>
  <c r="X134" i="5" s="1"/>
  <c r="X138" i="5"/>
  <c r="R202" i="4"/>
  <c r="R204" i="4" s="1"/>
  <c r="R199" i="5"/>
  <c r="R208" i="5" s="1"/>
  <c r="C8" i="18"/>
  <c r="C7" i="18"/>
  <c r="C10" i="18"/>
  <c r="C28" i="20"/>
  <c r="P32" i="7"/>
  <c r="V109" i="5"/>
  <c r="T114" i="5"/>
  <c r="Q44" i="7"/>
  <c r="V5" i="5"/>
  <c r="T44" i="7"/>
  <c r="S44" i="7"/>
  <c r="V123" i="4"/>
  <c r="V119" i="5"/>
  <c r="V123" i="5" s="1"/>
  <c r="V114" i="4"/>
  <c r="X114" i="4" s="1"/>
  <c r="U29" i="7"/>
  <c r="H28" i="20" s="1"/>
  <c r="R44" i="7"/>
  <c r="E28" i="20"/>
  <c r="F28" i="20"/>
  <c r="G28" i="20"/>
  <c r="R100" i="4"/>
  <c r="U100" i="4"/>
  <c r="O100" i="4"/>
  <c r="N100" i="4"/>
  <c r="T100" i="4"/>
  <c r="S100" i="4"/>
  <c r="Q100" i="4"/>
  <c r="L100" i="4"/>
  <c r="M100" i="4"/>
  <c r="R104" i="4"/>
  <c r="T104" i="4"/>
  <c r="Q104" i="4"/>
  <c r="U104" i="4"/>
  <c r="S104" i="4"/>
  <c r="L104" i="4"/>
  <c r="N104" i="4"/>
  <c r="O104" i="4"/>
  <c r="M104" i="4"/>
  <c r="U99" i="4"/>
  <c r="M99" i="4"/>
  <c r="L99" i="4"/>
  <c r="B47" i="9" s="1" a="1"/>
  <c r="B47" i="9" s="1"/>
  <c r="Q99" i="4"/>
  <c r="R99" i="4"/>
  <c r="O99" i="4"/>
  <c r="T99" i="4"/>
  <c r="S99" i="4"/>
  <c r="N99" i="4"/>
  <c r="R103" i="4"/>
  <c r="U103" i="4"/>
  <c r="Q103" i="4"/>
  <c r="M103" i="4"/>
  <c r="S103" i="4"/>
  <c r="L103" i="4"/>
  <c r="O103" i="4"/>
  <c r="N103" i="4"/>
  <c r="T103" i="4"/>
  <c r="U102" i="4"/>
  <c r="O102" i="4"/>
  <c r="R102" i="4"/>
  <c r="M102" i="4"/>
  <c r="Q102" i="4"/>
  <c r="N102" i="4"/>
  <c r="T102" i="4"/>
  <c r="S102" i="4"/>
  <c r="L102" i="4"/>
  <c r="D28" i="20"/>
  <c r="O101" i="4"/>
  <c r="Q101" i="4"/>
  <c r="T101" i="4"/>
  <c r="R101" i="4"/>
  <c r="N101" i="4"/>
  <c r="L101" i="4"/>
  <c r="M101" i="4"/>
  <c r="U101" i="4"/>
  <c r="S101" i="4"/>
  <c r="P44" i="7"/>
  <c r="P44" i="21"/>
  <c r="O44" i="21"/>
  <c r="N44" i="21"/>
  <c r="M44" i="21"/>
  <c r="L44" i="21"/>
  <c r="R54" i="7"/>
  <c r="E59" i="20" s="1"/>
  <c r="S54" i="7"/>
  <c r="F59" i="20" s="1"/>
  <c r="V113" i="5"/>
  <c r="T54" i="7"/>
  <c r="G59" i="20" s="1"/>
  <c r="U53" i="7"/>
  <c r="Q54" i="7"/>
  <c r="D59" i="20" s="1"/>
  <c r="U42" i="7"/>
  <c r="T85" i="4" a="1"/>
  <c r="T85" i="4" s="1"/>
  <c r="T85" i="5" s="1"/>
  <c r="Q85" i="4" a="1"/>
  <c r="Q85" i="4" s="1"/>
  <c r="Q85" i="5" s="1"/>
  <c r="U85" i="4" a="1"/>
  <c r="U85" i="4" s="1"/>
  <c r="U85" i="5" s="1"/>
  <c r="R85" i="4" a="1"/>
  <c r="R85" i="4" s="1"/>
  <c r="R85" i="5" s="1"/>
  <c r="S85" i="4" a="1"/>
  <c r="S85" i="4" s="1"/>
  <c r="S85" i="5" s="1"/>
  <c r="S84" i="4" a="1"/>
  <c r="S84" i="4" s="1"/>
  <c r="S84" i="5" s="1"/>
  <c r="U84" i="4" a="1"/>
  <c r="U84" i="4" s="1"/>
  <c r="U84" i="5" s="1"/>
  <c r="R84" i="4" a="1"/>
  <c r="R84" i="4" s="1"/>
  <c r="R84" i="5" s="1"/>
  <c r="T84" i="4" a="1"/>
  <c r="T84" i="4" s="1"/>
  <c r="T84" i="5" s="1"/>
  <c r="Q84" i="4" a="1"/>
  <c r="Q84" i="4" s="1"/>
  <c r="Q84" i="5" s="1"/>
  <c r="T79" i="4" a="1"/>
  <c r="T79" i="4" s="1"/>
  <c r="T79" i="5" s="1"/>
  <c r="U79" i="4" a="1"/>
  <c r="U79" i="4" s="1"/>
  <c r="U79" i="5" s="1"/>
  <c r="S79" i="4" a="1"/>
  <c r="S79" i="4" s="1"/>
  <c r="Q79" i="4" a="1"/>
  <c r="Q79" i="4" s="1"/>
  <c r="Q79" i="5" s="1"/>
  <c r="R79" i="4" a="1"/>
  <c r="R79" i="4" s="1"/>
  <c r="T87" i="4" a="1"/>
  <c r="T87" i="4" s="1"/>
  <c r="T87" i="5" s="1"/>
  <c r="S87" i="4" a="1"/>
  <c r="S87" i="4" s="1"/>
  <c r="S87" i="5" s="1"/>
  <c r="R87" i="4" a="1"/>
  <c r="R87" i="4" s="1"/>
  <c r="R87" i="5" s="1"/>
  <c r="U87" i="4" a="1"/>
  <c r="U87" i="4" s="1"/>
  <c r="U87" i="5" s="1"/>
  <c r="Q87" i="4" a="1"/>
  <c r="Q87" i="4" s="1"/>
  <c r="Q87" i="5" s="1"/>
  <c r="S78" i="4" a="1"/>
  <c r="S78" i="4" s="1"/>
  <c r="S78" i="5" s="1"/>
  <c r="R78" i="4" a="1"/>
  <c r="R78" i="4" s="1"/>
  <c r="R78" i="5" s="1"/>
  <c r="Q78" i="4" a="1"/>
  <c r="Q78" i="4" s="1"/>
  <c r="Q78" i="5" s="1"/>
  <c r="T78" i="4" a="1"/>
  <c r="T78" i="4" s="1"/>
  <c r="T78" i="5" s="1"/>
  <c r="U78" i="4" a="1"/>
  <c r="U78" i="4" s="1"/>
  <c r="U74" i="4" a="1"/>
  <c r="U74" i="4" s="1"/>
  <c r="U97" i="4" s="1"/>
  <c r="Q74" i="4" a="1"/>
  <c r="Q74" i="4" s="1"/>
  <c r="Q97" i="4" s="1"/>
  <c r="R74" i="4" a="1"/>
  <c r="R74" i="4" s="1"/>
  <c r="R97" i="4" s="1"/>
  <c r="S74" i="4" a="1"/>
  <c r="S74" i="4" s="1"/>
  <c r="S97" i="4" s="1"/>
  <c r="T74" i="4" a="1"/>
  <c r="T74" i="4" s="1"/>
  <c r="T97" i="4" s="1"/>
  <c r="R83" i="4" a="1"/>
  <c r="R83" i="4" s="1"/>
  <c r="R83" i="5" s="1"/>
  <c r="T83" i="4" a="1"/>
  <c r="T83" i="4" s="1"/>
  <c r="T83" i="5" s="1"/>
  <c r="S83" i="4" a="1"/>
  <c r="S83" i="4" s="1"/>
  <c r="S83" i="5" s="1"/>
  <c r="U83" i="4" a="1"/>
  <c r="U83" i="4" s="1"/>
  <c r="U83" i="5" s="1"/>
  <c r="Q83" i="4" a="1"/>
  <c r="Q83" i="4" s="1"/>
  <c r="Q83" i="5" s="1"/>
  <c r="L88" i="4" a="1"/>
  <c r="L88" i="4" s="1"/>
  <c r="L88" i="5" s="1"/>
  <c r="Q88" i="4" a="1"/>
  <c r="Q88" i="4" s="1"/>
  <c r="Q88" i="5" s="1"/>
  <c r="R88" i="4" a="1"/>
  <c r="R88" i="4" s="1"/>
  <c r="R88" i="5" s="1"/>
  <c r="N88" i="4" a="1"/>
  <c r="N88" i="4" s="1"/>
  <c r="N88" i="5" s="1"/>
  <c r="T88" i="4" a="1"/>
  <c r="T88" i="4" s="1"/>
  <c r="T88" i="5" s="1"/>
  <c r="M88" i="4" a="1"/>
  <c r="M88" i="4" s="1"/>
  <c r="O88" i="4" a="1"/>
  <c r="O88" i="4" s="1"/>
  <c r="O88" i="5" s="1"/>
  <c r="U88" i="4" a="1"/>
  <c r="U88" i="4" s="1"/>
  <c r="U88" i="5" s="1"/>
  <c r="S88" i="4" a="1"/>
  <c r="S88" i="4" s="1"/>
  <c r="S88" i="5" s="1"/>
  <c r="U80" i="4" a="1"/>
  <c r="U80" i="4" s="1"/>
  <c r="S80" i="4" a="1"/>
  <c r="S80" i="4" s="1"/>
  <c r="T80" i="4" a="1"/>
  <c r="T80" i="4" s="1"/>
  <c r="R80" i="4" a="1"/>
  <c r="R80" i="4" s="1"/>
  <c r="Q80" i="4" a="1"/>
  <c r="Q80" i="4" s="1"/>
  <c r="U86" i="4" a="1"/>
  <c r="U86" i="4" s="1"/>
  <c r="U86" i="5" s="1"/>
  <c r="R86" i="4" a="1"/>
  <c r="R86" i="4" s="1"/>
  <c r="R86" i="5" s="1"/>
  <c r="Q86" i="4" a="1"/>
  <c r="Q86" i="4" s="1"/>
  <c r="Q86" i="5" s="1"/>
  <c r="S86" i="4" a="1"/>
  <c r="S86" i="4" s="1"/>
  <c r="S86" i="5" s="1"/>
  <c r="T86" i="4" a="1"/>
  <c r="T86" i="4" s="1"/>
  <c r="T86" i="5" s="1"/>
  <c r="Q76" i="4" a="1"/>
  <c r="Q76" i="4" s="1"/>
  <c r="U76" i="4" a="1"/>
  <c r="U76" i="4" s="1"/>
  <c r="T76" i="4" a="1"/>
  <c r="T76" i="4" s="1"/>
  <c r="R76" i="4" a="1"/>
  <c r="R76" i="4" s="1"/>
  <c r="S76" i="4" a="1"/>
  <c r="S76" i="4" s="1"/>
  <c r="R77" i="4" a="1"/>
  <c r="R77" i="4" s="1"/>
  <c r="Q77" i="4" a="1"/>
  <c r="Q77" i="4" s="1"/>
  <c r="U77" i="4" a="1"/>
  <c r="U77" i="4" s="1"/>
  <c r="S77" i="4" a="1"/>
  <c r="S77" i="4" s="1"/>
  <c r="T77" i="4" a="1"/>
  <c r="T77" i="4" s="1"/>
  <c r="Q82" i="4" a="1"/>
  <c r="Q82" i="4" s="1"/>
  <c r="Q82" i="5" s="1"/>
  <c r="S82" i="4" a="1"/>
  <c r="S82" i="4" s="1"/>
  <c r="S82" i="5" s="1"/>
  <c r="R82" i="4" a="1"/>
  <c r="R82" i="4" s="1"/>
  <c r="R82" i="5" s="1"/>
  <c r="T82" i="4" a="1"/>
  <c r="T82" i="4" s="1"/>
  <c r="T82" i="5" s="1"/>
  <c r="U82" i="4" a="1"/>
  <c r="U82" i="4" s="1"/>
  <c r="U82" i="5" s="1"/>
  <c r="R72" i="4" a="1"/>
  <c r="R72" i="4" s="1"/>
  <c r="U72" i="4" a="1"/>
  <c r="U72" i="4" s="1"/>
  <c r="S72" i="4" a="1"/>
  <c r="S72" i="4" s="1"/>
  <c r="T72" i="4" a="1"/>
  <c r="T72" i="4" s="1"/>
  <c r="Q81" i="4" a="1"/>
  <c r="Q81" i="4" s="1"/>
  <c r="U81" i="4" a="1"/>
  <c r="U81" i="4" s="1"/>
  <c r="U81" i="5" s="1"/>
  <c r="R81" i="4" a="1"/>
  <c r="R81" i="4" s="1"/>
  <c r="R81" i="5" s="1"/>
  <c r="S81" i="4" a="1"/>
  <c r="S81" i="4" s="1"/>
  <c r="S81" i="5" s="1"/>
  <c r="T81" i="4" a="1"/>
  <c r="T81" i="4" s="1"/>
  <c r="T81" i="5" s="1"/>
  <c r="O89" i="4" a="1"/>
  <c r="O89" i="4" s="1"/>
  <c r="O89" i="5" s="1"/>
  <c r="S89" i="4" a="1"/>
  <c r="S89" i="4" s="1"/>
  <c r="S89" i="5" s="1"/>
  <c r="U89" i="4" a="1"/>
  <c r="U89" i="4" s="1"/>
  <c r="U89" i="5" s="1"/>
  <c r="T89" i="4" a="1"/>
  <c r="T89" i="4" s="1"/>
  <c r="T89" i="5" s="1"/>
  <c r="L89" i="4" a="1"/>
  <c r="L89" i="4" s="1"/>
  <c r="L89" i="5" s="1"/>
  <c r="M89" i="4" a="1"/>
  <c r="M89" i="4" s="1"/>
  <c r="N89" i="4" a="1"/>
  <c r="N89" i="4" s="1"/>
  <c r="N89" i="5" s="1"/>
  <c r="Q89" i="4" a="1"/>
  <c r="Q89" i="4" s="1"/>
  <c r="Q89" i="5" s="1"/>
  <c r="R89" i="4" a="1"/>
  <c r="R89" i="4" s="1"/>
  <c r="R89" i="5" s="1"/>
  <c r="T73" i="4" a="1"/>
  <c r="T73" i="4" s="1"/>
  <c r="T96" i="4" s="1"/>
  <c r="U73" i="4" a="1"/>
  <c r="U73" i="4" s="1"/>
  <c r="U96" i="4" s="1"/>
  <c r="S73" i="4" a="1"/>
  <c r="S73" i="4" s="1"/>
  <c r="S96" i="4" s="1"/>
  <c r="R73" i="4" a="1"/>
  <c r="R73" i="4" s="1"/>
  <c r="R96" i="4" s="1"/>
  <c r="Q73" i="4" a="1"/>
  <c r="Q73" i="4" s="1"/>
  <c r="Q96" i="4" s="1"/>
  <c r="S75" i="4" a="1"/>
  <c r="S75" i="4" s="1"/>
  <c r="S75" i="5" s="1"/>
  <c r="R75" i="4" a="1"/>
  <c r="R75" i="4" s="1"/>
  <c r="R75" i="5" s="1"/>
  <c r="U75" i="4" a="1"/>
  <c r="U75" i="4" s="1"/>
  <c r="U75" i="5" s="1"/>
  <c r="Q75" i="4" a="1"/>
  <c r="Q75" i="4" s="1"/>
  <c r="Q75" i="5" s="1"/>
  <c r="T75" i="4" a="1"/>
  <c r="T75" i="4" s="1"/>
  <c r="T75" i="5" s="1"/>
  <c r="N76" i="4" a="1"/>
  <c r="N76" i="4" s="1"/>
  <c r="N76" i="5" s="1"/>
  <c r="M76" i="4" a="1"/>
  <c r="M76" i="4" s="1"/>
  <c r="O76" i="4" a="1"/>
  <c r="O76" i="4" s="1"/>
  <c r="O76" i="5" s="1"/>
  <c r="L76" i="4" a="1"/>
  <c r="L76" i="4" s="1"/>
  <c r="O77" i="4" a="1"/>
  <c r="O77" i="4" s="1"/>
  <c r="O77" i="5" s="1"/>
  <c r="N77" i="4" a="1"/>
  <c r="N77" i="4" s="1"/>
  <c r="N77" i="5" s="1"/>
  <c r="L77" i="4" a="1"/>
  <c r="L77" i="4" s="1"/>
  <c r="M77" i="4" a="1"/>
  <c r="M77" i="4" s="1"/>
  <c r="O84" i="4" a="1"/>
  <c r="O84" i="4" s="1"/>
  <c r="O84" i="5" s="1"/>
  <c r="L84" i="4" a="1"/>
  <c r="L84" i="4" s="1"/>
  <c r="L84" i="5" s="1"/>
  <c r="M84" i="4" a="1"/>
  <c r="M84" i="4" s="1"/>
  <c r="N84" i="4" a="1"/>
  <c r="N84" i="4" s="1"/>
  <c r="N84" i="5" s="1"/>
  <c r="M75" i="4" a="1"/>
  <c r="M75" i="4" s="1"/>
  <c r="M98" i="4" s="1"/>
  <c r="L75" i="4" a="1"/>
  <c r="L75" i="4" s="1"/>
  <c r="L75" i="5" s="1"/>
  <c r="O75" i="4" a="1"/>
  <c r="O75" i="4" s="1"/>
  <c r="O75" i="5" s="1"/>
  <c r="N75" i="4" a="1"/>
  <c r="N75" i="4" s="1"/>
  <c r="N75" i="5" s="1"/>
  <c r="M78" i="4" a="1"/>
  <c r="M78" i="4" s="1"/>
  <c r="L78" i="4" a="1"/>
  <c r="L78" i="4" s="1"/>
  <c r="L78" i="5" s="1"/>
  <c r="N78" i="4" a="1"/>
  <c r="N78" i="4" s="1"/>
  <c r="N78" i="5" s="1"/>
  <c r="O78" i="4" a="1"/>
  <c r="O78" i="4" s="1"/>
  <c r="O78" i="5" s="1"/>
  <c r="L74" i="4" a="1"/>
  <c r="L74" i="4" s="1"/>
  <c r="L97" i="4" s="1"/>
  <c r="M74" i="4" a="1"/>
  <c r="M74" i="4" s="1"/>
  <c r="M97" i="4" s="1"/>
  <c r="O74" i="4" a="1"/>
  <c r="O74" i="4" s="1"/>
  <c r="O97" i="4" s="1"/>
  <c r="N74" i="4" a="1"/>
  <c r="N74" i="4" s="1"/>
  <c r="N97" i="4" s="1"/>
  <c r="O85" i="4" a="1"/>
  <c r="O85" i="4" s="1"/>
  <c r="O85" i="5" s="1"/>
  <c r="M85" i="4" a="1"/>
  <c r="M85" i="4" s="1"/>
  <c r="N85" i="4" a="1"/>
  <c r="N85" i="4" s="1"/>
  <c r="N85" i="5" s="1"/>
  <c r="L85" i="4" a="1"/>
  <c r="L85" i="4" s="1"/>
  <c r="L85" i="5" s="1"/>
  <c r="L83" i="4" a="1"/>
  <c r="L83" i="4" s="1"/>
  <c r="L83" i="5" s="1"/>
  <c r="M83" i="4" a="1"/>
  <c r="M83" i="4" s="1"/>
  <c r="O83" i="4" a="1"/>
  <c r="O83" i="4" s="1"/>
  <c r="O83" i="5" s="1"/>
  <c r="N83" i="4" a="1"/>
  <c r="N83" i="4" s="1"/>
  <c r="N83" i="5" s="1"/>
  <c r="L80" i="4" a="1"/>
  <c r="L80" i="4" s="1"/>
  <c r="N80" i="4" a="1"/>
  <c r="N80" i="4" s="1"/>
  <c r="N80" i="5" s="1"/>
  <c r="M80" i="4" a="1"/>
  <c r="M80" i="4" s="1"/>
  <c r="O80" i="4" a="1"/>
  <c r="O80" i="4" s="1"/>
  <c r="O80" i="5" s="1"/>
  <c r="O79" i="4" a="1"/>
  <c r="O79" i="4" s="1"/>
  <c r="O79" i="5" s="1"/>
  <c r="M79" i="4" a="1"/>
  <c r="M79" i="4" s="1"/>
  <c r="N79" i="4" a="1"/>
  <c r="N79" i="4" s="1"/>
  <c r="N79" i="5" s="1"/>
  <c r="L79" i="4" a="1"/>
  <c r="L79" i="4" s="1"/>
  <c r="L79" i="5" s="1"/>
  <c r="M87" i="4" a="1"/>
  <c r="M87" i="4" s="1"/>
  <c r="O87" i="4" a="1"/>
  <c r="O87" i="4" s="1"/>
  <c r="O87" i="5" s="1"/>
  <c r="N87" i="4" a="1"/>
  <c r="N87" i="4" s="1"/>
  <c r="N87" i="5" s="1"/>
  <c r="L87" i="4" a="1"/>
  <c r="L87" i="4" s="1"/>
  <c r="L87" i="5" s="1"/>
  <c r="L81" i="4" a="1"/>
  <c r="L81" i="4" s="1"/>
  <c r="L81" i="5" s="1"/>
  <c r="O81" i="4" a="1"/>
  <c r="O81" i="4" s="1"/>
  <c r="O81" i="5" s="1"/>
  <c r="N81" i="4" a="1"/>
  <c r="N81" i="4" s="1"/>
  <c r="N81" i="5" s="1"/>
  <c r="M81" i="4" a="1"/>
  <c r="M81" i="4" s="1"/>
  <c r="M86" i="4" a="1"/>
  <c r="M86" i="4" s="1"/>
  <c r="O86" i="4" a="1"/>
  <c r="O86" i="4" s="1"/>
  <c r="O86" i="5" s="1"/>
  <c r="N86" i="4" a="1"/>
  <c r="N86" i="4" s="1"/>
  <c r="N86" i="5" s="1"/>
  <c r="L86" i="4" a="1"/>
  <c r="L86" i="4" s="1"/>
  <c r="L86" i="5" s="1"/>
  <c r="L82" i="4" a="1"/>
  <c r="L82" i="4" s="1"/>
  <c r="L82" i="5" s="1"/>
  <c r="O82" i="4" a="1"/>
  <c r="O82" i="4" s="1"/>
  <c r="O82" i="5" s="1"/>
  <c r="N82" i="4" a="1"/>
  <c r="N82" i="4" s="1"/>
  <c r="N82" i="5" s="1"/>
  <c r="M82" i="4" a="1"/>
  <c r="M82" i="4" s="1"/>
  <c r="N72" i="4" a="1"/>
  <c r="N72" i="4" s="1"/>
  <c r="N95" i="4" s="1"/>
  <c r="O72" i="4" a="1"/>
  <c r="O72" i="4" s="1"/>
  <c r="O95" i="4" s="1"/>
  <c r="L72" i="4" a="1"/>
  <c r="L72" i="4" s="1"/>
  <c r="Q72" i="4" a="1"/>
  <c r="Q72" i="4" s="1"/>
  <c r="M72" i="4" a="1"/>
  <c r="M72" i="4" s="1"/>
  <c r="M95" i="4" s="1"/>
  <c r="L73" i="4" a="1"/>
  <c r="L73" i="4" s="1"/>
  <c r="L96" i="4" s="1"/>
  <c r="N73" i="4" a="1"/>
  <c r="N73" i="4" s="1"/>
  <c r="N96" i="4" s="1"/>
  <c r="M73" i="4" a="1"/>
  <c r="M73" i="4" s="1"/>
  <c r="M96" i="4" s="1"/>
  <c r="O73" i="4" a="1"/>
  <c r="O73" i="4" s="1"/>
  <c r="O96" i="4" s="1"/>
  <c r="S95" i="4" l="1"/>
  <c r="R11" i="7" s="1"/>
  <c r="R77" i="5"/>
  <c r="R80" i="5"/>
  <c r="U95" i="4"/>
  <c r="T11" i="7" s="1"/>
  <c r="S76" i="5"/>
  <c r="T80" i="5"/>
  <c r="L80" i="5"/>
  <c r="R95" i="4"/>
  <c r="Q11" i="7" s="1"/>
  <c r="R76" i="5"/>
  <c r="S80" i="5"/>
  <c r="T76" i="5"/>
  <c r="U80" i="5"/>
  <c r="L77" i="5"/>
  <c r="U76" i="5"/>
  <c r="Q76" i="5"/>
  <c r="L76" i="5"/>
  <c r="T77" i="5"/>
  <c r="S77" i="5"/>
  <c r="U77" i="5"/>
  <c r="T95" i="4"/>
  <c r="S11" i="7" s="1"/>
  <c r="Q80" i="5"/>
  <c r="R210" i="5"/>
  <c r="L95" i="4"/>
  <c r="O11" i="7" s="1"/>
  <c r="H58" i="20"/>
  <c r="W53" i="7"/>
  <c r="C15" i="18"/>
  <c r="Q95" i="4"/>
  <c r="P11" i="7" s="1"/>
  <c r="V135" i="5"/>
  <c r="X135" i="5" s="1"/>
  <c r="W104" i="7"/>
  <c r="H82" i="20"/>
  <c r="V114" i="5"/>
  <c r="W114" i="5" s="1"/>
  <c r="C82" i="20"/>
  <c r="D82" i="20"/>
  <c r="F82" i="20"/>
  <c r="E82" i="20"/>
  <c r="G82" i="20"/>
  <c r="S98" i="4"/>
  <c r="R98" i="4"/>
  <c r="Q98" i="4"/>
  <c r="U98" i="4"/>
  <c r="T98" i="4"/>
  <c r="L98" i="4"/>
  <c r="L98" i="5" s="1"/>
  <c r="X123" i="4"/>
  <c r="O98" i="4"/>
  <c r="O98" i="5" s="1"/>
  <c r="N98" i="4"/>
  <c r="N98" i="5" s="1"/>
  <c r="W29" i="7"/>
  <c r="U32" i="7"/>
  <c r="Q44" i="21"/>
  <c r="Q73" i="5"/>
  <c r="R73" i="5"/>
  <c r="O73" i="5"/>
  <c r="S73" i="5"/>
  <c r="T74" i="5"/>
  <c r="N73" i="5"/>
  <c r="N96" i="5"/>
  <c r="U73" i="5"/>
  <c r="S74" i="5"/>
  <c r="L73" i="5"/>
  <c r="T73" i="5"/>
  <c r="Q74" i="5"/>
  <c r="Q72" i="5"/>
  <c r="U74" i="5"/>
  <c r="L74" i="5"/>
  <c r="L72" i="5"/>
  <c r="N74" i="5"/>
  <c r="N97" i="5"/>
  <c r="T72" i="5"/>
  <c r="R72" i="5"/>
  <c r="O72" i="5"/>
  <c r="O95" i="5"/>
  <c r="O74" i="5"/>
  <c r="O97" i="5"/>
  <c r="S72" i="5"/>
  <c r="N72" i="5"/>
  <c r="N95" i="5"/>
  <c r="U72" i="5"/>
  <c r="U44" i="7"/>
  <c r="W42" i="7"/>
  <c r="V87" i="5"/>
  <c r="U78" i="5"/>
  <c r="V78" i="5" s="1"/>
  <c r="R79" i="5"/>
  <c r="V82" i="5"/>
  <c r="S79" i="5"/>
  <c r="O104" i="5"/>
  <c r="L100" i="5"/>
  <c r="N100" i="5"/>
  <c r="L102" i="5"/>
  <c r="Q77" i="5"/>
  <c r="V88" i="5"/>
  <c r="N104" i="5"/>
  <c r="O101" i="5"/>
  <c r="N101" i="5"/>
  <c r="N103" i="5"/>
  <c r="O102" i="5"/>
  <c r="Q81" i="5"/>
  <c r="V81" i="5" s="1"/>
  <c r="O103" i="5"/>
  <c r="N102" i="5"/>
  <c r="L104" i="5"/>
  <c r="L101" i="5"/>
  <c r="L103" i="5"/>
  <c r="O100" i="5"/>
  <c r="V84" i="5"/>
  <c r="V83" i="5"/>
  <c r="V86" i="5"/>
  <c r="R74" i="5"/>
  <c r="V89" i="5"/>
  <c r="V85" i="5"/>
  <c r="O96" i="5"/>
  <c r="N99" i="5"/>
  <c r="O99" i="5"/>
  <c r="V75" i="5"/>
  <c r="V76" i="5" l="1"/>
  <c r="V77" i="5"/>
  <c r="V80" i="5"/>
  <c r="C54" i="20"/>
  <c r="P54" i="7"/>
  <c r="C59" i="20" s="1"/>
  <c r="U49" i="7"/>
  <c r="W49" i="7" s="1"/>
  <c r="V73" i="5"/>
  <c r="V72" i="5"/>
  <c r="V74" i="5"/>
  <c r="R100" i="5"/>
  <c r="S100" i="5"/>
  <c r="T100" i="5"/>
  <c r="U100" i="5"/>
  <c r="Q100" i="5"/>
  <c r="Q98" i="5"/>
  <c r="R98" i="5"/>
  <c r="S98" i="5"/>
  <c r="U98" i="5"/>
  <c r="T98" i="5"/>
  <c r="Q104" i="5"/>
  <c r="R104" i="5"/>
  <c r="S104" i="5"/>
  <c r="T104" i="5"/>
  <c r="U104" i="5"/>
  <c r="S103" i="5"/>
  <c r="Q103" i="5"/>
  <c r="R103" i="5"/>
  <c r="T103" i="5"/>
  <c r="U103" i="5"/>
  <c r="R101" i="5"/>
  <c r="S101" i="5"/>
  <c r="T101" i="5"/>
  <c r="Q101" i="5"/>
  <c r="U101" i="5"/>
  <c r="T102" i="5"/>
  <c r="U102" i="5"/>
  <c r="Q102" i="5"/>
  <c r="R102" i="5"/>
  <c r="S102" i="5"/>
  <c r="A11" i="5"/>
  <c r="A11" i="4"/>
  <c r="A15" i="5"/>
  <c r="A15" i="4"/>
  <c r="A36" i="5"/>
  <c r="A36" i="4"/>
  <c r="B36" i="4" s="1"/>
  <c r="A42" i="4"/>
  <c r="A42" i="5"/>
  <c r="A13" i="5"/>
  <c r="A13" i="4"/>
  <c r="A46" i="4"/>
  <c r="A46" i="5"/>
  <c r="A30" i="4"/>
  <c r="A30" i="5"/>
  <c r="A26" i="5"/>
  <c r="A26" i="4"/>
  <c r="A24" i="5"/>
  <c r="A24" i="4"/>
  <c r="A22" i="5"/>
  <c r="A22" i="4"/>
  <c r="A20" i="4"/>
  <c r="A20" i="5"/>
  <c r="A28" i="4"/>
  <c r="A28" i="5"/>
  <c r="A37" i="5"/>
  <c r="A37" i="4"/>
  <c r="B37" i="4" s="1"/>
  <c r="A18" i="4"/>
  <c r="A18" i="5"/>
  <c r="E18" i="7" s="1"/>
  <c r="A31" i="4"/>
  <c r="A31" i="5"/>
  <c r="A38" i="5"/>
  <c r="A38" i="4"/>
  <c r="B38" i="4" s="1"/>
  <c r="A19" i="4"/>
  <c r="A19" i="5"/>
  <c r="A21" i="4"/>
  <c r="A21" i="5"/>
  <c r="A12" i="5"/>
  <c r="A12" i="4"/>
  <c r="A44" i="4"/>
  <c r="A44" i="5"/>
  <c r="A43" i="4"/>
  <c r="A43" i="5"/>
  <c r="A47" i="5"/>
  <c r="A47" i="4"/>
  <c r="A34" i="5"/>
  <c r="A34" i="4"/>
  <c r="A27" i="5"/>
  <c r="A27" i="4"/>
  <c r="A35" i="5"/>
  <c r="A35" i="4"/>
  <c r="A39" i="5"/>
  <c r="A39" i="4"/>
  <c r="A25" i="5"/>
  <c r="A25" i="4"/>
  <c r="A49" i="5"/>
  <c r="A49" i="4"/>
  <c r="A23" i="5"/>
  <c r="A23" i="4"/>
  <c r="A14" i="5"/>
  <c r="A14" i="4"/>
  <c r="A33" i="4"/>
  <c r="A33" i="5"/>
  <c r="A17" i="4"/>
  <c r="A17" i="5"/>
  <c r="A45" i="4"/>
  <c r="A45" i="5"/>
  <c r="A40" i="5"/>
  <c r="A40" i="4"/>
  <c r="A10" i="4"/>
  <c r="A10" i="5"/>
  <c r="A41" i="4"/>
  <c r="A41" i="5"/>
  <c r="A32" i="4"/>
  <c r="A32" i="5"/>
  <c r="A16" i="5"/>
  <c r="A16" i="4"/>
  <c r="A48" i="5"/>
  <c r="A29" i="4"/>
  <c r="A29" i="5"/>
  <c r="V79" i="5"/>
  <c r="O47" i="9" a="1"/>
  <c r="O47" i="9" s="1"/>
  <c r="O50" i="9" s="1"/>
  <c r="L99" i="5"/>
  <c r="V101" i="4"/>
  <c r="V100" i="4"/>
  <c r="V103" i="4"/>
  <c r="V102" i="4"/>
  <c r="V104" i="4"/>
  <c r="V99" i="4"/>
  <c r="V98" i="4"/>
  <c r="V97" i="4"/>
  <c r="B31" i="9" a="1"/>
  <c r="B31" i="9" s="1"/>
  <c r="K31" i="9" s="1" a="1"/>
  <c r="K31" i="9" s="1"/>
  <c r="V96" i="4"/>
  <c r="L95" i="5"/>
  <c r="B35" i="9" a="1"/>
  <c r="B35" i="9" s="1"/>
  <c r="L96" i="5"/>
  <c r="O14" i="7"/>
  <c r="O17" i="7"/>
  <c r="B39" i="9" a="1"/>
  <c r="B39" i="9" s="1"/>
  <c r="L97" i="5"/>
  <c r="V95" i="4"/>
  <c r="O20" i="7"/>
  <c r="B43" i="9" a="1"/>
  <c r="B43" i="9" s="1"/>
  <c r="E41" i="1"/>
  <c r="B41" i="1"/>
  <c r="E19" i="1"/>
  <c r="B19" i="1"/>
  <c r="E21" i="1"/>
  <c r="B21" i="1"/>
  <c r="B36" i="1"/>
  <c r="E36" i="1"/>
  <c r="E29" i="1"/>
  <c r="B29" i="1"/>
  <c r="B28" i="1"/>
  <c r="E28" i="1"/>
  <c r="E44" i="1"/>
  <c r="B44" i="1"/>
  <c r="E30" i="1"/>
  <c r="B30" i="1"/>
  <c r="E11" i="1"/>
  <c r="B11" i="1"/>
  <c r="B37" i="1"/>
  <c r="E37" i="1"/>
  <c r="E34" i="1"/>
  <c r="B34" i="1"/>
  <c r="B24" i="1"/>
  <c r="E24" i="1"/>
  <c r="E39" i="1"/>
  <c r="B39" i="1"/>
  <c r="E25" i="1"/>
  <c r="B25" i="1"/>
  <c r="E43" i="1"/>
  <c r="B43" i="1"/>
  <c r="E18" i="1"/>
  <c r="B18" i="1"/>
  <c r="B14" i="1"/>
  <c r="E14" i="1"/>
  <c r="E50" i="1"/>
  <c r="B50" i="1"/>
  <c r="E27" i="1"/>
  <c r="B27" i="1"/>
  <c r="E12" i="1"/>
  <c r="B12" i="1"/>
  <c r="E42" i="1"/>
  <c r="B42" i="1"/>
  <c r="E45" i="1"/>
  <c r="B45" i="1"/>
  <c r="E40" i="1"/>
  <c r="B40" i="1"/>
  <c r="B47" i="1"/>
  <c r="E47" i="1"/>
  <c r="B32" i="1"/>
  <c r="E32" i="1"/>
  <c r="B16" i="1"/>
  <c r="E16" i="1"/>
  <c r="B49" i="1"/>
  <c r="E49" i="1"/>
  <c r="B35" i="1"/>
  <c r="E35" i="1"/>
  <c r="E22" i="1"/>
  <c r="B22" i="1"/>
  <c r="B31" i="1"/>
  <c r="E31" i="1"/>
  <c r="E33" i="1"/>
  <c r="B33" i="1"/>
  <c r="B23" i="1"/>
  <c r="E23" i="1"/>
  <c r="E20" i="1"/>
  <c r="B20" i="1"/>
  <c r="B15" i="1"/>
  <c r="E15" i="1"/>
  <c r="E10" i="1"/>
  <c r="B10" i="1"/>
  <c r="B17" i="1"/>
  <c r="E17" i="1"/>
  <c r="B13" i="1"/>
  <c r="E13" i="1"/>
  <c r="E46" i="1"/>
  <c r="B46" i="1"/>
  <c r="E38" i="1"/>
  <c r="B38" i="1"/>
  <c r="B26" i="1"/>
  <c r="E26" i="1"/>
  <c r="E48" i="1"/>
  <c r="B48" i="1"/>
  <c r="D48" i="4" l="1"/>
  <c r="B120" i="5"/>
  <c r="H54" i="20"/>
  <c r="U54" i="7"/>
  <c r="V100" i="5"/>
  <c r="V104" i="5"/>
  <c r="C44" i="5" a="1"/>
  <c r="C44" i="5" s="1"/>
  <c r="C48" i="5" a="1"/>
  <c r="C48" i="5" s="1"/>
  <c r="C47" i="5" a="1"/>
  <c r="C47" i="5" s="1"/>
  <c r="C48" i="4" a="1"/>
  <c r="C48" i="4" s="1"/>
  <c r="C43" i="5" a="1"/>
  <c r="C43" i="5" s="1"/>
  <c r="V102" i="5"/>
  <c r="V98" i="5"/>
  <c r="V103" i="5"/>
  <c r="V101" i="5"/>
  <c r="R95" i="5"/>
  <c r="S95" i="5"/>
  <c r="T95" i="5"/>
  <c r="U95" i="5"/>
  <c r="Q95" i="5"/>
  <c r="Q96" i="5"/>
  <c r="S96" i="5"/>
  <c r="T96" i="5"/>
  <c r="U96" i="5"/>
  <c r="R96" i="5"/>
  <c r="U97" i="5"/>
  <c r="Q97" i="5"/>
  <c r="R97" i="5"/>
  <c r="S97" i="5"/>
  <c r="T97" i="5"/>
  <c r="Q99" i="5"/>
  <c r="R99" i="5"/>
  <c r="S99" i="5"/>
  <c r="T99" i="5"/>
  <c r="U99" i="5"/>
  <c r="A9" i="5"/>
  <c r="D47" i="4"/>
  <c r="D36" i="4"/>
  <c r="B41" i="4"/>
  <c r="I27" i="5" a="1"/>
  <c r="I27" i="5" s="1"/>
  <c r="I27" i="4" s="1"/>
  <c r="D27" i="5" a="1"/>
  <c r="D27" i="5" s="1"/>
  <c r="I28" i="5" a="1"/>
  <c r="I28" i="5" s="1"/>
  <c r="I28" i="4" s="1"/>
  <c r="D28" i="5" a="1"/>
  <c r="D28" i="5" s="1"/>
  <c r="D19" i="5" a="1"/>
  <c r="D19" i="5" s="1"/>
  <c r="I19" i="5" a="1"/>
  <c r="I19" i="5" s="1"/>
  <c r="I19" i="4" s="1"/>
  <c r="D20" i="5" a="1"/>
  <c r="D20" i="5" s="1"/>
  <c r="I20" i="5" a="1"/>
  <c r="I20" i="5" s="1"/>
  <c r="I20" i="4" s="1"/>
  <c r="D23" i="5" a="1"/>
  <c r="D23" i="5" s="1"/>
  <c r="I23" i="5" a="1"/>
  <c r="I23" i="5" s="1"/>
  <c r="I23" i="4" s="1"/>
  <c r="I34" i="5" a="1"/>
  <c r="I34" i="5" s="1"/>
  <c r="I34" i="4" s="1"/>
  <c r="D34" i="5" a="1"/>
  <c r="D34" i="5" s="1"/>
  <c r="I41" i="5" a="1"/>
  <c r="I41" i="5" s="1"/>
  <c r="I41" i="4" s="1"/>
  <c r="D41" i="5" a="1"/>
  <c r="D41" i="5" s="1"/>
  <c r="D38" i="4"/>
  <c r="D49" i="4"/>
  <c r="I29" i="5" a="1"/>
  <c r="I29" i="5" s="1"/>
  <c r="I29" i="4" s="1"/>
  <c r="D29" i="5" a="1"/>
  <c r="D29" i="5" s="1"/>
  <c r="B40" i="4"/>
  <c r="I42" i="5" a="1"/>
  <c r="I42" i="5" s="1"/>
  <c r="I42" i="4" s="1"/>
  <c r="D42" i="5" a="1"/>
  <c r="D42" i="5" s="1"/>
  <c r="D43" i="4"/>
  <c r="D44" i="4"/>
  <c r="E40" i="5" a="1"/>
  <c r="E40" i="5" s="1"/>
  <c r="E40" i="4" s="1"/>
  <c r="I40" i="5" a="1"/>
  <c r="I40" i="5" s="1"/>
  <c r="I40" i="4" s="1"/>
  <c r="D40" i="5" a="1"/>
  <c r="D40" i="5" s="1"/>
  <c r="D49" i="5" a="1"/>
  <c r="D49" i="5" s="1"/>
  <c r="D47" i="5" a="1"/>
  <c r="D47" i="5" s="1"/>
  <c r="I38" i="5" a="1"/>
  <c r="I38" i="5" s="1"/>
  <c r="I38" i="4" s="1"/>
  <c r="D38" i="5" a="1"/>
  <c r="D38" i="5" s="1"/>
  <c r="I22" i="5" a="1"/>
  <c r="I22" i="5" s="1"/>
  <c r="I22" i="4" s="1"/>
  <c r="D22" i="5" a="1"/>
  <c r="D22" i="5" s="1"/>
  <c r="B42" i="4"/>
  <c r="D40" i="4"/>
  <c r="I45" i="5" a="1"/>
  <c r="I45" i="5" s="1"/>
  <c r="I45" i="4" s="1"/>
  <c r="D45" i="5" a="1"/>
  <c r="D45" i="5" s="1"/>
  <c r="D43" i="5" a="1"/>
  <c r="D43" i="5" s="1"/>
  <c r="I43" i="5" a="1"/>
  <c r="I43" i="5" s="1"/>
  <c r="I43" i="4" s="1"/>
  <c r="I31" i="5" a="1"/>
  <c r="I31" i="5" s="1"/>
  <c r="I31" i="4" s="1"/>
  <c r="D31" i="5" a="1"/>
  <c r="D31" i="5" s="1"/>
  <c r="D37" i="4"/>
  <c r="D48" i="5" a="1"/>
  <c r="D48" i="5" s="1"/>
  <c r="I25" i="5" a="1"/>
  <c r="I25" i="5" s="1"/>
  <c r="I25" i="4" s="1"/>
  <c r="D25" i="5" a="1"/>
  <c r="D25" i="5" s="1"/>
  <c r="B43" i="4"/>
  <c r="D24" i="5" a="1"/>
  <c r="D24" i="5" s="1"/>
  <c r="I24" i="5" a="1"/>
  <c r="I24" i="5" s="1"/>
  <c r="I24" i="4" s="1"/>
  <c r="D36" i="5" a="1"/>
  <c r="D36" i="5" s="1"/>
  <c r="I36" i="5" a="1"/>
  <c r="I36" i="5" s="1"/>
  <c r="I36" i="4" s="1"/>
  <c r="D46" i="4"/>
  <c r="B39" i="4"/>
  <c r="D44" i="5" a="1"/>
  <c r="D44" i="5" s="1"/>
  <c r="I44" i="5" a="1"/>
  <c r="I44" i="5" s="1"/>
  <c r="I44" i="4" s="1"/>
  <c r="I18" i="5" a="1"/>
  <c r="I18" i="5" s="1"/>
  <c r="I18" i="4" s="1"/>
  <c r="J19" i="7" s="1"/>
  <c r="D18" i="5" a="1"/>
  <c r="D18" i="5" s="1"/>
  <c r="D39" i="4"/>
  <c r="D45" i="4"/>
  <c r="I39" i="5" a="1"/>
  <c r="I39" i="5" s="1"/>
  <c r="I39" i="4" s="1"/>
  <c r="D39" i="5" a="1"/>
  <c r="D39" i="5" s="1"/>
  <c r="B44" i="4"/>
  <c r="D26" i="5" a="1"/>
  <c r="D26" i="5" s="1"/>
  <c r="I26" i="5" a="1"/>
  <c r="I26" i="5" s="1"/>
  <c r="I26" i="4" s="1"/>
  <c r="I21" i="5" a="1"/>
  <c r="I21" i="5" s="1"/>
  <c r="I21" i="4" s="1"/>
  <c r="D21" i="5" a="1"/>
  <c r="D21" i="5" s="1"/>
  <c r="I32" i="5" a="1"/>
  <c r="I32" i="5" s="1"/>
  <c r="I32" i="4" s="1"/>
  <c r="D32" i="5" a="1"/>
  <c r="D32" i="5" s="1"/>
  <c r="D33" i="5" a="1"/>
  <c r="D33" i="5" s="1"/>
  <c r="I33" i="5" a="1"/>
  <c r="I33" i="5" s="1"/>
  <c r="I33" i="4" s="1"/>
  <c r="D30" i="5" a="1"/>
  <c r="D30" i="5" s="1"/>
  <c r="I30" i="5" a="1"/>
  <c r="I30" i="5" s="1"/>
  <c r="I30" i="4" s="1"/>
  <c r="D42" i="4"/>
  <c r="D41" i="4"/>
  <c r="I35" i="5" a="1"/>
  <c r="I35" i="5" s="1"/>
  <c r="I35" i="4" s="1"/>
  <c r="D35" i="5" a="1"/>
  <c r="D35" i="5" s="1"/>
  <c r="D37" i="5" a="1"/>
  <c r="D37" i="5" s="1"/>
  <c r="I37" i="5" a="1"/>
  <c r="I37" i="5" s="1"/>
  <c r="L47" i="9" a="1"/>
  <c r="L47" i="9" s="1"/>
  <c r="L50" i="9" s="1"/>
  <c r="M47" i="9" a="1"/>
  <c r="M47" i="9" s="1"/>
  <c r="M50" i="9" s="1"/>
  <c r="N47" i="9" a="1"/>
  <c r="N47" i="9" s="1"/>
  <c r="N50" i="9" s="1"/>
  <c r="K47" i="9" a="1"/>
  <c r="K47" i="9" s="1"/>
  <c r="K50" i="9" s="1"/>
  <c r="N31" i="9" a="1"/>
  <c r="N31" i="9" s="1"/>
  <c r="M31" i="9" a="1"/>
  <c r="M31" i="9" s="1"/>
  <c r="L31" i="9" a="1"/>
  <c r="L31" i="9" s="1"/>
  <c r="O31" i="9" a="1"/>
  <c r="O31" i="9" s="1"/>
  <c r="U11" i="7"/>
  <c r="R20" i="7"/>
  <c r="T20" i="7"/>
  <c r="Q20" i="7"/>
  <c r="S20" i="7"/>
  <c r="P20" i="7"/>
  <c r="O39" i="9" a="1"/>
  <c r="O39" i="9" s="1"/>
  <c r="N39" i="9" a="1"/>
  <c r="N39" i="9" s="1"/>
  <c r="K39" i="9" a="1"/>
  <c r="K39" i="9" s="1"/>
  <c r="L39" i="9" a="1"/>
  <c r="L39" i="9" s="1"/>
  <c r="M39" i="9" a="1"/>
  <c r="M39" i="9" s="1"/>
  <c r="K34" i="9"/>
  <c r="Q17" i="7"/>
  <c r="R17" i="7"/>
  <c r="T17" i="7"/>
  <c r="P17" i="7"/>
  <c r="S17" i="7"/>
  <c r="T14" i="7"/>
  <c r="S14" i="7"/>
  <c r="Q14" i="7"/>
  <c r="R14" i="7"/>
  <c r="P14" i="7"/>
  <c r="L35" i="9" a="1"/>
  <c r="L35" i="9" s="1"/>
  <c r="N35" i="9" a="1"/>
  <c r="N35" i="9" s="1"/>
  <c r="O35" i="9" a="1"/>
  <c r="O35" i="9" s="1"/>
  <c r="M35" i="9" a="1"/>
  <c r="M35" i="9" s="1"/>
  <c r="K35" i="9" a="1"/>
  <c r="K35" i="9" s="1"/>
  <c r="N43" i="9" a="1"/>
  <c r="N43" i="9" s="1"/>
  <c r="L43" i="9" a="1"/>
  <c r="L43" i="9" s="1"/>
  <c r="K43" i="9" a="1"/>
  <c r="K43" i="9" s="1"/>
  <c r="O43" i="9" a="1"/>
  <c r="O43" i="9" s="1"/>
  <c r="M43" i="9" a="1"/>
  <c r="M43" i="9" s="1"/>
  <c r="A28" i="16"/>
  <c r="B13" i="4"/>
  <c r="B28" i="16" s="1"/>
  <c r="D16" i="4"/>
  <c r="D32" i="4"/>
  <c r="A29" i="16"/>
  <c r="B14" i="4"/>
  <c r="B29" i="16" s="1"/>
  <c r="B111" i="5"/>
  <c r="D21" i="4"/>
  <c r="D19" i="4"/>
  <c r="D13" i="4"/>
  <c r="B33" i="4"/>
  <c r="B114" i="5"/>
  <c r="A31" i="16"/>
  <c r="B16" i="4"/>
  <c r="B31" i="16" s="1"/>
  <c r="B25" i="4"/>
  <c r="B40" i="16" s="1"/>
  <c r="A40" i="16"/>
  <c r="B106" i="5"/>
  <c r="A38" i="16"/>
  <c r="B23" i="4"/>
  <c r="B38" i="16" s="1"/>
  <c r="B112" i="5"/>
  <c r="B121" i="5"/>
  <c r="A35" i="16"/>
  <c r="B20" i="4"/>
  <c r="B35" i="16" s="1"/>
  <c r="D23" i="4"/>
  <c r="D33" i="4"/>
  <c r="B123" i="5"/>
  <c r="B27" i="4"/>
  <c r="B42" i="16" s="1"/>
  <c r="A42" i="16"/>
  <c r="B34" i="4"/>
  <c r="B21" i="4"/>
  <c r="B36" i="16" s="1"/>
  <c r="A36" i="16"/>
  <c r="B109" i="5"/>
  <c r="B26" i="4"/>
  <c r="B41" i="16" s="1"/>
  <c r="A41" i="16"/>
  <c r="D27" i="4"/>
  <c r="B91" i="5"/>
  <c r="D26" i="4"/>
  <c r="D20" i="4"/>
  <c r="B110" i="5"/>
  <c r="B12" i="4"/>
  <c r="B27" i="16" s="1"/>
  <c r="A27" i="16"/>
  <c r="D25" i="4"/>
  <c r="D30" i="4"/>
  <c r="B119" i="5"/>
  <c r="D35" i="4"/>
  <c r="D12" i="4"/>
  <c r="D34" i="4"/>
  <c r="B30" i="4"/>
  <c r="D28" i="4"/>
  <c r="D29" i="4"/>
  <c r="B113" i="5"/>
  <c r="A25" i="16"/>
  <c r="B10" i="4"/>
  <c r="B25" i="16" s="1"/>
  <c r="A30" i="16"/>
  <c r="B15" i="4"/>
  <c r="B30" i="16" s="1"/>
  <c r="B93" i="5"/>
  <c r="B18" i="4"/>
  <c r="B33" i="16" s="1"/>
  <c r="A33" i="16"/>
  <c r="B11" i="4"/>
  <c r="B26" i="16" s="1"/>
  <c r="A26" i="16"/>
  <c r="B28" i="4"/>
  <c r="B29" i="4"/>
  <c r="D15" i="4"/>
  <c r="A37" i="16"/>
  <c r="B22" i="4"/>
  <c r="B37" i="16" s="1"/>
  <c r="D24" i="4"/>
  <c r="D11" i="4"/>
  <c r="D17" i="4"/>
  <c r="D10" i="4"/>
  <c r="D31" i="4"/>
  <c r="B35" i="4"/>
  <c r="D14" i="4"/>
  <c r="D18" i="4"/>
  <c r="B92" i="5"/>
  <c r="B19" i="4"/>
  <c r="B34" i="16" s="1"/>
  <c r="A34" i="16"/>
  <c r="B122" i="5"/>
  <c r="B9" i="1"/>
  <c r="E9" i="1"/>
  <c r="A9" i="4"/>
  <c r="A32" i="16"/>
  <c r="B17" i="4"/>
  <c r="B32" i="16" s="1"/>
  <c r="B31" i="4"/>
  <c r="D22" i="4"/>
  <c r="B32" i="4"/>
  <c r="A39" i="16"/>
  <c r="B24" i="4"/>
  <c r="B39" i="16" s="1"/>
  <c r="I37" i="4" l="1"/>
  <c r="G11" i="19"/>
  <c r="G7" i="20" s="1"/>
  <c r="G18" i="20" s="1"/>
  <c r="G20" i="20" s="1"/>
  <c r="L46" i="9"/>
  <c r="N46" i="9"/>
  <c r="M46" i="9"/>
  <c r="O46" i="9"/>
  <c r="M42" i="9"/>
  <c r="L42" i="9"/>
  <c r="N42" i="9"/>
  <c r="O42" i="9"/>
  <c r="M38" i="9"/>
  <c r="O38" i="9"/>
  <c r="N38" i="9"/>
  <c r="L38" i="9"/>
  <c r="O34" i="9"/>
  <c r="L34" i="9"/>
  <c r="M34" i="9"/>
  <c r="N34" i="9"/>
  <c r="G5" i="1"/>
  <c r="G21" i="5" a="1"/>
  <c r="G21" i="5" s="1"/>
  <c r="G21" i="4" s="1"/>
  <c r="E32" i="5" a="1"/>
  <c r="E32" i="5" s="1"/>
  <c r="E32" i="4" s="1"/>
  <c r="E21" i="5" a="1"/>
  <c r="E21" i="5" s="1"/>
  <c r="E21" i="4" s="1"/>
  <c r="F32" i="5" a="1"/>
  <c r="F32" i="5" s="1"/>
  <c r="F32" i="4" s="1"/>
  <c r="E41" i="5" a="1"/>
  <c r="E41" i="5" s="1"/>
  <c r="E41" i="4" s="1"/>
  <c r="F18" i="5" a="1"/>
  <c r="F18" i="5" s="1"/>
  <c r="F18" i="4" s="1"/>
  <c r="G19" i="7" s="1"/>
  <c r="H26" i="5" a="1"/>
  <c r="H26" i="5" s="1"/>
  <c r="H26" i="4" s="1"/>
  <c r="E20" i="5" a="1"/>
  <c r="E20" i="5" s="1"/>
  <c r="E20" i="4" s="1"/>
  <c r="F21" i="5" a="1"/>
  <c r="F21" i="5" s="1"/>
  <c r="F21" i="4" s="1"/>
  <c r="E36" i="5" a="1"/>
  <c r="E36" i="5" s="1"/>
  <c r="E36" i="4" s="1"/>
  <c r="E19" i="5" a="1"/>
  <c r="E19" i="5" s="1"/>
  <c r="E19" i="4" s="1"/>
  <c r="F19" i="5" a="1"/>
  <c r="F19" i="5" s="1"/>
  <c r="F19" i="4" s="1"/>
  <c r="E27" i="5" a="1"/>
  <c r="E27" i="5" s="1"/>
  <c r="E27" i="4" s="1"/>
  <c r="H30" i="5" a="1"/>
  <c r="H30" i="5" s="1"/>
  <c r="H30" i="4" s="1"/>
  <c r="E33" i="5" a="1"/>
  <c r="E33" i="5" s="1"/>
  <c r="E33" i="4" s="1"/>
  <c r="H31" i="5" a="1"/>
  <c r="H31" i="5" s="1"/>
  <c r="H31" i="4" s="1"/>
  <c r="H21" i="5" a="1"/>
  <c r="H21" i="5" s="1"/>
  <c r="H21" i="4" s="1"/>
  <c r="E42" i="5" a="1"/>
  <c r="E42" i="5" s="1"/>
  <c r="E42" i="4" s="1"/>
  <c r="H34" i="5" a="1"/>
  <c r="H34" i="5" s="1"/>
  <c r="H34" i="4" s="1"/>
  <c r="F23" i="5" a="1"/>
  <c r="F23" i="5" s="1"/>
  <c r="F23" i="4" s="1"/>
  <c r="H24" i="5" a="1"/>
  <c r="H24" i="5" s="1"/>
  <c r="H24" i="4" s="1"/>
  <c r="G32" i="5" a="1"/>
  <c r="G32" i="5" s="1"/>
  <c r="G32" i="4" s="1"/>
  <c r="H28" i="5" a="1"/>
  <c r="H28" i="5" s="1"/>
  <c r="H28" i="4" s="1"/>
  <c r="G19" i="5" a="1"/>
  <c r="G19" i="5" s="1"/>
  <c r="G19" i="4" s="1"/>
  <c r="G22" i="5" a="1"/>
  <c r="G22" i="5" s="1"/>
  <c r="G22" i="4" s="1"/>
  <c r="G27" i="5" a="1"/>
  <c r="G27" i="5" s="1"/>
  <c r="G27" i="4" s="1"/>
  <c r="E42" i="16" s="1"/>
  <c r="H33" i="5" a="1"/>
  <c r="H33" i="5" s="1"/>
  <c r="H33" i="4" s="1"/>
  <c r="E39" i="5" a="1"/>
  <c r="E39" i="5" s="1"/>
  <c r="E39" i="4" s="1"/>
  <c r="E44" i="5" a="1"/>
  <c r="E44" i="5" s="1"/>
  <c r="E44" i="4" s="1"/>
  <c r="F28" i="5" a="1"/>
  <c r="F28" i="5" s="1"/>
  <c r="F28" i="4" s="1"/>
  <c r="E31" i="5" a="1"/>
  <c r="E31" i="5" s="1"/>
  <c r="E31" i="4" s="1"/>
  <c r="F29" i="5" a="1"/>
  <c r="F29" i="5" s="1"/>
  <c r="F29" i="4" s="1"/>
  <c r="G29" i="5" a="1"/>
  <c r="G29" i="5" s="1"/>
  <c r="G29" i="4" s="1"/>
  <c r="H27" i="5" a="1"/>
  <c r="H27" i="5" s="1"/>
  <c r="H27" i="4" s="1"/>
  <c r="H25" i="5" a="1"/>
  <c r="H25" i="5" s="1"/>
  <c r="H25" i="4" s="1"/>
  <c r="G23" i="5" a="1"/>
  <c r="G23" i="5" s="1"/>
  <c r="G23" i="4" s="1"/>
  <c r="E22" i="5" a="1"/>
  <c r="E22" i="5" s="1"/>
  <c r="E22" i="4" s="1"/>
  <c r="G28" i="5" a="1"/>
  <c r="G28" i="5" s="1"/>
  <c r="G28" i="4" s="1"/>
  <c r="E26" i="5" a="1"/>
  <c r="E26" i="5" s="1"/>
  <c r="E26" i="4" s="1"/>
  <c r="H22" i="5" a="1"/>
  <c r="H22" i="5" s="1"/>
  <c r="H22" i="4" s="1"/>
  <c r="E23" i="5" a="1"/>
  <c r="E23" i="5" s="1"/>
  <c r="E23" i="4" s="1"/>
  <c r="G31" i="5" a="1"/>
  <c r="G31" i="5" s="1"/>
  <c r="G31" i="4" s="1"/>
  <c r="F31" i="5" a="1"/>
  <c r="F31" i="5" s="1"/>
  <c r="F31" i="4" s="1"/>
  <c r="G30" i="5" a="1"/>
  <c r="G30" i="5" s="1"/>
  <c r="G30" i="4" s="1"/>
  <c r="F26" i="5" a="1"/>
  <c r="F26" i="5" s="1"/>
  <c r="F26" i="4" s="1"/>
  <c r="G26" i="5" a="1"/>
  <c r="G26" i="5" s="1"/>
  <c r="G26" i="4" s="1"/>
  <c r="F33" i="5" a="1"/>
  <c r="F33" i="5" s="1"/>
  <c r="F33" i="4" s="1"/>
  <c r="H20" i="5" a="1"/>
  <c r="H20" i="5" s="1"/>
  <c r="H20" i="4" s="1"/>
  <c r="H19" i="5" a="1"/>
  <c r="H19" i="5" s="1"/>
  <c r="H19" i="4" s="1"/>
  <c r="G33" i="5" a="1"/>
  <c r="G33" i="5" s="1"/>
  <c r="G33" i="4" s="1"/>
  <c r="F24" i="5" a="1"/>
  <c r="F24" i="5" s="1"/>
  <c r="F24" i="4" s="1"/>
  <c r="E29" i="5" a="1"/>
  <c r="E29" i="5" s="1"/>
  <c r="E29" i="4" s="1"/>
  <c r="E30" i="5" a="1"/>
  <c r="E30" i="5" s="1"/>
  <c r="E30" i="4" s="1"/>
  <c r="H29" i="5" a="1"/>
  <c r="H29" i="5" s="1"/>
  <c r="H29" i="4" s="1"/>
  <c r="E25" i="5" a="1"/>
  <c r="E25" i="5" s="1"/>
  <c r="E25" i="4" s="1"/>
  <c r="E38" i="5" a="1"/>
  <c r="E38" i="5" s="1"/>
  <c r="E38" i="4" s="1"/>
  <c r="E24" i="5" a="1"/>
  <c r="E24" i="5" s="1"/>
  <c r="E24" i="4" s="1"/>
  <c r="E28" i="5" a="1"/>
  <c r="E28" i="5" s="1"/>
  <c r="E28" i="4" s="1"/>
  <c r="F34" i="5" a="1"/>
  <c r="F34" i="5" s="1"/>
  <c r="F34" i="4" s="1"/>
  <c r="F27" i="5" a="1"/>
  <c r="F27" i="5" s="1"/>
  <c r="F27" i="4" s="1"/>
  <c r="H32" i="5" a="1"/>
  <c r="H32" i="5" s="1"/>
  <c r="H32" i="4" s="1"/>
  <c r="G24" i="5" a="1"/>
  <c r="G24" i="5" s="1"/>
  <c r="G24" i="4" s="1"/>
  <c r="H18" i="5" a="1"/>
  <c r="H18" i="5" s="1"/>
  <c r="H18" i="4" s="1"/>
  <c r="I19" i="7" s="1"/>
  <c r="G18" i="5" a="1"/>
  <c r="G18" i="5" s="1"/>
  <c r="G18" i="4" s="1"/>
  <c r="H19" i="7" s="1"/>
  <c r="F22" i="5" a="1"/>
  <c r="F22" i="5" s="1"/>
  <c r="F22" i="4" s="1"/>
  <c r="F30" i="5" a="1"/>
  <c r="F30" i="5" s="1"/>
  <c r="F30" i="4" s="1"/>
  <c r="G20" i="5" a="1"/>
  <c r="G20" i="5" s="1"/>
  <c r="G20" i="4" s="1"/>
  <c r="G34" i="5" a="1"/>
  <c r="G34" i="5" s="1"/>
  <c r="G34" i="4" s="1"/>
  <c r="H23" i="5" a="1"/>
  <c r="H23" i="5" s="1"/>
  <c r="H23" i="4" s="1"/>
  <c r="E48" i="5" a="1"/>
  <c r="E48" i="5" s="1"/>
  <c r="E48" i="4" s="1"/>
  <c r="E34" i="5" a="1"/>
  <c r="E34" i="5" s="1"/>
  <c r="E34" i="4" s="1"/>
  <c r="E18" i="5" a="1"/>
  <c r="E18" i="5" s="1"/>
  <c r="E18" i="4" s="1"/>
  <c r="F19" i="7" s="1"/>
  <c r="I9" i="5" a="1"/>
  <c r="I9" i="5" s="1"/>
  <c r="W54" i="7"/>
  <c r="H59" i="20"/>
  <c r="D9" i="5" a="1"/>
  <c r="D9" i="5" s="1"/>
  <c r="H9" i="5" a="1"/>
  <c r="H9" i="5" s="1"/>
  <c r="H9" i="4" s="1"/>
  <c r="G9" i="5" a="1"/>
  <c r="G9" i="5" s="1"/>
  <c r="F9" i="5" a="1"/>
  <c r="F9" i="5" s="1"/>
  <c r="E9" i="5" a="1"/>
  <c r="E9" i="5" s="1"/>
  <c r="V95" i="5"/>
  <c r="B48" i="5"/>
  <c r="M66" i="5"/>
  <c r="M65" i="5"/>
  <c r="I9" i="4"/>
  <c r="C46" i="5" a="1"/>
  <c r="C46" i="5" s="1"/>
  <c r="V97" i="5"/>
  <c r="V96" i="5"/>
  <c r="V99" i="5"/>
  <c r="E37" i="5" a="1"/>
  <c r="E37" i="5" s="1"/>
  <c r="D46" i="5" a="1"/>
  <c r="D46" i="5" s="1"/>
  <c r="G17" i="5" a="1"/>
  <c r="G17" i="5" s="1"/>
  <c r="G17" i="4" s="1"/>
  <c r="I11" i="5" a="1"/>
  <c r="I11" i="5" s="1"/>
  <c r="I11" i="4" s="1"/>
  <c r="G26" i="16" s="1"/>
  <c r="H13" i="5" a="1"/>
  <c r="H13" i="5" s="1"/>
  <c r="H13" i="4" s="1"/>
  <c r="G15" i="5" a="1"/>
  <c r="G15" i="5" s="1"/>
  <c r="G15" i="4" s="1"/>
  <c r="D11" i="5" a="1"/>
  <c r="D11" i="5" s="1"/>
  <c r="D10" i="5" a="1"/>
  <c r="D10" i="5" s="1"/>
  <c r="F14" i="5" a="1"/>
  <c r="F14" i="5" s="1"/>
  <c r="F14" i="4" s="1"/>
  <c r="I10" i="5" a="1"/>
  <c r="I10" i="5" s="1"/>
  <c r="I10" i="4" s="1"/>
  <c r="G25" i="16" s="1"/>
  <c r="I46" i="5" a="1"/>
  <c r="I46" i="5" s="1"/>
  <c r="I46" i="4" s="1"/>
  <c r="E16" i="5" a="1"/>
  <c r="E16" i="5" s="1"/>
  <c r="E16" i="4" s="1"/>
  <c r="F15" i="5" a="1"/>
  <c r="F15" i="5" s="1"/>
  <c r="F15" i="4" s="1"/>
  <c r="D16" i="5" a="1"/>
  <c r="D16" i="5" s="1"/>
  <c r="I13" i="5" a="1"/>
  <c r="I13" i="5" s="1"/>
  <c r="I13" i="4" s="1"/>
  <c r="G28" i="16" s="1"/>
  <c r="H17" i="5" a="1"/>
  <c r="H17" i="5" s="1"/>
  <c r="H17" i="4" s="1"/>
  <c r="E14" i="5" a="1"/>
  <c r="E14" i="5" s="1"/>
  <c r="E14" i="4" s="1"/>
  <c r="I12" i="5" a="1"/>
  <c r="I12" i="5" s="1"/>
  <c r="I12" i="4" s="1"/>
  <c r="G27" i="16" s="1"/>
  <c r="I16" i="5" a="1"/>
  <c r="I16" i="5" s="1"/>
  <c r="I16" i="4" s="1"/>
  <c r="G31" i="16" s="1"/>
  <c r="D17" i="5" a="1"/>
  <c r="D17" i="5" s="1"/>
  <c r="D13" i="5" a="1"/>
  <c r="D13" i="5" s="1"/>
  <c r="B46" i="5"/>
  <c r="E13" i="5" a="1"/>
  <c r="E13" i="5" s="1"/>
  <c r="E13" i="4" s="1"/>
  <c r="F11" i="5" a="1"/>
  <c r="F11" i="5" s="1"/>
  <c r="F11" i="4" s="1"/>
  <c r="D12" i="5" a="1"/>
  <c r="D12" i="5" s="1"/>
  <c r="I17" i="5" a="1"/>
  <c r="I17" i="5" s="1"/>
  <c r="I17" i="4" s="1"/>
  <c r="G32" i="16" s="1"/>
  <c r="F16" i="5" a="1"/>
  <c r="F16" i="5" s="1"/>
  <c r="F16" i="4" s="1"/>
  <c r="F12" i="5" a="1"/>
  <c r="F12" i="5" s="1"/>
  <c r="F12" i="4" s="1"/>
  <c r="H12" i="5" a="1"/>
  <c r="H12" i="5" s="1"/>
  <c r="H12" i="4" s="1"/>
  <c r="G14" i="5" a="1"/>
  <c r="G14" i="5" s="1"/>
  <c r="G14" i="4" s="1"/>
  <c r="D14" i="5" a="1"/>
  <c r="D14" i="5" s="1"/>
  <c r="F13" i="5" a="1"/>
  <c r="F13" i="5" s="1"/>
  <c r="F13" i="4" s="1"/>
  <c r="H14" i="5" a="1"/>
  <c r="H14" i="5" s="1"/>
  <c r="H14" i="4" s="1"/>
  <c r="H11" i="5" a="1"/>
  <c r="H11" i="5" s="1"/>
  <c r="H11" i="4" s="1"/>
  <c r="D15" i="5" a="1"/>
  <c r="D15" i="5" s="1"/>
  <c r="I14" i="5" a="1"/>
  <c r="I14" i="5" s="1"/>
  <c r="I14" i="4" s="1"/>
  <c r="G29" i="16" s="1"/>
  <c r="H10" i="5" a="1"/>
  <c r="H10" i="5" s="1"/>
  <c r="H10" i="4" s="1"/>
  <c r="G12" i="5" a="1"/>
  <c r="G12" i="5" s="1"/>
  <c r="G12" i="4" s="1"/>
  <c r="I15" i="5" a="1"/>
  <c r="I15" i="5" s="1"/>
  <c r="I15" i="4" s="1"/>
  <c r="G30" i="16" s="1"/>
  <c r="F17" i="5" a="1"/>
  <c r="F17" i="5" s="1"/>
  <c r="F17" i="4" s="1"/>
  <c r="E17" i="5" a="1"/>
  <c r="E17" i="5" s="1"/>
  <c r="E17" i="4" s="1"/>
  <c r="G11" i="5" a="1"/>
  <c r="G11" i="5" s="1"/>
  <c r="G11" i="4" s="1"/>
  <c r="E15" i="5" a="1"/>
  <c r="E15" i="5" s="1"/>
  <c r="E15" i="4" s="1"/>
  <c r="H15" i="5" a="1"/>
  <c r="H15" i="5" s="1"/>
  <c r="H15" i="4" s="1"/>
  <c r="H16" i="5" a="1"/>
  <c r="H16" i="5" s="1"/>
  <c r="H16" i="4" s="1"/>
  <c r="G13" i="5" a="1"/>
  <c r="G13" i="5" s="1"/>
  <c r="G13" i="4" s="1"/>
  <c r="G10" i="5" a="1"/>
  <c r="G10" i="5" s="1"/>
  <c r="G10" i="4" s="1"/>
  <c r="F10" i="5" a="1"/>
  <c r="F10" i="5" s="1"/>
  <c r="F10" i="4" s="1"/>
  <c r="E10" i="5" a="1"/>
  <c r="E10" i="5" s="1"/>
  <c r="E10" i="4" s="1"/>
  <c r="E11" i="5" a="1"/>
  <c r="E11" i="5" s="1"/>
  <c r="E11" i="4" s="1"/>
  <c r="E35" i="5" a="1"/>
  <c r="E35" i="5" s="1"/>
  <c r="E35" i="4" s="1"/>
  <c r="H35" i="5" a="1"/>
  <c r="H35" i="5" s="1"/>
  <c r="H35" i="4" s="1"/>
  <c r="E46" i="5" a="1"/>
  <c r="E46" i="5" s="1"/>
  <c r="E46" i="4" s="1"/>
  <c r="B47" i="5"/>
  <c r="G25" i="5" a="1"/>
  <c r="G25" i="5" s="1"/>
  <c r="G25" i="4" s="1"/>
  <c r="I47" i="5" a="1"/>
  <c r="I47" i="5" s="1"/>
  <c r="I47" i="4" s="1"/>
  <c r="B45" i="5"/>
  <c r="B49" i="5"/>
  <c r="E43" i="5" a="1"/>
  <c r="E43" i="5" s="1"/>
  <c r="E43" i="4" s="1"/>
  <c r="G35" i="5" a="1"/>
  <c r="G35" i="5" s="1"/>
  <c r="G35" i="4" s="1"/>
  <c r="I49" i="5" a="1"/>
  <c r="I49" i="5" s="1"/>
  <c r="I49" i="4" s="1"/>
  <c r="F25" i="5" a="1"/>
  <c r="F25" i="5" s="1"/>
  <c r="F25" i="4" s="1"/>
  <c r="D40" i="16" s="1"/>
  <c r="I48" i="5" a="1"/>
  <c r="I48" i="5" s="1"/>
  <c r="I48" i="4" s="1"/>
  <c r="F35" i="5" a="1"/>
  <c r="F35" i="5" s="1"/>
  <c r="F35" i="4" s="1"/>
  <c r="H5" i="1"/>
  <c r="G89" i="7" s="1"/>
  <c r="F89" i="7"/>
  <c r="C36" i="4" a="1"/>
  <c r="C36" i="4" s="1"/>
  <c r="C37" i="4" a="1"/>
  <c r="C37" i="4" s="1"/>
  <c r="M64" i="5"/>
  <c r="M61" i="5"/>
  <c r="M62" i="5"/>
  <c r="M63" i="5"/>
  <c r="C38" i="4" a="1"/>
  <c r="C38" i="4" s="1"/>
  <c r="B19" i="5"/>
  <c r="M60" i="5"/>
  <c r="P50" i="9"/>
  <c r="C39" i="5" a="1"/>
  <c r="C39" i="5" s="1"/>
  <c r="B27" i="5"/>
  <c r="C43" i="4" a="1"/>
  <c r="C43" i="4" s="1"/>
  <c r="F45" i="5" a="1"/>
  <c r="F45" i="5" s="1"/>
  <c r="F45" i="4" s="1"/>
  <c r="C40" i="4" a="1"/>
  <c r="C40" i="4" s="1"/>
  <c r="B37" i="5"/>
  <c r="F36" i="5" a="1"/>
  <c r="F36" i="5" s="1"/>
  <c r="F36" i="4" s="1"/>
  <c r="E12" i="5" a="1"/>
  <c r="E12" i="5" s="1"/>
  <c r="E12" i="4" s="1"/>
  <c r="C36" i="5" a="1"/>
  <c r="C36" i="5" s="1"/>
  <c r="G49" i="5" a="1"/>
  <c r="G49" i="5" s="1"/>
  <c r="G49" i="4" s="1"/>
  <c r="B20" i="5"/>
  <c r="C28" i="5" a="1"/>
  <c r="C28" i="5" s="1"/>
  <c r="C27" i="5" a="1"/>
  <c r="C27" i="5" s="1"/>
  <c r="H37" i="5" a="1"/>
  <c r="H37" i="5" s="1"/>
  <c r="C12" i="5" a="1"/>
  <c r="C12" i="5" s="1"/>
  <c r="B25" i="5"/>
  <c r="F48" i="5" a="1"/>
  <c r="F48" i="5" s="1"/>
  <c r="F48" i="4" s="1"/>
  <c r="E45" i="5" a="1"/>
  <c r="E45" i="5" s="1"/>
  <c r="E45" i="4" s="1"/>
  <c r="B38" i="5"/>
  <c r="H49" i="5" a="1"/>
  <c r="H49" i="5" s="1"/>
  <c r="H49" i="4" s="1"/>
  <c r="B40" i="5"/>
  <c r="G42" i="5" a="1"/>
  <c r="G42" i="5" s="1"/>
  <c r="G42" i="4" s="1"/>
  <c r="C41" i="5" a="1"/>
  <c r="C41" i="5" s="1"/>
  <c r="B23" i="5"/>
  <c r="G37" i="5" a="1"/>
  <c r="G37" i="5" s="1"/>
  <c r="B33" i="5"/>
  <c r="C26" i="5" a="1"/>
  <c r="C26" i="5" s="1"/>
  <c r="B44" i="5"/>
  <c r="B17" i="5"/>
  <c r="C38" i="5" a="1"/>
  <c r="C38" i="5" s="1"/>
  <c r="F49" i="5" a="1"/>
  <c r="F49" i="5" s="1"/>
  <c r="F49" i="4" s="1"/>
  <c r="C42" i="5" a="1"/>
  <c r="C42" i="5" s="1"/>
  <c r="C29" i="5" a="1"/>
  <c r="C29" i="5" s="1"/>
  <c r="C13" i="5" a="1"/>
  <c r="C13" i="5" s="1"/>
  <c r="B10" i="5"/>
  <c r="C30" i="5" a="1"/>
  <c r="C30" i="5" s="1"/>
  <c r="C33" i="5" a="1"/>
  <c r="C33" i="5" s="1"/>
  <c r="C44" i="4" a="1"/>
  <c r="C44" i="4" s="1"/>
  <c r="C18" i="5" a="1"/>
  <c r="C18" i="5" s="1"/>
  <c r="B24" i="5"/>
  <c r="H48" i="5" a="1"/>
  <c r="H48" i="5" s="1"/>
  <c r="H48" i="4" s="1"/>
  <c r="C45" i="5" a="1"/>
  <c r="C45" i="5" s="1"/>
  <c r="B22" i="5"/>
  <c r="H38" i="5" a="1"/>
  <c r="H38" i="5" s="1"/>
  <c r="H38" i="4" s="1"/>
  <c r="E49" i="5" a="1"/>
  <c r="E49" i="5" s="1"/>
  <c r="E49" i="4" s="1"/>
  <c r="F42" i="5" a="1"/>
  <c r="F42" i="5" s="1"/>
  <c r="F42" i="4" s="1"/>
  <c r="B28" i="5"/>
  <c r="B14" i="5"/>
  <c r="B11" i="5"/>
  <c r="C37" i="5" a="1"/>
  <c r="C37" i="5" s="1"/>
  <c r="B15" i="5"/>
  <c r="G16" i="5" a="1"/>
  <c r="G16" i="5" s="1"/>
  <c r="G16" i="4" s="1"/>
  <c r="E31" i="16" s="1"/>
  <c r="H44" i="5" a="1"/>
  <c r="H44" i="5" s="1"/>
  <c r="H44" i="4" s="1"/>
  <c r="G48" i="5" a="1"/>
  <c r="G48" i="5" s="1"/>
  <c r="G48" i="4" s="1"/>
  <c r="F41" i="5" a="1"/>
  <c r="F41" i="5" s="1"/>
  <c r="F41" i="4" s="1"/>
  <c r="F20" i="5" a="1"/>
  <c r="F20" i="5" s="1"/>
  <c r="F20" i="4" s="1"/>
  <c r="D35" i="16" s="1"/>
  <c r="F37" i="5" a="1"/>
  <c r="F37" i="5" s="1"/>
  <c r="C15" i="5" a="1"/>
  <c r="C15" i="5" s="1"/>
  <c r="H39" i="5" a="1"/>
  <c r="H39" i="5" s="1"/>
  <c r="H39" i="4" s="1"/>
  <c r="G44" i="5" a="1"/>
  <c r="G44" i="5" s="1"/>
  <c r="G44" i="4" s="1"/>
  <c r="H43" i="5" a="1"/>
  <c r="H43" i="5" s="1"/>
  <c r="H43" i="4" s="1"/>
  <c r="H45" i="5" a="1"/>
  <c r="H45" i="5" s="1"/>
  <c r="H45" i="4" s="1"/>
  <c r="C22" i="5" a="1"/>
  <c r="C22" i="5" s="1"/>
  <c r="H42" i="5" a="1"/>
  <c r="H42" i="5" s="1"/>
  <c r="H42" i="4" s="1"/>
  <c r="C23" i="5" a="1"/>
  <c r="C23" i="5" s="1"/>
  <c r="C10" i="5" a="1"/>
  <c r="C10" i="5" s="1"/>
  <c r="C46" i="4" a="1"/>
  <c r="C46" i="4" s="1"/>
  <c r="F40" i="5" a="1"/>
  <c r="F40" i="5" s="1"/>
  <c r="F40" i="4" s="1"/>
  <c r="B35" i="5"/>
  <c r="G39" i="5" a="1"/>
  <c r="G39" i="5" s="1"/>
  <c r="G39" i="4" s="1"/>
  <c r="F44" i="5" a="1"/>
  <c r="F44" i="5" s="1"/>
  <c r="F44" i="4" s="1"/>
  <c r="C25" i="5" a="1"/>
  <c r="C25" i="5" s="1"/>
  <c r="G43" i="5" a="1"/>
  <c r="G43" i="5" s="1"/>
  <c r="G43" i="4" s="1"/>
  <c r="G45" i="5" a="1"/>
  <c r="G45" i="5" s="1"/>
  <c r="G45" i="4" s="1"/>
  <c r="B42" i="5"/>
  <c r="B41" i="5"/>
  <c r="C19" i="5" a="1"/>
  <c r="C19" i="5" s="1"/>
  <c r="H46" i="5" a="1"/>
  <c r="H46" i="5" s="1"/>
  <c r="H46" i="4" s="1"/>
  <c r="C11" i="5" a="1"/>
  <c r="C11" i="5" s="1"/>
  <c r="B30" i="5"/>
  <c r="B21" i="5"/>
  <c r="B16" i="5"/>
  <c r="B18" i="5"/>
  <c r="C24" i="5" a="1"/>
  <c r="C24" i="5" s="1"/>
  <c r="B43" i="5"/>
  <c r="H47" i="5" a="1"/>
  <c r="H47" i="5" s="1"/>
  <c r="H47" i="4" s="1"/>
  <c r="C9" i="5" a="1"/>
  <c r="C9" i="5" s="1"/>
  <c r="H41" i="5" a="1"/>
  <c r="H41" i="5" s="1"/>
  <c r="H41" i="4" s="1"/>
  <c r="B12" i="5"/>
  <c r="C35" i="5" a="1"/>
  <c r="C35" i="5" s="1"/>
  <c r="C32" i="5" a="1"/>
  <c r="C32" i="5" s="1"/>
  <c r="C21" i="5" a="1"/>
  <c r="C21" i="5" s="1"/>
  <c r="B26" i="5"/>
  <c r="F39" i="5" a="1"/>
  <c r="F39" i="5" s="1"/>
  <c r="F39" i="4" s="1"/>
  <c r="C16" i="5" a="1"/>
  <c r="C16" i="5" s="1"/>
  <c r="C39" i="4" a="1"/>
  <c r="C39" i="4" s="1"/>
  <c r="B36" i="5"/>
  <c r="C31" i="5" a="1"/>
  <c r="C31" i="5" s="1"/>
  <c r="F43" i="5" a="1"/>
  <c r="F43" i="5" s="1"/>
  <c r="F43" i="4" s="1"/>
  <c r="F38" i="5" a="1"/>
  <c r="F38" i="5" s="1"/>
  <c r="F38" i="4" s="1"/>
  <c r="G47" i="5" a="1"/>
  <c r="G47" i="5" s="1"/>
  <c r="G47" i="4" s="1"/>
  <c r="H40" i="5" a="1"/>
  <c r="H40" i="5" s="1"/>
  <c r="H40" i="4" s="1"/>
  <c r="B29" i="5"/>
  <c r="G41" i="5" a="1"/>
  <c r="G41" i="5" s="1"/>
  <c r="G41" i="4" s="1"/>
  <c r="B34" i="5"/>
  <c r="C14" i="5" a="1"/>
  <c r="C14" i="5" s="1"/>
  <c r="G46" i="5" a="1"/>
  <c r="G46" i="5" s="1"/>
  <c r="G46" i="4" s="1"/>
  <c r="C17" i="5" a="1"/>
  <c r="C17" i="5" s="1"/>
  <c r="H36" i="5" a="1"/>
  <c r="H36" i="5" s="1"/>
  <c r="H36" i="4" s="1"/>
  <c r="C45" i="4" a="1"/>
  <c r="C45" i="4" s="1"/>
  <c r="G38" i="5" a="1"/>
  <c r="G38" i="5" s="1"/>
  <c r="G38" i="4" s="1"/>
  <c r="F47" i="5" a="1"/>
  <c r="F47" i="5" s="1"/>
  <c r="F47" i="4" s="1"/>
  <c r="G40" i="5" a="1"/>
  <c r="G40" i="5" s="1"/>
  <c r="G40" i="4" s="1"/>
  <c r="C47" i="4" a="1"/>
  <c r="C47" i="4" s="1"/>
  <c r="B13" i="5"/>
  <c r="C34" i="5" a="1"/>
  <c r="C34" i="5" s="1"/>
  <c r="C20" i="5" a="1"/>
  <c r="C20" i="5" s="1"/>
  <c r="F46" i="5" a="1"/>
  <c r="F46" i="5" s="1"/>
  <c r="F46" i="4" s="1"/>
  <c r="B32" i="5"/>
  <c r="B39" i="5"/>
  <c r="G36" i="5" a="1"/>
  <c r="G36" i="5" s="1"/>
  <c r="G36" i="4" s="1"/>
  <c r="B31" i="5"/>
  <c r="C42" i="4" a="1"/>
  <c r="C42" i="4" s="1"/>
  <c r="E47" i="5" a="1"/>
  <c r="E47" i="5" s="1"/>
  <c r="E47" i="4" s="1"/>
  <c r="C40" i="5" a="1"/>
  <c r="C40" i="5" s="1"/>
  <c r="C49" i="4" a="1"/>
  <c r="C49" i="4" s="1"/>
  <c r="C41" i="4" a="1"/>
  <c r="C41" i="4" s="1"/>
  <c r="P47" i="9"/>
  <c r="M103" i="5"/>
  <c r="M101" i="5"/>
  <c r="M104" i="5"/>
  <c r="M98" i="5"/>
  <c r="M102" i="5"/>
  <c r="M100" i="5"/>
  <c r="M9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86" i="5"/>
  <c r="M88" i="5"/>
  <c r="M89" i="5"/>
  <c r="M83" i="5"/>
  <c r="M84" i="5"/>
  <c r="M87" i="5"/>
  <c r="M85" i="5"/>
  <c r="M82" i="5"/>
  <c r="C29" i="4" a="1"/>
  <c r="C29" i="4" s="1"/>
  <c r="U20" i="7"/>
  <c r="P31" i="9"/>
  <c r="C32" i="4" a="1"/>
  <c r="C32" i="4" s="1"/>
  <c r="C22" i="4" a="1"/>
  <c r="C22" i="4" s="1"/>
  <c r="C28" i="4" a="1"/>
  <c r="C28" i="4" s="1"/>
  <c r="U14" i="7"/>
  <c r="P39" i="9"/>
  <c r="K42" i="9"/>
  <c r="K46" i="9"/>
  <c r="P43" i="9"/>
  <c r="U17" i="7"/>
  <c r="K38" i="9"/>
  <c r="P35" i="9"/>
  <c r="C24" i="4" a="1"/>
  <c r="C24" i="4" s="1"/>
  <c r="C15" i="4" a="1"/>
  <c r="C15" i="4" s="1"/>
  <c r="C18" i="4" a="1"/>
  <c r="C18" i="4" s="1"/>
  <c r="C11" i="4" a="1"/>
  <c r="C11" i="4" s="1"/>
  <c r="C17" i="4" a="1"/>
  <c r="C17" i="4" s="1"/>
  <c r="C31" i="4" a="1"/>
  <c r="C31" i="4" s="1"/>
  <c r="C26" i="4" a="1"/>
  <c r="C26" i="4" s="1"/>
  <c r="C10" i="4" a="1"/>
  <c r="C10" i="4" s="1"/>
  <c r="C23" i="4" a="1"/>
  <c r="C23" i="4" s="1"/>
  <c r="C35" i="4" a="1"/>
  <c r="C35" i="4" s="1"/>
  <c r="C25" i="4" a="1"/>
  <c r="C25" i="4" s="1"/>
  <c r="C34" i="4" a="1"/>
  <c r="C34" i="4" s="1"/>
  <c r="N25" i="1"/>
  <c r="M5" i="1"/>
  <c r="N39" i="1"/>
  <c r="N16" i="1"/>
  <c r="N41" i="1"/>
  <c r="N15" i="1"/>
  <c r="N29" i="1"/>
  <c r="N42" i="1"/>
  <c r="C13" i="4" a="1"/>
  <c r="C13" i="4" s="1"/>
  <c r="G41" i="16"/>
  <c r="G40" i="16"/>
  <c r="N45" i="1"/>
  <c r="N34" i="1"/>
  <c r="N19" i="1"/>
  <c r="N44" i="1"/>
  <c r="N24" i="1"/>
  <c r="N28" i="1"/>
  <c r="N10" i="1"/>
  <c r="G42" i="16"/>
  <c r="B9" i="5"/>
  <c r="B9" i="4"/>
  <c r="A24" i="16"/>
  <c r="C9" i="4" a="1"/>
  <c r="C9" i="4" s="1"/>
  <c r="N38" i="1"/>
  <c r="C12" i="4" a="1"/>
  <c r="C12" i="4" s="1"/>
  <c r="C20" i="4" a="1"/>
  <c r="C20" i="4" s="1"/>
  <c r="C14" i="4" a="1"/>
  <c r="C14" i="4" s="1"/>
  <c r="G36" i="16"/>
  <c r="M77" i="5"/>
  <c r="M207" i="5"/>
  <c r="M109" i="5"/>
  <c r="M112" i="5"/>
  <c r="M199" i="5"/>
  <c r="M97" i="5"/>
  <c r="M120" i="5"/>
  <c r="M122" i="5"/>
  <c r="M202" i="5"/>
  <c r="M80" i="5"/>
  <c r="M76" i="5"/>
  <c r="M96" i="5"/>
  <c r="M208" i="5"/>
  <c r="M114" i="5"/>
  <c r="M81" i="5"/>
  <c r="M111" i="5"/>
  <c r="M121" i="5"/>
  <c r="M9" i="5"/>
  <c r="M203" i="5"/>
  <c r="M78" i="5"/>
  <c r="M113" i="5"/>
  <c r="M200" i="5"/>
  <c r="M75" i="5"/>
  <c r="M197" i="5"/>
  <c r="M204" i="5"/>
  <c r="M119" i="5"/>
  <c r="M73" i="5"/>
  <c r="M74" i="5"/>
  <c r="M95" i="5"/>
  <c r="M110" i="5"/>
  <c r="M201" i="5"/>
  <c r="M72" i="5"/>
  <c r="M123" i="5"/>
  <c r="M79" i="5"/>
  <c r="M206" i="5"/>
  <c r="M205" i="5"/>
  <c r="D9" i="4"/>
  <c r="N36" i="1"/>
  <c r="N26" i="1"/>
  <c r="N43" i="1"/>
  <c r="F38" i="16"/>
  <c r="N13" i="1"/>
  <c r="N47" i="1"/>
  <c r="C33" i="4" a="1"/>
  <c r="C33" i="4" s="1"/>
  <c r="N30" i="1"/>
  <c r="G35" i="16"/>
  <c r="N23" i="1"/>
  <c r="E41" i="16"/>
  <c r="N18" i="1"/>
  <c r="N27" i="1"/>
  <c r="N31" i="1"/>
  <c r="L5" i="1"/>
  <c r="N50" i="1"/>
  <c r="N22" i="1"/>
  <c r="C21" i="4" a="1"/>
  <c r="C21" i="4" s="1"/>
  <c r="G39" i="16"/>
  <c r="G33" i="16"/>
  <c r="N37" i="1"/>
  <c r="K5" i="1"/>
  <c r="J89" i="7" s="1"/>
  <c r="N17" i="1"/>
  <c r="C27" i="4" a="1"/>
  <c r="C27" i="4" s="1"/>
  <c r="N46" i="1"/>
  <c r="J5" i="1"/>
  <c r="I89" i="7" s="1"/>
  <c r="C30" i="4" a="1"/>
  <c r="C30" i="4" s="1"/>
  <c r="N48" i="1"/>
  <c r="N40" i="1"/>
  <c r="N11" i="1"/>
  <c r="C16" i="4" a="1"/>
  <c r="C16" i="4" s="1"/>
  <c r="N20" i="1"/>
  <c r="G34" i="16"/>
  <c r="N33" i="1"/>
  <c r="N9" i="1"/>
  <c r="I5" i="1"/>
  <c r="H89" i="7" s="1"/>
  <c r="N32" i="1"/>
  <c r="N35" i="1"/>
  <c r="N12" i="1"/>
  <c r="N49" i="1"/>
  <c r="C19" i="4" a="1"/>
  <c r="C19" i="4" s="1"/>
  <c r="N21" i="1"/>
  <c r="N14" i="1"/>
  <c r="G38" i="16"/>
  <c r="G37" i="16"/>
  <c r="B20" i="9" l="1"/>
  <c r="B19" i="9"/>
  <c r="B18" i="9"/>
  <c r="B17" i="9"/>
  <c r="B16" i="9"/>
  <c r="I5" i="5"/>
  <c r="H37" i="4"/>
  <c r="G15" i="9" s="1"/>
  <c r="G21" i="9" s="1"/>
  <c r="F11" i="19"/>
  <c r="F7" i="20" s="1"/>
  <c r="F18" i="20" s="1"/>
  <c r="F20" i="20" s="1"/>
  <c r="K19" i="7"/>
  <c r="H15" i="9"/>
  <c r="H21" i="9" s="1"/>
  <c r="G37" i="4"/>
  <c r="E11" i="19"/>
  <c r="E7" i="20" s="1"/>
  <c r="E18" i="20" s="1"/>
  <c r="E20" i="20" s="1"/>
  <c r="E9" i="4"/>
  <c r="D15" i="9"/>
  <c r="F37" i="4"/>
  <c r="D11" i="19"/>
  <c r="D7" i="20" s="1"/>
  <c r="D18" i="20" s="1"/>
  <c r="D20" i="20" s="1"/>
  <c r="E37" i="4"/>
  <c r="C11" i="19"/>
  <c r="C7" i="20" s="1"/>
  <c r="C18" i="20" s="1"/>
  <c r="F9" i="4"/>
  <c r="E15" i="9"/>
  <c r="G9" i="4"/>
  <c r="F15" i="9"/>
  <c r="G12" i="19"/>
  <c r="F17" i="19" s="1"/>
  <c r="F18" i="19" s="1"/>
  <c r="F124" i="20"/>
  <c r="C53" i="16"/>
  <c r="C47" i="16"/>
  <c r="G51" i="16"/>
  <c r="D53" i="16"/>
  <c r="G53" i="16"/>
  <c r="F50" i="16"/>
  <c r="G50" i="16"/>
  <c r="D47" i="16"/>
  <c r="C50" i="16"/>
  <c r="E50" i="16"/>
  <c r="F47" i="16"/>
  <c r="F53" i="16"/>
  <c r="C51" i="16"/>
  <c r="D51" i="16"/>
  <c r="E53" i="16"/>
  <c r="F51" i="16"/>
  <c r="E51" i="16"/>
  <c r="E47" i="16"/>
  <c r="G47" i="16"/>
  <c r="D50" i="16"/>
  <c r="F48" i="16"/>
  <c r="E54" i="16"/>
  <c r="E56" i="16"/>
  <c r="E48" i="16"/>
  <c r="G54" i="16"/>
  <c r="F56" i="16"/>
  <c r="C55" i="16"/>
  <c r="C49" i="16"/>
  <c r="D55" i="16"/>
  <c r="D49" i="16"/>
  <c r="C52" i="16"/>
  <c r="E55" i="16"/>
  <c r="C57" i="16"/>
  <c r="E49" i="16"/>
  <c r="D52" i="16"/>
  <c r="F55" i="16"/>
  <c r="F57" i="16"/>
  <c r="F49" i="16"/>
  <c r="E52" i="16"/>
  <c r="G55" i="16"/>
  <c r="D57" i="16"/>
  <c r="G49" i="16"/>
  <c r="F52" i="16"/>
  <c r="G57" i="16"/>
  <c r="G52" i="16"/>
  <c r="E57" i="16"/>
  <c r="G48" i="16"/>
  <c r="C54" i="16"/>
  <c r="G56" i="16"/>
  <c r="C48" i="16"/>
  <c r="D54" i="16"/>
  <c r="C56" i="16"/>
  <c r="D48" i="16"/>
  <c r="F54" i="16"/>
  <c r="D56" i="16"/>
  <c r="P46" i="9"/>
  <c r="P42" i="9"/>
  <c r="P38" i="9"/>
  <c r="P34" i="9"/>
  <c r="N5" i="1"/>
  <c r="E119" i="5"/>
  <c r="H37" i="7"/>
  <c r="H49" i="7" s="1"/>
  <c r="H39" i="7"/>
  <c r="H51" i="7" s="1"/>
  <c r="J41" i="7"/>
  <c r="J53" i="7" s="1"/>
  <c r="I39" i="7"/>
  <c r="I51" i="7" s="1"/>
  <c r="G40" i="7"/>
  <c r="G52" i="7" s="1"/>
  <c r="G37" i="7"/>
  <c r="G49" i="7" s="1"/>
  <c r="G38" i="7"/>
  <c r="G50" i="7" s="1"/>
  <c r="I40" i="7"/>
  <c r="I52" i="7" s="1"/>
  <c r="H38" i="7"/>
  <c r="H50" i="7" s="1"/>
  <c r="J40" i="7"/>
  <c r="J52" i="7" s="1"/>
  <c r="I38" i="7"/>
  <c r="I50" i="7" s="1"/>
  <c r="F37" i="7"/>
  <c r="F49" i="7" s="1"/>
  <c r="J37" i="7"/>
  <c r="J49" i="7" s="1"/>
  <c r="F39" i="7"/>
  <c r="F51" i="7" s="1"/>
  <c r="H41" i="7"/>
  <c r="H53" i="7" s="1"/>
  <c r="I37" i="7"/>
  <c r="I49" i="7" s="1"/>
  <c r="H40" i="7"/>
  <c r="H52" i="7" s="1"/>
  <c r="F41" i="7"/>
  <c r="F53" i="7" s="1"/>
  <c r="G41" i="7"/>
  <c r="G53" i="7" s="1"/>
  <c r="I41" i="7"/>
  <c r="I53" i="7" s="1"/>
  <c r="F38" i="7"/>
  <c r="F50" i="7" s="1"/>
  <c r="J38" i="7"/>
  <c r="J50" i="7" s="1"/>
  <c r="J39" i="7"/>
  <c r="J51" i="7" s="1"/>
  <c r="G39" i="7"/>
  <c r="G51" i="7" s="1"/>
  <c r="F40" i="7"/>
  <c r="F52" i="7" s="1"/>
  <c r="I113" i="5"/>
  <c r="E109" i="5"/>
  <c r="H109" i="5"/>
  <c r="H110" i="5"/>
  <c r="E113" i="5"/>
  <c r="G113" i="5"/>
  <c r="G111" i="5"/>
  <c r="I109" i="5"/>
  <c r="H113" i="5"/>
  <c r="H111" i="5"/>
  <c r="F113" i="5"/>
  <c r="I111" i="5"/>
  <c r="E111" i="5"/>
  <c r="F111" i="5"/>
  <c r="F110" i="5"/>
  <c r="G110" i="5"/>
  <c r="E110" i="5"/>
  <c r="F109" i="5"/>
  <c r="I110" i="5"/>
  <c r="G109" i="5"/>
  <c r="E112" i="5"/>
  <c r="F112" i="5"/>
  <c r="H112" i="5"/>
  <c r="I112" i="5"/>
  <c r="G112" i="5"/>
  <c r="F91" i="7"/>
  <c r="G91" i="7"/>
  <c r="J38" i="4"/>
  <c r="J37" i="4"/>
  <c r="J38" i="5"/>
  <c r="J37" i="5"/>
  <c r="J36" i="4"/>
  <c r="J45" i="5"/>
  <c r="J45" i="4"/>
  <c r="J36" i="5"/>
  <c r="J43" i="5"/>
  <c r="J43" i="4"/>
  <c r="J41" i="4"/>
  <c r="J41" i="5"/>
  <c r="J42" i="5"/>
  <c r="J48" i="5"/>
  <c r="J42" i="4"/>
  <c r="J48" i="4"/>
  <c r="J40" i="5"/>
  <c r="J46" i="4"/>
  <c r="J47" i="4"/>
  <c r="J47" i="5"/>
  <c r="J40" i="4"/>
  <c r="J46" i="5"/>
  <c r="J44" i="5"/>
  <c r="J44" i="4"/>
  <c r="J39" i="5"/>
  <c r="J49" i="5"/>
  <c r="F5" i="4"/>
  <c r="C88" i="20" s="1"/>
  <c r="C89" i="20" s="1"/>
  <c r="J39" i="4"/>
  <c r="C27" i="16"/>
  <c r="E40" i="16"/>
  <c r="E27" i="16"/>
  <c r="F27" i="16"/>
  <c r="F25" i="16"/>
  <c r="F26" i="16"/>
  <c r="C33" i="16"/>
  <c r="J18" i="4"/>
  <c r="C38" i="16"/>
  <c r="J23" i="4"/>
  <c r="J30" i="5"/>
  <c r="J30" i="4"/>
  <c r="E33" i="16"/>
  <c r="H111" i="4"/>
  <c r="G113" i="4"/>
  <c r="I112" i="4"/>
  <c r="G110" i="4"/>
  <c r="F111" i="4"/>
  <c r="E110" i="4"/>
  <c r="G109" i="4"/>
  <c r="G112" i="4"/>
  <c r="G111" i="4"/>
  <c r="I111" i="4"/>
  <c r="E109" i="4"/>
  <c r="H112" i="4"/>
  <c r="H113" i="4"/>
  <c r="I109" i="4"/>
  <c r="I113" i="4"/>
  <c r="H110" i="4"/>
  <c r="E111" i="4"/>
  <c r="F113" i="4"/>
  <c r="I110" i="4"/>
  <c r="F112" i="4"/>
  <c r="E112" i="4"/>
  <c r="F110" i="4"/>
  <c r="E113" i="4"/>
  <c r="F109" i="4"/>
  <c r="F40" i="16"/>
  <c r="D37" i="16"/>
  <c r="J32" i="5"/>
  <c r="J32" i="4"/>
  <c r="E25" i="16"/>
  <c r="D27" i="16"/>
  <c r="D26" i="16"/>
  <c r="A63" i="16" a="1"/>
  <c r="A63" i="16" s="1"/>
  <c r="B63" i="16" s="1"/>
  <c r="D33" i="16"/>
  <c r="D41" i="16"/>
  <c r="E29" i="16"/>
  <c r="D39" i="16"/>
  <c r="F35" i="16"/>
  <c r="D42" i="16"/>
  <c r="D31" i="16"/>
  <c r="B119" i="4"/>
  <c r="B110" i="4"/>
  <c r="B122" i="4"/>
  <c r="B120" i="4"/>
  <c r="B121" i="4"/>
  <c r="B113" i="4"/>
  <c r="B109" i="4"/>
  <c r="B112" i="4"/>
  <c r="B111" i="4"/>
  <c r="B24" i="16"/>
  <c r="J34" i="5"/>
  <c r="J34" i="4"/>
  <c r="F30" i="16"/>
  <c r="D38" i="16"/>
  <c r="F36" i="16"/>
  <c r="J28" i="4"/>
  <c r="J28" i="5"/>
  <c r="F28" i="16"/>
  <c r="J35" i="5"/>
  <c r="J35" i="4"/>
  <c r="J33" i="5"/>
  <c r="J33" i="4"/>
  <c r="E24" i="16"/>
  <c r="G5" i="4"/>
  <c r="D88" i="20" s="1"/>
  <c r="D89" i="20" s="1"/>
  <c r="F37" i="16"/>
  <c r="J22" i="4"/>
  <c r="C37" i="16"/>
  <c r="J26" i="4"/>
  <c r="C41" i="16"/>
  <c r="F39" i="16"/>
  <c r="J21" i="4"/>
  <c r="C36" i="16"/>
  <c r="J31" i="4"/>
  <c r="J31" i="5"/>
  <c r="C42" i="16"/>
  <c r="J27" i="4"/>
  <c r="H122" i="4"/>
  <c r="G121" i="4"/>
  <c r="F17" i="9"/>
  <c r="E120" i="4"/>
  <c r="G122" i="4"/>
  <c r="E16" i="9"/>
  <c r="E122" i="4"/>
  <c r="H119" i="4"/>
  <c r="E119" i="4"/>
  <c r="F119" i="4"/>
  <c r="F19" i="9"/>
  <c r="G119" i="4"/>
  <c r="F18" i="9"/>
  <c r="F20" i="9"/>
  <c r="E18" i="9"/>
  <c r="E20" i="9"/>
  <c r="F122" i="4"/>
  <c r="E17" i="9"/>
  <c r="G120" i="4"/>
  <c r="I121" i="4"/>
  <c r="F120" i="4"/>
  <c r="I119" i="4"/>
  <c r="I120" i="4"/>
  <c r="H120" i="4"/>
  <c r="H121" i="4"/>
  <c r="E19" i="9"/>
  <c r="E121" i="4"/>
  <c r="F121" i="4"/>
  <c r="F16" i="9"/>
  <c r="I122" i="4"/>
  <c r="G24" i="16"/>
  <c r="G43" i="16" s="1"/>
  <c r="I5" i="4"/>
  <c r="F88" i="20" s="1"/>
  <c r="F89" i="20" s="1"/>
  <c r="E37" i="16"/>
  <c r="E36" i="16"/>
  <c r="D30" i="16"/>
  <c r="E34" i="16"/>
  <c r="E28" i="16"/>
  <c r="D24" i="16"/>
  <c r="E35" i="16"/>
  <c r="F41" i="16"/>
  <c r="F29" i="16"/>
  <c r="D25" i="16"/>
  <c r="J29" i="4"/>
  <c r="J29" i="5"/>
  <c r="D28" i="16"/>
  <c r="F33" i="16"/>
  <c r="D29" i="16"/>
  <c r="D32" i="16"/>
  <c r="D36" i="16"/>
  <c r="C34" i="16"/>
  <c r="J19" i="4"/>
  <c r="E26" i="16"/>
  <c r="C24" i="16"/>
  <c r="J9" i="4"/>
  <c r="J17" i="4"/>
  <c r="C32" i="16"/>
  <c r="E30" i="16"/>
  <c r="F34" i="16"/>
  <c r="E38" i="16"/>
  <c r="J24" i="4"/>
  <c r="C39" i="16"/>
  <c r="D34" i="16"/>
  <c r="C26" i="16"/>
  <c r="J11" i="4"/>
  <c r="J12" i="4"/>
  <c r="F42" i="16"/>
  <c r="J13" i="4"/>
  <c r="C28" i="16"/>
  <c r="E39" i="16"/>
  <c r="E32" i="16"/>
  <c r="J15" i="4"/>
  <c r="C30" i="16"/>
  <c r="C31" i="16"/>
  <c r="J16" i="4"/>
  <c r="C29" i="16"/>
  <c r="J14" i="4"/>
  <c r="F31" i="16"/>
  <c r="C35" i="16"/>
  <c r="J20" i="4"/>
  <c r="F24" i="16"/>
  <c r="F32" i="16"/>
  <c r="C25" i="16"/>
  <c r="J10" i="4"/>
  <c r="J25" i="4"/>
  <c r="C40" i="16"/>
  <c r="D12" i="19" l="1"/>
  <c r="C17" i="19" s="1"/>
  <c r="C18" i="19" s="1"/>
  <c r="C124" i="20"/>
  <c r="E12" i="19"/>
  <c r="D17" i="19" s="1"/>
  <c r="D18" i="19" s="1"/>
  <c r="D124" i="20"/>
  <c r="F12" i="19"/>
  <c r="E17" i="19" s="1"/>
  <c r="E124" i="20"/>
  <c r="H18" i="20"/>
  <c r="C20" i="20"/>
  <c r="H20" i="20" s="1"/>
  <c r="I20" i="20" s="1"/>
  <c r="C12" i="19"/>
  <c r="B17" i="19" s="1"/>
  <c r="B18" i="19" s="1"/>
  <c r="B124" i="20"/>
  <c r="G124" i="20" s="1"/>
  <c r="I3" i="5"/>
  <c r="H54" i="16"/>
  <c r="F58" i="16"/>
  <c r="H57" i="16"/>
  <c r="H50" i="16"/>
  <c r="D58" i="16"/>
  <c r="H52" i="16"/>
  <c r="G58" i="16"/>
  <c r="E58" i="16"/>
  <c r="H56" i="16"/>
  <c r="H49" i="16"/>
  <c r="H55" i="16"/>
  <c r="H48" i="16"/>
  <c r="C58" i="16"/>
  <c r="H47" i="16"/>
  <c r="H51" i="16"/>
  <c r="H53" i="16"/>
  <c r="J15" i="7"/>
  <c r="J24" i="7"/>
  <c r="J29" i="7" s="1"/>
  <c r="J31" i="7" s="1"/>
  <c r="I54" i="7"/>
  <c r="K52" i="7"/>
  <c r="K51" i="7"/>
  <c r="G17" i="19"/>
  <c r="G18" i="19" s="1"/>
  <c r="J79" i="4"/>
  <c r="J80" i="4"/>
  <c r="J78" i="4"/>
  <c r="J81" i="4"/>
  <c r="J89" i="4"/>
  <c r="J72" i="4"/>
  <c r="J82" i="4"/>
  <c r="J83" i="4"/>
  <c r="J86" i="4"/>
  <c r="J75" i="4"/>
  <c r="J88" i="4"/>
  <c r="J77" i="4"/>
  <c r="J74" i="4"/>
  <c r="J87" i="4"/>
  <c r="J76" i="4"/>
  <c r="J84" i="4"/>
  <c r="J73" i="4"/>
  <c r="J85" i="4"/>
  <c r="K53" i="7"/>
  <c r="E114" i="5"/>
  <c r="G54" i="7"/>
  <c r="K37" i="7"/>
  <c r="E18" i="19"/>
  <c r="H54" i="7"/>
  <c r="H7" i="20"/>
  <c r="I7" i="20" s="1"/>
  <c r="I4" i="4"/>
  <c r="J81" i="7"/>
  <c r="G4" i="4"/>
  <c r="H81" i="7"/>
  <c r="F4" i="4"/>
  <c r="G81" i="7"/>
  <c r="E5" i="4"/>
  <c r="B88" i="20" s="1"/>
  <c r="B89" i="20" s="1"/>
  <c r="H109" i="4"/>
  <c r="H114" i="4" s="1"/>
  <c r="H5" i="4"/>
  <c r="E88" i="20" s="1"/>
  <c r="E89" i="20" s="1"/>
  <c r="J49" i="4"/>
  <c r="N4" i="1"/>
  <c r="J12" i="5"/>
  <c r="H31" i="16"/>
  <c r="J16" i="5"/>
  <c r="H35" i="16"/>
  <c r="H40" i="16"/>
  <c r="J10" i="5"/>
  <c r="H29" i="16"/>
  <c r="H27" i="16"/>
  <c r="H30" i="16"/>
  <c r="J121" i="4"/>
  <c r="E43" i="16"/>
  <c r="J25" i="5"/>
  <c r="J111" i="4"/>
  <c r="H25" i="16"/>
  <c r="H39" i="16"/>
  <c r="H28" i="16"/>
  <c r="J24" i="5"/>
  <c r="J13" i="5"/>
  <c r="F43" i="16"/>
  <c r="J122" i="4"/>
  <c r="J21" i="5"/>
  <c r="J18" i="5"/>
  <c r="H5" i="5"/>
  <c r="H36" i="16"/>
  <c r="K50" i="7"/>
  <c r="C63" i="16" a="1"/>
  <c r="C63" i="16" s="1"/>
  <c r="A64" i="16" a="1"/>
  <c r="A64" i="16" s="1"/>
  <c r="B64" i="16" s="1"/>
  <c r="E63" i="16" a="1"/>
  <c r="E63" i="16" s="1"/>
  <c r="F63" i="16" a="1"/>
  <c r="F63" i="16" s="1"/>
  <c r="G63" i="16" a="1"/>
  <c r="G63" i="16" s="1"/>
  <c r="D63" i="16" a="1"/>
  <c r="D63" i="16" s="1"/>
  <c r="H34" i="16"/>
  <c r="J120" i="4"/>
  <c r="G5" i="5"/>
  <c r="J110" i="4"/>
  <c r="J15" i="5"/>
  <c r="H26" i="16"/>
  <c r="J19" i="5"/>
  <c r="D43" i="16"/>
  <c r="J20" i="5"/>
  <c r="J11" i="5"/>
  <c r="H32" i="16"/>
  <c r="F5" i="5"/>
  <c r="G123" i="4"/>
  <c r="H41" i="16"/>
  <c r="F114" i="4"/>
  <c r="E114" i="4"/>
  <c r="J26" i="5"/>
  <c r="J113" i="4"/>
  <c r="J17" i="5"/>
  <c r="I123" i="4"/>
  <c r="F123" i="4"/>
  <c r="J9" i="5"/>
  <c r="E5" i="5"/>
  <c r="J5" i="5" s="1"/>
  <c r="J11" i="7"/>
  <c r="I4" i="5"/>
  <c r="F119" i="5"/>
  <c r="H121" i="5"/>
  <c r="I63" i="7" s="1"/>
  <c r="E53" i="21" s="1"/>
  <c r="I120" i="5"/>
  <c r="D17" i="9"/>
  <c r="F120" i="5"/>
  <c r="E120" i="5"/>
  <c r="I119" i="5"/>
  <c r="I121" i="5"/>
  <c r="J63" i="7" s="1"/>
  <c r="F53" i="21" s="1"/>
  <c r="C66" i="9"/>
  <c r="C16" i="9"/>
  <c r="F121" i="5"/>
  <c r="G63" i="7" s="1"/>
  <c r="C53" i="21" s="1"/>
  <c r="E122" i="5"/>
  <c r="G120" i="5"/>
  <c r="H122" i="5"/>
  <c r="I65" i="7" s="1"/>
  <c r="D16" i="9"/>
  <c r="C18" i="9"/>
  <c r="F122" i="5"/>
  <c r="G65" i="7" s="1"/>
  <c r="E121" i="5"/>
  <c r="F63" i="7" s="1"/>
  <c r="B53" i="21" s="1"/>
  <c r="C19" i="9"/>
  <c r="E66" i="9"/>
  <c r="I122" i="5"/>
  <c r="J65" i="7" s="1"/>
  <c r="G122" i="5"/>
  <c r="H65" i="7" s="1"/>
  <c r="G121" i="5"/>
  <c r="H63" i="7" s="1"/>
  <c r="D53" i="21" s="1"/>
  <c r="C20" i="9"/>
  <c r="C17" i="9"/>
  <c r="H119" i="5"/>
  <c r="D66" i="9"/>
  <c r="H120" i="5"/>
  <c r="D18" i="9"/>
  <c r="G66" i="9"/>
  <c r="D19" i="9"/>
  <c r="G119" i="5"/>
  <c r="F66" i="9"/>
  <c r="D20" i="9"/>
  <c r="J27" i="5"/>
  <c r="J22" i="5"/>
  <c r="J112" i="4"/>
  <c r="H38" i="16"/>
  <c r="J14" i="5"/>
  <c r="J119" i="4"/>
  <c r="E123" i="4"/>
  <c r="H42" i="16"/>
  <c r="H37" i="16"/>
  <c r="J23" i="5"/>
  <c r="H123" i="4"/>
  <c r="H24" i="16"/>
  <c r="C43" i="16"/>
  <c r="E21" i="9"/>
  <c r="F21" i="9"/>
  <c r="H23" i="9" s="1"/>
  <c r="I114" i="4"/>
  <c r="G114" i="4"/>
  <c r="H33" i="16"/>
  <c r="J4" i="5" l="1"/>
  <c r="J3" i="5"/>
  <c r="H58" i="16"/>
  <c r="F3" i="5"/>
  <c r="G24" i="7"/>
  <c r="G29" i="7" s="1"/>
  <c r="G31" i="7" s="1"/>
  <c r="G15" i="7"/>
  <c r="F24" i="7"/>
  <c r="F29" i="7" s="1"/>
  <c r="F31" i="7" s="1"/>
  <c r="F15" i="7"/>
  <c r="G3" i="5"/>
  <c r="H24" i="7"/>
  <c r="H29" i="7" s="1"/>
  <c r="H31" i="7" s="1"/>
  <c r="H15" i="7"/>
  <c r="H3" i="5"/>
  <c r="I15" i="7"/>
  <c r="I24" i="7"/>
  <c r="I29" i="7" s="1"/>
  <c r="I31" i="7" s="1"/>
  <c r="J26" i="7"/>
  <c r="G12" i="20"/>
  <c r="G14" i="20" s="1"/>
  <c r="C104" i="4"/>
  <c r="D104" i="4"/>
  <c r="A104" i="4"/>
  <c r="H104" i="4"/>
  <c r="I104" i="4"/>
  <c r="B104" i="4"/>
  <c r="E104" i="4"/>
  <c r="F104" i="4"/>
  <c r="G104" i="4"/>
  <c r="A99" i="4"/>
  <c r="E99" i="4"/>
  <c r="B99" i="4"/>
  <c r="F99" i="4"/>
  <c r="C99" i="4"/>
  <c r="I99" i="4"/>
  <c r="G99" i="4"/>
  <c r="D99" i="4"/>
  <c r="H99" i="4"/>
  <c r="C101" i="4"/>
  <c r="E101" i="4"/>
  <c r="D101" i="4"/>
  <c r="F101" i="4"/>
  <c r="B101" i="4"/>
  <c r="G101" i="4"/>
  <c r="H101" i="4"/>
  <c r="A101" i="4"/>
  <c r="I101" i="4"/>
  <c r="G98" i="4"/>
  <c r="C98" i="4"/>
  <c r="H98" i="4"/>
  <c r="D98" i="4"/>
  <c r="F98" i="4"/>
  <c r="B98" i="4"/>
  <c r="I98" i="4"/>
  <c r="E98" i="4"/>
  <c r="A98" i="4"/>
  <c r="F103" i="4"/>
  <c r="G103" i="4"/>
  <c r="H103" i="4"/>
  <c r="D103" i="4"/>
  <c r="E103" i="4"/>
  <c r="I103" i="4"/>
  <c r="B103" i="4"/>
  <c r="C103" i="4"/>
  <c r="A103" i="4"/>
  <c r="J83" i="7"/>
  <c r="D97" i="4"/>
  <c r="G97" i="4"/>
  <c r="H97" i="4"/>
  <c r="C97" i="4"/>
  <c r="I97" i="4"/>
  <c r="B97" i="4"/>
  <c r="E97" i="4"/>
  <c r="F97" i="4"/>
  <c r="A97" i="4"/>
  <c r="A102" i="4"/>
  <c r="I102" i="4"/>
  <c r="B102" i="4"/>
  <c r="C102" i="4"/>
  <c r="G102" i="4"/>
  <c r="F102" i="4"/>
  <c r="H102" i="4"/>
  <c r="D102" i="4"/>
  <c r="E102" i="4"/>
  <c r="I100" i="4"/>
  <c r="F100" i="4"/>
  <c r="E100" i="4"/>
  <c r="C100" i="4"/>
  <c r="D100" i="4"/>
  <c r="G100" i="4"/>
  <c r="H100" i="4"/>
  <c r="B100" i="4"/>
  <c r="A100" i="4"/>
  <c r="J75" i="7"/>
  <c r="F55" i="21"/>
  <c r="G75" i="7"/>
  <c r="C55" i="21"/>
  <c r="E3" i="5"/>
  <c r="J74" i="5"/>
  <c r="J86" i="5"/>
  <c r="J75" i="5"/>
  <c r="J87" i="5"/>
  <c r="J76" i="5"/>
  <c r="J88" i="5"/>
  <c r="J77" i="5"/>
  <c r="J89" i="5"/>
  <c r="J78" i="5"/>
  <c r="J79" i="5"/>
  <c r="J80" i="5"/>
  <c r="J81" i="5"/>
  <c r="J82" i="5"/>
  <c r="J72" i="5"/>
  <c r="J83" i="5"/>
  <c r="J84" i="5"/>
  <c r="J73" i="5"/>
  <c r="J85" i="5"/>
  <c r="I75" i="7"/>
  <c r="E55" i="21"/>
  <c r="H75" i="7"/>
  <c r="D55" i="21"/>
  <c r="K15" i="7"/>
  <c r="G5" i="20"/>
  <c r="M29" i="21" s="1"/>
  <c r="K37" i="21" s="1"/>
  <c r="H4" i="4"/>
  <c r="I81" i="7"/>
  <c r="E4" i="4"/>
  <c r="F81" i="7"/>
  <c r="J109" i="4"/>
  <c r="G23" i="9"/>
  <c r="J5" i="4"/>
  <c r="G88" i="20" s="1"/>
  <c r="G89" i="20" s="1"/>
  <c r="H83" i="7"/>
  <c r="J123" i="4"/>
  <c r="B21" i="9"/>
  <c r="D23" i="9" s="1"/>
  <c r="C21" i="9"/>
  <c r="E23" i="9" s="1"/>
  <c r="K39" i="7"/>
  <c r="G114" i="5"/>
  <c r="G81" i="4" a="1"/>
  <c r="G81" i="4" s="1"/>
  <c r="H81" i="4" a="1"/>
  <c r="H81" i="4" s="1"/>
  <c r="F81" i="4" a="1"/>
  <c r="F81" i="4" s="1"/>
  <c r="D81" i="4" a="1"/>
  <c r="D81" i="4" s="1"/>
  <c r="A81" i="4" a="1"/>
  <c r="A81" i="4" s="1"/>
  <c r="B81" i="4" s="1" a="1"/>
  <c r="B81" i="4" s="1"/>
  <c r="I81" i="4" a="1"/>
  <c r="I81" i="4" s="1"/>
  <c r="E81" i="4" a="1"/>
  <c r="E81" i="4" s="1"/>
  <c r="C81" i="4" a="1"/>
  <c r="C81" i="4" s="1"/>
  <c r="I76" i="4" a="1"/>
  <c r="I76" i="4" s="1"/>
  <c r="G76" i="4" a="1"/>
  <c r="G76" i="4" s="1"/>
  <c r="H76" i="4" a="1"/>
  <c r="H76" i="4" s="1"/>
  <c r="D76" i="4" a="1"/>
  <c r="D76" i="4" s="1"/>
  <c r="E76" i="4" a="1"/>
  <c r="E76" i="4" s="1"/>
  <c r="A76" i="4" a="1"/>
  <c r="A76" i="4" s="1"/>
  <c r="B76" i="4" s="1" a="1"/>
  <c r="B76" i="4" s="1"/>
  <c r="C76" i="4" a="1"/>
  <c r="C76" i="4" s="1"/>
  <c r="C99" i="5" s="1"/>
  <c r="F76" i="4" a="1"/>
  <c r="F76" i="4" s="1"/>
  <c r="G123" i="5"/>
  <c r="H64" i="7"/>
  <c r="D95" i="20" s="1"/>
  <c r="D105" i="20" s="1"/>
  <c r="H73" i="7"/>
  <c r="A65" i="16" a="1"/>
  <c r="A65" i="16" s="1"/>
  <c r="K40" i="7"/>
  <c r="J111" i="5"/>
  <c r="I11" i="7"/>
  <c r="H4" i="5"/>
  <c r="G77" i="4" a="1"/>
  <c r="G77" i="4" s="1"/>
  <c r="I77" i="4" a="1"/>
  <c r="I77" i="4" s="1"/>
  <c r="C77" i="4" a="1"/>
  <c r="C77" i="4" s="1"/>
  <c r="H77" i="4" a="1"/>
  <c r="H77" i="4" s="1"/>
  <c r="D77" i="4" a="1"/>
  <c r="D77" i="4" s="1"/>
  <c r="E77" i="4" a="1"/>
  <c r="E77" i="4" s="1"/>
  <c r="A77" i="4" a="1"/>
  <c r="A77" i="4" s="1"/>
  <c r="B77" i="4" s="1" a="1"/>
  <c r="B77" i="4" s="1"/>
  <c r="F77" i="4" a="1"/>
  <c r="F77" i="4" s="1"/>
  <c r="I82" i="4" a="1"/>
  <c r="I82" i="4" s="1"/>
  <c r="H82" i="4" a="1"/>
  <c r="H82" i="4" s="1"/>
  <c r="A82" i="4" a="1"/>
  <c r="A82" i="4" s="1"/>
  <c r="B82" i="4" s="1" a="1"/>
  <c r="B82" i="4" s="1"/>
  <c r="D82" i="4" a="1"/>
  <c r="D82" i="4" s="1"/>
  <c r="F82" i="4" a="1"/>
  <c r="F82" i="4" s="1"/>
  <c r="G82" i="4" a="1"/>
  <c r="G82" i="4" s="1"/>
  <c r="C82" i="4" a="1"/>
  <c r="C82" i="4" s="1"/>
  <c r="E82" i="4" a="1"/>
  <c r="E82" i="4" s="1"/>
  <c r="I114" i="5"/>
  <c r="I85" i="4" a="1"/>
  <c r="I85" i="4" s="1"/>
  <c r="C85" i="4" a="1"/>
  <c r="C85" i="4" s="1"/>
  <c r="E85" i="4" a="1"/>
  <c r="E85" i="4" s="1"/>
  <c r="A85" i="4" a="1"/>
  <c r="A85" i="4" s="1"/>
  <c r="B85" i="4" s="1" a="1"/>
  <c r="B85" i="4" s="1"/>
  <c r="H85" i="4" a="1"/>
  <c r="H85" i="4" s="1"/>
  <c r="D85" i="4" a="1"/>
  <c r="D85" i="4" s="1"/>
  <c r="G85" i="4" a="1"/>
  <c r="G85" i="4" s="1"/>
  <c r="F85" i="4" a="1"/>
  <c r="F85" i="4" s="1"/>
  <c r="D86" i="4" a="1"/>
  <c r="D86" i="4" s="1"/>
  <c r="F86" i="4" a="1"/>
  <c r="F86" i="4" s="1"/>
  <c r="I86" i="4" a="1"/>
  <c r="I86" i="4" s="1"/>
  <c r="E86" i="4" a="1"/>
  <c r="E86" i="4" s="1"/>
  <c r="G86" i="4" a="1"/>
  <c r="G86" i="4" s="1"/>
  <c r="A86" i="4" a="1"/>
  <c r="A86" i="4" s="1"/>
  <c r="B86" i="4" s="1" a="1"/>
  <c r="B86" i="4" s="1"/>
  <c r="C86" i="4" a="1"/>
  <c r="C86" i="4" s="1"/>
  <c r="H86" i="4" a="1"/>
  <c r="H86" i="4" s="1"/>
  <c r="F65" i="7"/>
  <c r="B55" i="21" s="1"/>
  <c r="J122" i="5"/>
  <c r="H78" i="4" a="1"/>
  <c r="H78" i="4" s="1"/>
  <c r="C78" i="4" a="1"/>
  <c r="C78" i="4" s="1"/>
  <c r="I78" i="4" a="1"/>
  <c r="I78" i="4" s="1"/>
  <c r="F78" i="4" a="1"/>
  <c r="F78" i="4" s="1"/>
  <c r="A78" i="4" a="1"/>
  <c r="A78" i="4" s="1"/>
  <c r="B78" i="4" s="1" a="1"/>
  <c r="B78" i="4" s="1"/>
  <c r="E78" i="4" a="1"/>
  <c r="E78" i="4" s="1"/>
  <c r="D78" i="4" a="1"/>
  <c r="D78" i="4" s="1"/>
  <c r="G78" i="4" a="1"/>
  <c r="G78" i="4" s="1"/>
  <c r="C84" i="4" a="1"/>
  <c r="C84" i="4" s="1"/>
  <c r="D84" i="4" a="1"/>
  <c r="D84" i="4" s="1"/>
  <c r="E84" i="4" a="1"/>
  <c r="E84" i="4" s="1"/>
  <c r="H84" i="4" a="1"/>
  <c r="H84" i="4" s="1"/>
  <c r="I84" i="4" a="1"/>
  <c r="I84" i="4" s="1"/>
  <c r="A84" i="4" a="1"/>
  <c r="A84" i="4" s="1"/>
  <c r="B84" i="4" s="1" a="1"/>
  <c r="B84" i="4" s="1"/>
  <c r="G84" i="4" a="1"/>
  <c r="G84" i="4" s="1"/>
  <c r="F84" i="4" a="1"/>
  <c r="F84" i="4" s="1"/>
  <c r="G73" i="7"/>
  <c r="I73" i="7"/>
  <c r="A73" i="4" a="1"/>
  <c r="A73" i="4" s="1"/>
  <c r="B73" i="4" s="1" a="1"/>
  <c r="B73" i="4" s="1"/>
  <c r="B96" i="4" s="1"/>
  <c r="C73" i="4" a="1"/>
  <c r="C73" i="4" s="1"/>
  <c r="C96" i="4" s="1"/>
  <c r="F73" i="4" a="1"/>
  <c r="F73" i="4" s="1"/>
  <c r="F96" i="4" s="1"/>
  <c r="G73" i="4" a="1"/>
  <c r="G73" i="4" s="1"/>
  <c r="G96" i="4" s="1"/>
  <c r="I73" i="4" a="1"/>
  <c r="I73" i="4" s="1"/>
  <c r="I96" i="4" s="1"/>
  <c r="E73" i="4" a="1"/>
  <c r="E73" i="4" s="1"/>
  <c r="E96" i="4" s="1"/>
  <c r="D73" i="4" a="1"/>
  <c r="D73" i="4" s="1"/>
  <c r="D96" i="4" s="1"/>
  <c r="H73" i="4" a="1"/>
  <c r="H73" i="4" s="1"/>
  <c r="H96" i="4" s="1"/>
  <c r="D88" i="4" a="1"/>
  <c r="D88" i="4" s="1"/>
  <c r="C88" i="4" a="1"/>
  <c r="C88" i="4" s="1"/>
  <c r="A88" i="4" a="1"/>
  <c r="A88" i="4" s="1"/>
  <c r="B88" i="4" s="1" a="1"/>
  <c r="B88" i="4" s="1"/>
  <c r="E88" i="4" a="1"/>
  <c r="E88" i="4" s="1"/>
  <c r="G88" i="4" a="1"/>
  <c r="G88" i="4" s="1"/>
  <c r="H88" i="4" a="1"/>
  <c r="H88" i="4" s="1"/>
  <c r="F88" i="4" a="1"/>
  <c r="F88" i="4" s="1"/>
  <c r="I88" i="4" a="1"/>
  <c r="I88" i="4" s="1"/>
  <c r="F123" i="5"/>
  <c r="G64" i="7"/>
  <c r="C95" i="20" s="1"/>
  <c r="C105" i="20" s="1"/>
  <c r="J109" i="5"/>
  <c r="J42" i="7"/>
  <c r="J44" i="7" s="1"/>
  <c r="K38" i="7"/>
  <c r="A79" i="4" a="1"/>
  <c r="A79" i="4" s="1"/>
  <c r="B79" i="4" s="1" a="1"/>
  <c r="B79" i="4" s="1"/>
  <c r="C79" i="4" a="1"/>
  <c r="C79" i="4" s="1"/>
  <c r="I79" i="4" a="1"/>
  <c r="I79" i="4" s="1"/>
  <c r="G79" i="4" a="1"/>
  <c r="G79" i="4" s="1"/>
  <c r="H79" i="4" a="1"/>
  <c r="H79" i="4" s="1"/>
  <c r="D79" i="4" a="1"/>
  <c r="D79" i="4" s="1"/>
  <c r="E79" i="4" a="1"/>
  <c r="E79" i="4" s="1"/>
  <c r="F79" i="4" a="1"/>
  <c r="F79" i="4" s="1"/>
  <c r="J121" i="5"/>
  <c r="J114" i="4"/>
  <c r="C64" i="16" a="1"/>
  <c r="C64" i="16" s="1"/>
  <c r="G64" i="16" a="1"/>
  <c r="G64" i="16" s="1"/>
  <c r="E64" i="16" a="1"/>
  <c r="E64" i="16" s="1"/>
  <c r="F64" i="16" a="1"/>
  <c r="F64" i="16" s="1"/>
  <c r="D64" i="16" a="1"/>
  <c r="D64" i="16" s="1"/>
  <c r="J112" i="5"/>
  <c r="A80" i="4" a="1"/>
  <c r="A80" i="4" s="1"/>
  <c r="B80" i="4" s="1" a="1"/>
  <c r="B80" i="4" s="1"/>
  <c r="G80" i="4" a="1"/>
  <c r="G80" i="4" s="1"/>
  <c r="E80" i="4" a="1"/>
  <c r="E80" i="4" s="1"/>
  <c r="I80" i="4" a="1"/>
  <c r="I80" i="4" s="1"/>
  <c r="D80" i="4" a="1"/>
  <c r="D80" i="4" s="1"/>
  <c r="C80" i="4" a="1"/>
  <c r="C80" i="4" s="1"/>
  <c r="H80" i="4" a="1"/>
  <c r="H80" i="4" s="1"/>
  <c r="F80" i="4" a="1"/>
  <c r="F80" i="4" s="1"/>
  <c r="J119" i="5"/>
  <c r="F64" i="7"/>
  <c r="E123" i="5"/>
  <c r="J113" i="5"/>
  <c r="K41" i="7"/>
  <c r="H99" i="16"/>
  <c r="H87" i="16"/>
  <c r="A87" i="16" s="1" a="1"/>
  <c r="A87" i="16" s="1"/>
  <c r="H90" i="16"/>
  <c r="A90" i="16" s="1" a="1"/>
  <c r="A90" i="16" s="1"/>
  <c r="H101" i="16"/>
  <c r="H83" i="16"/>
  <c r="H84" i="16"/>
  <c r="H100" i="16"/>
  <c r="H43" i="16"/>
  <c r="H95" i="16"/>
  <c r="H93" i="16"/>
  <c r="A93" i="16" s="1" a="1"/>
  <c r="A93" i="16" s="1"/>
  <c r="H92" i="16"/>
  <c r="H98" i="16"/>
  <c r="H86" i="16"/>
  <c r="A86" i="16" s="1" a="1"/>
  <c r="A86" i="16" s="1"/>
  <c r="H91" i="16"/>
  <c r="A91" i="16" s="1" a="1"/>
  <c r="A91" i="16" s="1"/>
  <c r="H94" i="16"/>
  <c r="H96" i="16"/>
  <c r="H89" i="16"/>
  <c r="H85" i="16"/>
  <c r="A85" i="16" s="1" a="1"/>
  <c r="A85" i="16" s="1"/>
  <c r="H97" i="16"/>
  <c r="A97" i="16" s="1" a="1"/>
  <c r="A97" i="16" s="1"/>
  <c r="H88" i="16"/>
  <c r="A88" i="16" s="1" a="1"/>
  <c r="A88" i="16" s="1"/>
  <c r="G87" i="4" a="1"/>
  <c r="G87" i="4" s="1"/>
  <c r="D87" i="4" a="1"/>
  <c r="D87" i="4" s="1"/>
  <c r="C87" i="4" a="1"/>
  <c r="C87" i="4" s="1"/>
  <c r="H87" i="4" a="1"/>
  <c r="H87" i="4" s="1"/>
  <c r="F87" i="4" a="1"/>
  <c r="F87" i="4" s="1"/>
  <c r="A87" i="4" a="1"/>
  <c r="A87" i="4" s="1"/>
  <c r="B87" i="4" s="1" a="1"/>
  <c r="B87" i="4" s="1"/>
  <c r="I87" i="4" a="1"/>
  <c r="I87" i="4" s="1"/>
  <c r="E87" i="4" a="1"/>
  <c r="E87" i="4" s="1"/>
  <c r="D21" i="9"/>
  <c r="F23" i="9" s="1"/>
  <c r="J16" i="7"/>
  <c r="H63" i="16"/>
  <c r="I42" i="7"/>
  <c r="I44" i="7" s="1"/>
  <c r="E89" i="4" a="1"/>
  <c r="E89" i="4" s="1"/>
  <c r="F89" i="4" a="1"/>
  <c r="F89" i="4" s="1"/>
  <c r="A89" i="4" a="1"/>
  <c r="A89" i="4" s="1"/>
  <c r="B89" i="4" s="1" a="1"/>
  <c r="B89" i="4" s="1"/>
  <c r="C89" i="4" a="1"/>
  <c r="C89" i="4" s="1"/>
  <c r="D89" i="4" a="1"/>
  <c r="D89" i="4" s="1"/>
  <c r="G89" i="4" a="1"/>
  <c r="G89" i="4" s="1"/>
  <c r="H89" i="4" a="1"/>
  <c r="H89" i="4" s="1"/>
  <c r="I89" i="4" a="1"/>
  <c r="I89" i="4" s="1"/>
  <c r="J73" i="7"/>
  <c r="E4" i="5"/>
  <c r="F11" i="7"/>
  <c r="I74" i="4" a="1"/>
  <c r="I74" i="4" s="1"/>
  <c r="C74" i="4" a="1"/>
  <c r="C74" i="4" s="1"/>
  <c r="A74" i="4" a="1"/>
  <c r="A74" i="4" s="1"/>
  <c r="B74" i="4" s="1" a="1"/>
  <c r="B74" i="4" s="1"/>
  <c r="F74" i="4" a="1"/>
  <c r="F74" i="4" s="1"/>
  <c r="H74" i="4" a="1"/>
  <c r="H74" i="4" s="1"/>
  <c r="G74" i="4" a="1"/>
  <c r="G74" i="4" s="1"/>
  <c r="D74" i="4" a="1"/>
  <c r="D74" i="4" s="1"/>
  <c r="E74" i="4" a="1"/>
  <c r="E74" i="4" s="1"/>
  <c r="H123" i="5"/>
  <c r="I64" i="7"/>
  <c r="E95" i="20" s="1"/>
  <c r="E105" i="20" s="1"/>
  <c r="J64" i="7"/>
  <c r="F95" i="20" s="1"/>
  <c r="F105" i="20" s="1"/>
  <c r="I123" i="5"/>
  <c r="G11" i="7"/>
  <c r="F4" i="5"/>
  <c r="F114" i="5"/>
  <c r="J110" i="5"/>
  <c r="D75" i="4" a="1"/>
  <c r="D75" i="4" s="1"/>
  <c r="I75" i="4" a="1"/>
  <c r="I75" i="4" s="1"/>
  <c r="C75" i="4" a="1"/>
  <c r="C75" i="4" s="1"/>
  <c r="G75" i="4" a="1"/>
  <c r="G75" i="4" s="1"/>
  <c r="F75" i="4" a="1"/>
  <c r="F75" i="4" s="1"/>
  <c r="E75" i="4" a="1"/>
  <c r="E75" i="4" s="1"/>
  <c r="A75" i="4" a="1"/>
  <c r="A75" i="4" s="1"/>
  <c r="B75" i="4" s="1" a="1"/>
  <c r="B75" i="4" s="1"/>
  <c r="H75" i="4" a="1"/>
  <c r="H75" i="4" s="1"/>
  <c r="H11" i="7"/>
  <c r="G4" i="5"/>
  <c r="F42" i="7"/>
  <c r="F44" i="7" s="1"/>
  <c r="I72" i="4" a="1"/>
  <c r="I72" i="4" s="1"/>
  <c r="I95" i="4" s="1"/>
  <c r="D72" i="4" a="1"/>
  <c r="D72" i="4" s="1"/>
  <c r="D95" i="4" s="1"/>
  <c r="A72" i="4" a="1"/>
  <c r="A72" i="4" s="1"/>
  <c r="B72" i="4" s="1" a="1"/>
  <c r="B72" i="4" s="1"/>
  <c r="B95" i="4" s="1"/>
  <c r="E72" i="4" a="1"/>
  <c r="E72" i="4" s="1"/>
  <c r="E95" i="4" s="1"/>
  <c r="F72" i="4" a="1"/>
  <c r="F72" i="4" s="1"/>
  <c r="F95" i="4" s="1"/>
  <c r="C72" i="4" a="1"/>
  <c r="C72" i="4" s="1"/>
  <c r="C95" i="4" s="1"/>
  <c r="G72" i="4" a="1"/>
  <c r="G72" i="4" s="1"/>
  <c r="G95" i="4" s="1"/>
  <c r="H72" i="4" a="1"/>
  <c r="H72" i="4" s="1"/>
  <c r="H95" i="4" s="1"/>
  <c r="I83" i="4" a="1"/>
  <c r="I83" i="4" s="1"/>
  <c r="C83" i="4" a="1"/>
  <c r="C83" i="4" s="1"/>
  <c r="E83" i="4" a="1"/>
  <c r="E83" i="4" s="1"/>
  <c r="F83" i="4" a="1"/>
  <c r="F83" i="4" s="1"/>
  <c r="A83" i="4" a="1"/>
  <c r="A83" i="4" s="1"/>
  <c r="B83" i="4" s="1" a="1"/>
  <c r="B83" i="4" s="1"/>
  <c r="D83" i="4" a="1"/>
  <c r="D83" i="4" s="1"/>
  <c r="G83" i="4" a="1"/>
  <c r="G83" i="4" s="1"/>
  <c r="H83" i="4" a="1"/>
  <c r="H83" i="4" s="1"/>
  <c r="J120" i="5"/>
  <c r="H114" i="5"/>
  <c r="H42" i="7"/>
  <c r="H44" i="7" s="1"/>
  <c r="G42" i="7"/>
  <c r="G44" i="7" s="1"/>
  <c r="B54" i="21" l="1"/>
  <c r="B95" i="20"/>
  <c r="B105" i="20" s="1"/>
  <c r="K81" i="7"/>
  <c r="M81" i="7" s="1"/>
  <c r="A66" i="16" a="1"/>
  <c r="A66" i="16" s="1"/>
  <c r="B66" i="16" s="1"/>
  <c r="B65" i="16"/>
  <c r="K31" i="7"/>
  <c r="C98" i="5"/>
  <c r="D98" i="5"/>
  <c r="D99" i="5"/>
  <c r="G26" i="7"/>
  <c r="D12" i="20"/>
  <c r="D14" i="20" s="1"/>
  <c r="F26" i="7"/>
  <c r="C12" i="20"/>
  <c r="C14" i="20" s="1"/>
  <c r="H26" i="7"/>
  <c r="E12" i="20"/>
  <c r="E14" i="20" s="1"/>
  <c r="I26" i="7"/>
  <c r="F12" i="20"/>
  <c r="F14" i="20" s="1"/>
  <c r="D97" i="5"/>
  <c r="K42" i="7"/>
  <c r="D96" i="5"/>
  <c r="J4" i="4"/>
  <c r="C97" i="5"/>
  <c r="A96" i="4"/>
  <c r="A96" i="5" s="1"/>
  <c r="H96" i="5" s="1"/>
  <c r="C96" i="5"/>
  <c r="A95" i="4"/>
  <c r="A95" i="5" s="1"/>
  <c r="H95" i="5" s="1"/>
  <c r="C95" i="5"/>
  <c r="D95" i="5"/>
  <c r="I74" i="7"/>
  <c r="I76" i="7" s="1"/>
  <c r="E54" i="21"/>
  <c r="H74" i="7"/>
  <c r="H76" i="7" s="1"/>
  <c r="D54" i="21"/>
  <c r="J74" i="7"/>
  <c r="J76" i="7" s="1"/>
  <c r="F54" i="21"/>
  <c r="J114" i="5"/>
  <c r="G74" i="7"/>
  <c r="C54" i="21"/>
  <c r="K49" i="7"/>
  <c r="K54" i="7" s="1"/>
  <c r="F54" i="7"/>
  <c r="I31" i="21"/>
  <c r="C5" i="20"/>
  <c r="I83" i="7"/>
  <c r="L31" i="21"/>
  <c r="J39" i="21" s="1"/>
  <c r="L39" i="21" s="1"/>
  <c r="F5" i="20"/>
  <c r="L29" i="21" s="1"/>
  <c r="J37" i="21" s="1"/>
  <c r="K31" i="21"/>
  <c r="E5" i="20"/>
  <c r="K29" i="21" s="1"/>
  <c r="I37" i="21" s="1"/>
  <c r="J31" i="21"/>
  <c r="D5" i="20"/>
  <c r="J29" i="21" s="1"/>
  <c r="H37" i="21" s="1"/>
  <c r="J91" i="7"/>
  <c r="A99" i="5"/>
  <c r="B99" i="5" s="1"/>
  <c r="A97" i="5"/>
  <c r="I97" i="5" s="1"/>
  <c r="J66" i="7"/>
  <c r="A72" i="5" a="1"/>
  <c r="A72" i="5" s="1"/>
  <c r="C72" i="5" a="1"/>
  <c r="C72" i="5" s="1"/>
  <c r="D72" i="5" a="1"/>
  <c r="D72" i="5" s="1"/>
  <c r="J85" i="16"/>
  <c r="D85" i="16" a="1"/>
  <c r="D85" i="16" s="1"/>
  <c r="B85" i="16"/>
  <c r="E85" i="16" a="1"/>
  <c r="E85" i="16" s="1"/>
  <c r="C85" i="16" a="1"/>
  <c r="C85" i="16" s="1"/>
  <c r="F85" i="16" a="1"/>
  <c r="F85" i="16" s="1"/>
  <c r="G85" i="16" a="1"/>
  <c r="G85" i="16" s="1"/>
  <c r="A84" i="16" a="1"/>
  <c r="A84" i="16" s="1"/>
  <c r="J123" i="5"/>
  <c r="J96" i="4"/>
  <c r="H16" i="7"/>
  <c r="C87" i="5" a="1"/>
  <c r="C87" i="5" s="1"/>
  <c r="D87" i="5" a="1"/>
  <c r="D87" i="5" s="1"/>
  <c r="A87" i="5" a="1"/>
  <c r="A87" i="5" s="1"/>
  <c r="A89" i="16" a="1"/>
  <c r="A89" i="16" s="1"/>
  <c r="J89" i="16" s="1"/>
  <c r="H102" i="16"/>
  <c r="J102" i="16" s="1"/>
  <c r="A83" i="16" a="1"/>
  <c r="A83" i="16" s="1"/>
  <c r="J83" i="16" s="1"/>
  <c r="D65" i="16" a="1"/>
  <c r="D65" i="16" s="1"/>
  <c r="G65" i="16" a="1"/>
  <c r="G65" i="16" s="1"/>
  <c r="F65" i="16" a="1"/>
  <c r="F65" i="16" s="1"/>
  <c r="E65" i="16" a="1"/>
  <c r="E65" i="16" s="1"/>
  <c r="C65" i="16" a="1"/>
  <c r="C65" i="16" s="1"/>
  <c r="A98" i="5"/>
  <c r="A81" i="5" a="1"/>
  <c r="A81" i="5" s="1"/>
  <c r="D81" i="5" a="1"/>
  <c r="D81" i="5" s="1"/>
  <c r="C81" i="5" a="1"/>
  <c r="C81" i="5" s="1"/>
  <c r="A96" i="16" a="1"/>
  <c r="A96" i="16" s="1"/>
  <c r="J96" i="16" s="1"/>
  <c r="A101" i="16" a="1"/>
  <c r="A101" i="16" s="1"/>
  <c r="J101" i="16" s="1"/>
  <c r="H66" i="7"/>
  <c r="D74" i="5" a="1"/>
  <c r="D74" i="5" s="1"/>
  <c r="A74" i="5" a="1"/>
  <c r="A74" i="5" s="1"/>
  <c r="C74" i="5" a="1"/>
  <c r="C74" i="5" s="1"/>
  <c r="A94" i="16" a="1"/>
  <c r="A94" i="16" s="1"/>
  <c r="J94" i="16" s="1"/>
  <c r="J90" i="16"/>
  <c r="E90" i="16" a="1"/>
  <c r="E90" i="16" s="1"/>
  <c r="B90" i="16"/>
  <c r="C90" i="16" a="1"/>
  <c r="C90" i="16" s="1"/>
  <c r="D90" i="16" a="1"/>
  <c r="D90" i="16" s="1"/>
  <c r="G90" i="16" a="1"/>
  <c r="G90" i="16" s="1"/>
  <c r="F90" i="16" a="1"/>
  <c r="F90" i="16" s="1"/>
  <c r="J95" i="4"/>
  <c r="C76" i="5" a="1"/>
  <c r="C76" i="5" s="1"/>
  <c r="D76" i="5" a="1"/>
  <c r="D76" i="5" s="1"/>
  <c r="A76" i="5" a="1"/>
  <c r="A76" i="5" s="1"/>
  <c r="J97" i="4"/>
  <c r="K11" i="7"/>
  <c r="J91" i="16"/>
  <c r="D91" i="16" a="1"/>
  <c r="D91" i="16" s="1"/>
  <c r="E91" i="16" a="1"/>
  <c r="E91" i="16" s="1"/>
  <c r="B91" i="16"/>
  <c r="G91" i="16" a="1"/>
  <c r="G91" i="16" s="1"/>
  <c r="C91" i="16" a="1"/>
  <c r="C91" i="16" s="1"/>
  <c r="F91" i="16" a="1"/>
  <c r="F91" i="16" s="1"/>
  <c r="J87" i="16"/>
  <c r="E87" i="16" a="1"/>
  <c r="E87" i="16" s="1"/>
  <c r="C87" i="16" a="1"/>
  <c r="C87" i="16" s="1"/>
  <c r="G87" i="16" a="1"/>
  <c r="G87" i="16" s="1"/>
  <c r="B87" i="16"/>
  <c r="F87" i="16" a="1"/>
  <c r="F87" i="16" s="1"/>
  <c r="D87" i="16" a="1"/>
  <c r="D87" i="16" s="1"/>
  <c r="G83" i="7"/>
  <c r="I91" i="7"/>
  <c r="J98" i="4"/>
  <c r="A88" i="5" a="1"/>
  <c r="A88" i="5" s="1"/>
  <c r="D88" i="5" a="1"/>
  <c r="D88" i="5" s="1"/>
  <c r="C88" i="5" a="1"/>
  <c r="C88" i="5" s="1"/>
  <c r="D73" i="5" a="1"/>
  <c r="D73" i="5" s="1"/>
  <c r="A73" i="5" a="1"/>
  <c r="A73" i="5" s="1"/>
  <c r="C73" i="5" a="1"/>
  <c r="C73" i="5" s="1"/>
  <c r="K24" i="7"/>
  <c r="J86" i="16"/>
  <c r="D86" i="16" a="1"/>
  <c r="D86" i="16" s="1"/>
  <c r="C86" i="16" a="1"/>
  <c r="C86" i="16" s="1"/>
  <c r="F86" i="16" a="1"/>
  <c r="F86" i="16" s="1"/>
  <c r="E86" i="16" a="1"/>
  <c r="E86" i="16" s="1"/>
  <c r="G86" i="16" a="1"/>
  <c r="G86" i="16" s="1"/>
  <c r="B86" i="16"/>
  <c r="A99" i="16" a="1"/>
  <c r="A99" i="16" s="1"/>
  <c r="J99" i="16" s="1"/>
  <c r="D75" i="5" a="1"/>
  <c r="D75" i="5" s="1"/>
  <c r="C75" i="5" a="1"/>
  <c r="C75" i="5" s="1"/>
  <c r="A75" i="5" a="1"/>
  <c r="A75" i="5" s="1"/>
  <c r="C79" i="5" a="1"/>
  <c r="C79" i="5" s="1"/>
  <c r="A79" i="5" a="1"/>
  <c r="A79" i="5" s="1"/>
  <c r="D79" i="5" a="1"/>
  <c r="D79" i="5" s="1"/>
  <c r="A98" i="16" a="1"/>
  <c r="A98" i="16" s="1"/>
  <c r="J98" i="16" s="1"/>
  <c r="H64" i="16"/>
  <c r="A83" i="5" a="1"/>
  <c r="A83" i="5" s="1"/>
  <c r="D83" i="5" a="1"/>
  <c r="D83" i="5" s="1"/>
  <c r="C83" i="5" a="1"/>
  <c r="C83" i="5" s="1"/>
  <c r="A86" i="5" a="1"/>
  <c r="A86" i="5" s="1"/>
  <c r="C86" i="5" a="1"/>
  <c r="C86" i="5" s="1"/>
  <c r="D86" i="5" a="1"/>
  <c r="D86" i="5" s="1"/>
  <c r="A92" i="16" a="1"/>
  <c r="A92" i="16" s="1"/>
  <c r="J92" i="16" s="1"/>
  <c r="I66" i="7"/>
  <c r="F75" i="7"/>
  <c r="K75" i="7" s="1"/>
  <c r="K65" i="7"/>
  <c r="G55" i="21" s="1"/>
  <c r="D77" i="5" a="1"/>
  <c r="D77" i="5" s="1"/>
  <c r="A77" i="5" a="1"/>
  <c r="A77" i="5" s="1"/>
  <c r="C77" i="5" a="1"/>
  <c r="C77" i="5" s="1"/>
  <c r="A89" i="5" a="1"/>
  <c r="A89" i="5" s="1"/>
  <c r="D89" i="5" a="1"/>
  <c r="D89" i="5" s="1"/>
  <c r="C89" i="5" a="1"/>
  <c r="C89" i="5" s="1"/>
  <c r="J93" i="16"/>
  <c r="E93" i="16" a="1"/>
  <c r="E93" i="16" s="1"/>
  <c r="C93" i="16" a="1"/>
  <c r="C93" i="16" s="1"/>
  <c r="B93" i="16"/>
  <c r="F93" i="16" a="1"/>
  <c r="F93" i="16" s="1"/>
  <c r="G93" i="16" a="1"/>
  <c r="G93" i="16" s="1"/>
  <c r="D93" i="16" a="1"/>
  <c r="D93" i="16" s="1"/>
  <c r="J54" i="7"/>
  <c r="I16" i="7"/>
  <c r="A80" i="5" a="1"/>
  <c r="A80" i="5" s="1"/>
  <c r="D80" i="5" a="1"/>
  <c r="D80" i="5" s="1"/>
  <c r="C80" i="5" a="1"/>
  <c r="C80" i="5" s="1"/>
  <c r="A85" i="5" a="1"/>
  <c r="A85" i="5" s="1"/>
  <c r="C85" i="5" a="1"/>
  <c r="C85" i="5" s="1"/>
  <c r="D85" i="5" a="1"/>
  <c r="D85" i="5" s="1"/>
  <c r="A95" i="16" a="1"/>
  <c r="A95" i="16" s="1"/>
  <c r="J95" i="16" s="1"/>
  <c r="F83" i="7"/>
  <c r="K63" i="7"/>
  <c r="G53" i="21" s="1"/>
  <c r="F73" i="7"/>
  <c r="F66" i="7"/>
  <c r="G66" i="7"/>
  <c r="A78" i="5" a="1"/>
  <c r="A78" i="5" s="1"/>
  <c r="C78" i="5" a="1"/>
  <c r="C78" i="5" s="1"/>
  <c r="D78" i="5" a="1"/>
  <c r="D78" i="5" s="1"/>
  <c r="C82" i="5" a="1"/>
  <c r="C82" i="5" s="1"/>
  <c r="A82" i="5" a="1"/>
  <c r="A82" i="5" s="1"/>
  <c r="D82" i="5" a="1"/>
  <c r="D82" i="5" s="1"/>
  <c r="J88" i="16"/>
  <c r="G88" i="16" a="1"/>
  <c r="G88" i="16" s="1"/>
  <c r="E88" i="16" a="1"/>
  <c r="E88" i="16" s="1"/>
  <c r="B88" i="16"/>
  <c r="D88" i="16" a="1"/>
  <c r="D88" i="16" s="1"/>
  <c r="F88" i="16" a="1"/>
  <c r="F88" i="16" s="1"/>
  <c r="C88" i="16" a="1"/>
  <c r="C88" i="16" s="1"/>
  <c r="G76" i="7"/>
  <c r="J99" i="4"/>
  <c r="D84" i="5" a="1"/>
  <c r="D84" i="5" s="1"/>
  <c r="C84" i="5" a="1"/>
  <c r="C84" i="5" s="1"/>
  <c r="A84" i="5" a="1"/>
  <c r="A84" i="5" s="1"/>
  <c r="J97" i="16"/>
  <c r="E97" i="16" a="1"/>
  <c r="E97" i="16" s="1"/>
  <c r="B97" i="16"/>
  <c r="D97" i="16" a="1"/>
  <c r="D97" i="16" s="1"/>
  <c r="F97" i="16" a="1"/>
  <c r="F97" i="16" s="1"/>
  <c r="C97" i="16" a="1"/>
  <c r="C97" i="16" s="1"/>
  <c r="G97" i="16" a="1"/>
  <c r="G97" i="16" s="1"/>
  <c r="A100" i="16" a="1"/>
  <c r="A100" i="16" s="1"/>
  <c r="J100" i="16" s="1"/>
  <c r="F74" i="7"/>
  <c r="K64" i="7"/>
  <c r="G54" i="21" l="1"/>
  <c r="G95" i="20"/>
  <c r="G105" i="20" s="1"/>
  <c r="H14" i="20"/>
  <c r="I14" i="20" s="1"/>
  <c r="I29" i="21"/>
  <c r="H5" i="20"/>
  <c r="I5" i="20" s="1"/>
  <c r="C66" i="16" a="1"/>
  <c r="C66" i="16" s="1"/>
  <c r="F66" i="16" a="1"/>
  <c r="F66" i="16" s="1"/>
  <c r="E66" i="16" a="1"/>
  <c r="E66" i="16" s="1"/>
  <c r="G66" i="16" a="1"/>
  <c r="G66" i="16" s="1"/>
  <c r="D66" i="16" a="1"/>
  <c r="D66" i="16" s="1"/>
  <c r="A67" i="16" a="1"/>
  <c r="A67" i="16" s="1"/>
  <c r="D67" i="16" s="1" a="1"/>
  <c r="D67" i="16" s="1"/>
  <c r="L54" i="7"/>
  <c r="M54" i="7"/>
  <c r="H12" i="20"/>
  <c r="K29" i="7"/>
  <c r="M29" i="7" s="1"/>
  <c r="K44" i="7"/>
  <c r="M42" i="7"/>
  <c r="M24" i="7"/>
  <c r="K26" i="7"/>
  <c r="K74" i="7"/>
  <c r="N31" i="21"/>
  <c r="H99" i="5"/>
  <c r="E99" i="5"/>
  <c r="G16" i="7"/>
  <c r="G42" i="21"/>
  <c r="N29" i="21"/>
  <c r="L37" i="21" s="1"/>
  <c r="G37" i="21"/>
  <c r="M37" i="21" s="1"/>
  <c r="E97" i="5"/>
  <c r="H97" i="5"/>
  <c r="G99" i="5"/>
  <c r="I99" i="5"/>
  <c r="F99" i="5"/>
  <c r="F97" i="5"/>
  <c r="B97" i="5"/>
  <c r="G97" i="5"/>
  <c r="I95" i="5"/>
  <c r="B95" i="5"/>
  <c r="E95" i="5"/>
  <c r="G95" i="5"/>
  <c r="F95" i="5"/>
  <c r="G96" i="5"/>
  <c r="F96" i="5"/>
  <c r="B96" i="5"/>
  <c r="E96" i="5"/>
  <c r="I96" i="5"/>
  <c r="H66" i="16"/>
  <c r="I85" i="5"/>
  <c r="E85" i="5"/>
  <c r="F85" i="5"/>
  <c r="B85" i="5" a="1"/>
  <c r="B85" i="5" s="1"/>
  <c r="G85" i="5"/>
  <c r="H85" i="5"/>
  <c r="F81" i="5"/>
  <c r="B81" i="5" a="1"/>
  <c r="B81" i="5" s="1"/>
  <c r="E81" i="5"/>
  <c r="I81" i="5"/>
  <c r="H81" i="5"/>
  <c r="G81" i="5"/>
  <c r="B84" i="16"/>
  <c r="F84" i="16" a="1"/>
  <c r="F84" i="16" s="1"/>
  <c r="D84" i="16" a="1"/>
  <c r="D84" i="16" s="1"/>
  <c r="C84" i="16" a="1"/>
  <c r="C84" i="16" s="1"/>
  <c r="E84" i="16" a="1"/>
  <c r="E84" i="16" s="1"/>
  <c r="G84" i="16" a="1"/>
  <c r="G84" i="16" s="1"/>
  <c r="K66" i="7"/>
  <c r="M66" i="7" s="1"/>
  <c r="F16" i="7"/>
  <c r="K14" i="7"/>
  <c r="E74" i="5"/>
  <c r="F74" i="5"/>
  <c r="I74" i="5"/>
  <c r="B74" i="5" a="1"/>
  <c r="B74" i="5" s="1"/>
  <c r="G74" i="5"/>
  <c r="H74" i="5"/>
  <c r="F98" i="5"/>
  <c r="I98" i="5"/>
  <c r="G98" i="5"/>
  <c r="H98" i="5"/>
  <c r="B98" i="5"/>
  <c r="E98" i="5"/>
  <c r="J84" i="16"/>
  <c r="K73" i="7"/>
  <c r="F76" i="7"/>
  <c r="K76" i="7" s="1"/>
  <c r="E73" i="5"/>
  <c r="B73" i="5" a="1"/>
  <c r="B73" i="5" s="1"/>
  <c r="I73" i="5"/>
  <c r="G73" i="5"/>
  <c r="H73" i="5"/>
  <c r="F73" i="5"/>
  <c r="D89" i="16" a="1"/>
  <c r="D89" i="16" s="1"/>
  <c r="E89" i="16" a="1"/>
  <c r="E89" i="16" s="1"/>
  <c r="G89" i="16" a="1"/>
  <c r="G89" i="16" s="1"/>
  <c r="B89" i="16"/>
  <c r="C89" i="16" a="1"/>
  <c r="C89" i="16" s="1"/>
  <c r="F89" i="16" a="1"/>
  <c r="F89" i="16" s="1"/>
  <c r="B78" i="5" a="1"/>
  <c r="B78" i="5" s="1"/>
  <c r="I78" i="5"/>
  <c r="G78" i="5"/>
  <c r="H78" i="5"/>
  <c r="E78" i="5"/>
  <c r="F78" i="5"/>
  <c r="G80" i="5"/>
  <c r="B80" i="5" a="1"/>
  <c r="B80" i="5" s="1"/>
  <c r="H80" i="5"/>
  <c r="E80" i="5"/>
  <c r="I80" i="5"/>
  <c r="F80" i="5"/>
  <c r="F92" i="16" a="1"/>
  <c r="F92" i="16" s="1"/>
  <c r="C92" i="16" a="1"/>
  <c r="C92" i="16" s="1"/>
  <c r="G92" i="16" a="1"/>
  <c r="G92" i="16" s="1"/>
  <c r="E92" i="16" a="1"/>
  <c r="E92" i="16" s="1"/>
  <c r="D92" i="16" a="1"/>
  <c r="D92" i="16" s="1"/>
  <c r="B92" i="16"/>
  <c r="C99" i="16" a="1"/>
  <c r="C99" i="16" s="1"/>
  <c r="G99" i="16" a="1"/>
  <c r="G99" i="16" s="1"/>
  <c r="E99" i="16" a="1"/>
  <c r="E99" i="16" s="1"/>
  <c r="B99" i="16"/>
  <c r="D99" i="16" a="1"/>
  <c r="D99" i="16" s="1"/>
  <c r="F99" i="16" a="1"/>
  <c r="F99" i="16" s="1"/>
  <c r="E76" i="5"/>
  <c r="H76" i="5"/>
  <c r="I76" i="5"/>
  <c r="F76" i="5"/>
  <c r="G76" i="5"/>
  <c r="B76" i="5" a="1"/>
  <c r="B76" i="5" s="1"/>
  <c r="H65" i="16"/>
  <c r="E87" i="5"/>
  <c r="F87" i="5"/>
  <c r="I87" i="5"/>
  <c r="H87" i="5"/>
  <c r="G87" i="5"/>
  <c r="H91" i="7"/>
  <c r="K91" i="7" s="1"/>
  <c r="K89" i="7"/>
  <c r="C94" i="16" a="1"/>
  <c r="C94" i="16" s="1"/>
  <c r="D94" i="16" a="1"/>
  <c r="D94" i="16" s="1"/>
  <c r="E94" i="16" a="1"/>
  <c r="E94" i="16" s="1"/>
  <c r="B94" i="16"/>
  <c r="F94" i="16" a="1"/>
  <c r="F94" i="16" s="1"/>
  <c r="G94" i="16" a="1"/>
  <c r="G94" i="16" s="1"/>
  <c r="K83" i="7"/>
  <c r="G86" i="5"/>
  <c r="I86" i="5"/>
  <c r="B86" i="5" a="1"/>
  <c r="B86" i="5" s="1"/>
  <c r="F86" i="5"/>
  <c r="E86" i="5"/>
  <c r="H86" i="5"/>
  <c r="I88" i="5"/>
  <c r="E88" i="5"/>
  <c r="B88" i="5" a="1"/>
  <c r="B88" i="5" s="1"/>
  <c r="F88" i="5"/>
  <c r="G88" i="5"/>
  <c r="H88" i="5"/>
  <c r="H84" i="5"/>
  <c r="B84" i="5" a="1"/>
  <c r="B84" i="5" s="1"/>
  <c r="I84" i="5"/>
  <c r="F84" i="5"/>
  <c r="G84" i="5"/>
  <c r="E84" i="5"/>
  <c r="E89" i="5"/>
  <c r="F89" i="5"/>
  <c r="G89" i="5"/>
  <c r="H89" i="5"/>
  <c r="B89" i="5" a="1"/>
  <c r="B89" i="5" s="1"/>
  <c r="I89" i="5"/>
  <c r="G98" i="16" a="1"/>
  <c r="G98" i="16" s="1"/>
  <c r="F98" i="16" a="1"/>
  <c r="F98" i="16" s="1"/>
  <c r="E98" i="16" a="1"/>
  <c r="E98" i="16" s="1"/>
  <c r="B98" i="16"/>
  <c r="C98" i="16" a="1"/>
  <c r="C98" i="16" s="1"/>
  <c r="D98" i="16" a="1"/>
  <c r="D98" i="16" s="1"/>
  <c r="E101" i="16" a="1"/>
  <c r="E101" i="16" s="1"/>
  <c r="C101" i="16" a="1"/>
  <c r="C101" i="16" s="1"/>
  <c r="B101" i="16"/>
  <c r="G101" i="16" a="1"/>
  <c r="G101" i="16" s="1"/>
  <c r="F101" i="16" a="1"/>
  <c r="F101" i="16" s="1"/>
  <c r="D101" i="16" a="1"/>
  <c r="D101" i="16" s="1"/>
  <c r="F95" i="16" a="1"/>
  <c r="F95" i="16" s="1"/>
  <c r="G95" i="16" a="1"/>
  <c r="G95" i="16" s="1"/>
  <c r="C95" i="16" a="1"/>
  <c r="C95" i="16" s="1"/>
  <c r="D95" i="16" a="1"/>
  <c r="D95" i="16" s="1"/>
  <c r="E95" i="16" a="1"/>
  <c r="E95" i="16" s="1"/>
  <c r="B95" i="16"/>
  <c r="F77" i="5"/>
  <c r="H77" i="5"/>
  <c r="I77" i="5"/>
  <c r="E77" i="5"/>
  <c r="B77" i="5" a="1"/>
  <c r="B77" i="5" s="1"/>
  <c r="G77" i="5"/>
  <c r="E83" i="5"/>
  <c r="I83" i="5"/>
  <c r="B83" i="5" a="1"/>
  <c r="B83" i="5" s="1"/>
  <c r="F83" i="5"/>
  <c r="G83" i="5"/>
  <c r="H83" i="5"/>
  <c r="H79" i="5"/>
  <c r="F79" i="5"/>
  <c r="I79" i="5"/>
  <c r="G79" i="5"/>
  <c r="B79" i="5" a="1"/>
  <c r="B79" i="5" s="1"/>
  <c r="E79" i="5"/>
  <c r="F96" i="16" a="1"/>
  <c r="F96" i="16" s="1"/>
  <c r="C96" i="16" a="1"/>
  <c r="C96" i="16" s="1"/>
  <c r="G96" i="16" a="1"/>
  <c r="G96" i="16" s="1"/>
  <c r="B96" i="16"/>
  <c r="E96" i="16" a="1"/>
  <c r="E96" i="16" s="1"/>
  <c r="D96" i="16" a="1"/>
  <c r="D96" i="16" s="1"/>
  <c r="A107" i="16" a="1"/>
  <c r="A107" i="16" s="1"/>
  <c r="E100" i="16" a="1"/>
  <c r="E100" i="16" s="1"/>
  <c r="B100" i="16"/>
  <c r="D100" i="16" a="1"/>
  <c r="D100" i="16" s="1"/>
  <c r="G100" i="16" a="1"/>
  <c r="G100" i="16" s="1"/>
  <c r="C100" i="16" a="1"/>
  <c r="C100" i="16" s="1"/>
  <c r="F100" i="16" a="1"/>
  <c r="F100" i="16" s="1"/>
  <c r="E82" i="5"/>
  <c r="H82" i="5"/>
  <c r="F82" i="5"/>
  <c r="G82" i="5"/>
  <c r="B82" i="5" a="1"/>
  <c r="B82" i="5" s="1"/>
  <c r="I82" i="5"/>
  <c r="H75" i="5"/>
  <c r="I75" i="5"/>
  <c r="B75" i="5" a="1"/>
  <c r="B75" i="5" s="1"/>
  <c r="F75" i="5"/>
  <c r="G75" i="5"/>
  <c r="E75" i="5"/>
  <c r="G83" i="16" a="1"/>
  <c r="G83" i="16" s="1"/>
  <c r="F83" i="16" a="1"/>
  <c r="F83" i="16" s="1"/>
  <c r="E83" i="16" a="1"/>
  <c r="E83" i="16" s="1"/>
  <c r="B83" i="16"/>
  <c r="D83" i="16" a="1"/>
  <c r="D83" i="16" s="1"/>
  <c r="C83" i="16" a="1"/>
  <c r="C83" i="16" s="1"/>
  <c r="H72" i="5"/>
  <c r="G72" i="5"/>
  <c r="E72" i="5"/>
  <c r="B72" i="5" a="1"/>
  <c r="B72" i="5" s="1"/>
  <c r="F72" i="5"/>
  <c r="I72" i="5"/>
  <c r="G20" i="7" l="1" a="1"/>
  <c r="G20" i="7" s="1"/>
  <c r="I20" i="7" a="1"/>
  <c r="I20" i="7" s="1"/>
  <c r="I21" i="7" s="1"/>
  <c r="J20" i="7" a="1"/>
  <c r="J20" i="7" s="1"/>
  <c r="F20" i="7" a="1"/>
  <c r="F20" i="7" s="1"/>
  <c r="H20" i="7" a="1"/>
  <c r="H20" i="7" s="1"/>
  <c r="E67" i="16" a="1"/>
  <c r="E67" i="16" s="1"/>
  <c r="A68" i="16" a="1"/>
  <c r="A68" i="16" s="1"/>
  <c r="B67" i="16"/>
  <c r="G67" i="16" a="1"/>
  <c r="G67" i="16" s="1"/>
  <c r="F67" i="16" a="1"/>
  <c r="F67" i="16" s="1"/>
  <c r="C67" i="16" a="1"/>
  <c r="C67" i="16" s="1"/>
  <c r="J97" i="5"/>
  <c r="J99" i="5"/>
  <c r="J95" i="5"/>
  <c r="J96" i="5"/>
  <c r="C102" i="16"/>
  <c r="F102" i="16"/>
  <c r="G102" i="16"/>
  <c r="J98" i="5"/>
  <c r="K16" i="7"/>
  <c r="D102" i="16"/>
  <c r="A108" i="16" a="1"/>
  <c r="A108" i="16" s="1"/>
  <c r="B107" i="16" a="1"/>
  <c r="B107" i="16" s="1"/>
  <c r="F107" i="16" a="1"/>
  <c r="F107" i="16" s="1"/>
  <c r="F112" i="16" s="1"/>
  <c r="E107" i="16" a="1"/>
  <c r="E107" i="16" s="1"/>
  <c r="E112" i="16" s="1"/>
  <c r="C107" i="16" a="1"/>
  <c r="C107" i="16" s="1"/>
  <c r="D107" i="16" a="1"/>
  <c r="D107" i="16" s="1"/>
  <c r="D112" i="16" s="1"/>
  <c r="G107" i="16" a="1"/>
  <c r="G107" i="16" s="1"/>
  <c r="G112" i="16" s="1"/>
  <c r="E102" i="16"/>
  <c r="J21" i="7" l="1"/>
  <c r="G21" i="7"/>
  <c r="K20" i="7"/>
  <c r="M19" i="7"/>
  <c r="F21" i="7"/>
  <c r="H21" i="7"/>
  <c r="H67" i="16"/>
  <c r="B68" i="16"/>
  <c r="F68" i="16" a="1"/>
  <c r="F68" i="16" s="1"/>
  <c r="G68" i="16" a="1"/>
  <c r="G68" i="16" s="1"/>
  <c r="E68" i="16" a="1"/>
  <c r="E68" i="16" s="1"/>
  <c r="D68" i="16" a="1"/>
  <c r="D68" i="16" s="1"/>
  <c r="C68" i="16" a="1"/>
  <c r="C68" i="16" s="1"/>
  <c r="A69" i="16" a="1"/>
  <c r="A69" i="16" s="1"/>
  <c r="A109" i="16" a="1"/>
  <c r="A109" i="16" s="1"/>
  <c r="A110" i="16" s="1" a="1"/>
  <c r="A110" i="16" s="1"/>
  <c r="A111" i="16" s="1" a="1"/>
  <c r="A111" i="16" s="1"/>
  <c r="H107" i="16"/>
  <c r="H112" i="16" s="1"/>
  <c r="C112" i="16"/>
  <c r="K21" i="7" l="1"/>
  <c r="H68" i="16"/>
  <c r="B69" i="16"/>
  <c r="G69" i="16" a="1"/>
  <c r="G69" i="16" s="1"/>
  <c r="F69" i="16" a="1"/>
  <c r="F69" i="16" s="1"/>
  <c r="E69" i="16" a="1"/>
  <c r="E69" i="16" s="1"/>
  <c r="D69" i="16" a="1"/>
  <c r="D69" i="16" s="1"/>
  <c r="C69" i="16" a="1"/>
  <c r="C69" i="16" s="1"/>
  <c r="A70" i="16" a="1"/>
  <c r="A70" i="16" s="1"/>
  <c r="H69" i="16" l="1"/>
  <c r="A71" i="16" a="1"/>
  <c r="A71" i="16" s="1"/>
  <c r="B70" i="16"/>
  <c r="F70" i="16" a="1"/>
  <c r="F70" i="16" s="1"/>
  <c r="D70" i="16" a="1"/>
  <c r="D70" i="16" s="1"/>
  <c r="E70" i="16" a="1"/>
  <c r="E70" i="16" s="1"/>
  <c r="C70" i="16" a="1"/>
  <c r="C70" i="16" s="1"/>
  <c r="G70" i="16" a="1"/>
  <c r="G70" i="16" s="1"/>
  <c r="A72" i="16" l="1" a="1"/>
  <c r="A72" i="16" s="1"/>
  <c r="H70" i="16"/>
  <c r="B71" i="16"/>
  <c r="D71" i="16" a="1"/>
  <c r="D71" i="16" s="1"/>
  <c r="C71" i="16" a="1"/>
  <c r="C71" i="16" s="1"/>
  <c r="E71" i="16" a="1"/>
  <c r="E71" i="16" s="1"/>
  <c r="G71" i="16" a="1"/>
  <c r="G71" i="16" s="1"/>
  <c r="F71" i="16" a="1"/>
  <c r="F71" i="16" s="1"/>
  <c r="H71" i="16" l="1"/>
  <c r="A73" i="16" a="1"/>
  <c r="A73" i="16" s="1"/>
  <c r="A74" i="16" s="1" a="1"/>
  <c r="A74" i="16" s="1"/>
  <c r="B74" i="16" s="1"/>
  <c r="B72" i="16"/>
  <c r="D72" i="16" a="1"/>
  <c r="D72" i="16" s="1"/>
  <c r="G72" i="16" a="1"/>
  <c r="G72" i="16" s="1"/>
  <c r="E72" i="16" a="1"/>
  <c r="E72" i="16" s="1"/>
  <c r="C72" i="16" a="1"/>
  <c r="C72" i="16" s="1"/>
  <c r="F72" i="16" a="1"/>
  <c r="F72" i="16" s="1"/>
  <c r="H72" i="16" l="1"/>
  <c r="A75" i="16" a="1"/>
  <c r="A75" i="16" s="1"/>
  <c r="B75" i="16" s="1"/>
  <c r="B73" i="16"/>
  <c r="F73" i="16" a="1"/>
  <c r="F73" i="16" s="1"/>
  <c r="F78" i="16" s="1"/>
  <c r="C73" i="16" a="1"/>
  <c r="C73" i="16" s="1"/>
  <c r="C78" i="16" s="1"/>
  <c r="D73" i="16" a="1"/>
  <c r="D73" i="16" s="1"/>
  <c r="D78" i="16" s="1"/>
  <c r="G73" i="16" a="1"/>
  <c r="G73" i="16" s="1"/>
  <c r="G78" i="16" s="1"/>
  <c r="E73" i="16" a="1"/>
  <c r="E73" i="16" s="1"/>
  <c r="E78" i="16" s="1"/>
  <c r="S193" i="4"/>
  <c r="S202" i="4" s="1"/>
  <c r="V128" i="4"/>
  <c r="V188" i="4" s="1"/>
  <c r="X188" i="4" s="1"/>
  <c r="S188" i="4"/>
  <c r="A76" i="16" l="1" a="1"/>
  <c r="A76" i="16" s="1"/>
  <c r="B76" i="16" s="1"/>
  <c r="H73" i="16"/>
  <c r="H78" i="16" s="1"/>
  <c r="Y128" i="4"/>
  <c r="S188" i="5"/>
  <c r="V202" i="4"/>
  <c r="X202" i="4" s="1"/>
  <c r="S204" i="4"/>
  <c r="S199" i="5"/>
  <c r="V193" i="4"/>
  <c r="A77" i="16" l="1" a="1"/>
  <c r="A77" i="16" s="1"/>
  <c r="B77" i="16" s="1"/>
  <c r="V204" i="4"/>
  <c r="V199" i="5"/>
  <c r="V208" i="5" s="1"/>
  <c r="S208" i="5"/>
  <c r="S210" i="5" s="1"/>
  <c r="V129" i="5"/>
  <c r="X129" i="5" s="1"/>
  <c r="Q128" i="5"/>
  <c r="Q188" i="5" s="1"/>
  <c r="V128" i="5" l="1"/>
  <c r="V188" i="5" s="1"/>
  <c r="X128"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<sst xmlns="http://schemas.openxmlformats.org/spreadsheetml/2006/main" count="1203" uniqueCount="445">
  <si>
    <t>Capital Expenditure (As incurred)</t>
  </si>
  <si>
    <t>Current Period (Financial Years)</t>
  </si>
  <si>
    <t>Forecast Period (Financial Years)</t>
  </si>
  <si>
    <t>Project</t>
  </si>
  <si>
    <t>$</t>
  </si>
  <si>
    <t>Quantum</t>
  </si>
  <si>
    <t>Asset Class</t>
  </si>
  <si>
    <t>Asset Driver</t>
  </si>
  <si>
    <t>Program</t>
  </si>
  <si>
    <t>2018/19</t>
  </si>
  <si>
    <t>2019/20</t>
  </si>
  <si>
    <t>2020/21</t>
  </si>
  <si>
    <t>2021/22</t>
  </si>
  <si>
    <t>2022/23</t>
  </si>
  <si>
    <t>2023/24</t>
  </si>
  <si>
    <t>2024/25</t>
  </si>
  <si>
    <t>Total</t>
  </si>
  <si>
    <t>2025/26</t>
  </si>
  <si>
    <t>2026/27</t>
  </si>
  <si>
    <t>2027/28</t>
  </si>
  <si>
    <t>2028/29</t>
  </si>
  <si>
    <t>2029/30</t>
  </si>
  <si>
    <t>Proportion Labour</t>
  </si>
  <si>
    <t>Commissioned Date</t>
  </si>
  <si>
    <t>Arc Flash Study and Mitigation</t>
  </si>
  <si>
    <t>Transmission Assets</t>
  </si>
  <si>
    <t>AC Isolators / Earth Switches</t>
  </si>
  <si>
    <t>Safety and Protection</t>
  </si>
  <si>
    <t>Replacement expenditure</t>
  </si>
  <si>
    <t>Asset Integration - AI3 (Placeholder)</t>
  </si>
  <si>
    <t>Air Inlet Sound &amp; Proofing Replacement</t>
  </si>
  <si>
    <t>Major Maintenance</t>
  </si>
  <si>
    <t>Asset Integration - CMMS Uplift (Placeholder)</t>
  </si>
  <si>
    <t>Annual Spraying for Corrosion</t>
  </si>
  <si>
    <t>Corrosion Management</t>
  </si>
  <si>
    <t>Buildings</t>
  </si>
  <si>
    <t>Asset Integration - Maintenance Strategy (Placeholder)</t>
  </si>
  <si>
    <t>Safety and protection</t>
  </si>
  <si>
    <t>Barn Door Replacement</t>
  </si>
  <si>
    <t>Asset Monitoring</t>
  </si>
  <si>
    <t>Cable Modification (Transitions) (21-25)</t>
  </si>
  <si>
    <t>Asset Integration - Asset Information (Placeholder)</t>
  </si>
  <si>
    <t xml:space="preserve">Cable Modification Program
</t>
  </si>
  <si>
    <t>Cable Route Risk Mitigation (Signs)</t>
  </si>
  <si>
    <t xml:space="preserve">Capacitors </t>
  </si>
  <si>
    <t>Cooling tower sound enclosure panel replacement</t>
  </si>
  <si>
    <t>Bungalora Facilities Improvements</t>
  </si>
  <si>
    <t xml:space="preserve">Cyber Security 
</t>
  </si>
  <si>
    <t>Bungalora Storage Facilities</t>
  </si>
  <si>
    <t>Directlink SCADA Upgrade</t>
  </si>
  <si>
    <t>DL Mullumbimby Facilities Impr</t>
  </si>
  <si>
    <t>Cable Modification (Transitions) (26-30)</t>
  </si>
  <si>
    <t>DL Satellite/Microwave Upgrade</t>
  </si>
  <si>
    <t>Cable Tray Install and Cable Relocation</t>
  </si>
  <si>
    <t>DL Sound Encl Panel Rep</t>
  </si>
  <si>
    <t>Cameras for Inspections</t>
  </si>
  <si>
    <t>DL_Landslip Remediation</t>
  </si>
  <si>
    <t>Easements</t>
  </si>
  <si>
    <t>Circuit Breakers</t>
  </si>
  <si>
    <t>DL_Security Audits Site Design</t>
  </si>
  <si>
    <t>Cooling Tower Fans</t>
  </si>
  <si>
    <t>DL_Specialised testing equipme</t>
  </si>
  <si>
    <t>Cooling Tower Sound Enclosure and Roofing Corrosion Management</t>
  </si>
  <si>
    <t>Dlink UPS system upgrade work</t>
  </si>
  <si>
    <t>Corporate Upgrade of Telstra Network</t>
  </si>
  <si>
    <t>Environmental Damage from Landslips</t>
  </si>
  <si>
    <t>DC disconnectors</t>
  </si>
  <si>
    <t>Environmental Damage from Landslips (Emergency Works)</t>
  </si>
  <si>
    <t>Dehumidifier Spares in VCU</t>
  </si>
  <si>
    <t>Spares Management</t>
  </si>
  <si>
    <t>Fire System Upgrades (2020-25)</t>
  </si>
  <si>
    <t>Hi Pot Tester / Thumper Replacement</t>
  </si>
  <si>
    <t>HVDC Spare Cable Order</t>
  </si>
  <si>
    <t>Fibre Cables</t>
  </si>
  <si>
    <t>IGBT Spares -  Mullumbimby 1 Gen 3</t>
  </si>
  <si>
    <t>Industrial computer control system upgrade</t>
  </si>
  <si>
    <t>Fire System Upgrades (2026-30)</t>
  </si>
  <si>
    <t>IT equiptment</t>
  </si>
  <si>
    <t>HV circuit breakers crank housing</t>
  </si>
  <si>
    <t>Mid-Life Criticality Assessment</t>
  </si>
  <si>
    <t>HVDC Spare Cable Management</t>
  </si>
  <si>
    <t>Obsolete IGBTs</t>
  </si>
  <si>
    <t>Office equipment</t>
  </si>
  <si>
    <t>IGBT Generation 3 Upgrade</t>
  </si>
  <si>
    <t>IGBTs</t>
  </si>
  <si>
    <t>Operations Asset Integration</t>
  </si>
  <si>
    <t>IGBT Spares</t>
  </si>
  <si>
    <t>Optic Fibres</t>
  </si>
  <si>
    <t>IGBT Water Cooling System Midlife Refurbishment</t>
  </si>
  <si>
    <t>Physical Site Security and Public Protection - Bangalora</t>
  </si>
  <si>
    <t>Incoming Capacitors</t>
  </si>
  <si>
    <t>Physical Site Security and Public Protection - Mullumbimby</t>
  </si>
  <si>
    <t>Internal Fencing Protection</t>
  </si>
  <si>
    <t>PLC Reactor Filters</t>
  </si>
  <si>
    <t>Land Grading</t>
  </si>
  <si>
    <t>Power Quality Metering</t>
  </si>
  <si>
    <t>Master Controller- FEED</t>
  </si>
  <si>
    <t>Refurbishment/Replacement</t>
  </si>
  <si>
    <t>Zero Seq Reactor</t>
  </si>
  <si>
    <t>Network Cable Testing Equipment</t>
  </si>
  <si>
    <t>Other stay in business capex</t>
  </si>
  <si>
    <t>Stay in buisness</t>
  </si>
  <si>
    <t>On-going Major Capital Maintenance</t>
  </si>
  <si>
    <t xml:space="preserve">Revenue Determination Costs </t>
  </si>
  <si>
    <t>Revenue Determination Costs</t>
  </si>
  <si>
    <t>Revenue detrmination costs</t>
  </si>
  <si>
    <t/>
  </si>
  <si>
    <t>PLC Reactor Filters (2026 - 30)</t>
  </si>
  <si>
    <t>Power Supply Upgrade - Phase 2</t>
  </si>
  <si>
    <t>Reactor cooling enhancements</t>
  </si>
  <si>
    <t>Reposition Nitrogen Tanks</t>
  </si>
  <si>
    <t>2023/25</t>
  </si>
  <si>
    <t>RTU Upgrade - Comms Interface to EE and AEMO</t>
  </si>
  <si>
    <t>2023/26</t>
  </si>
  <si>
    <t>SCADA Hardware Lifecycle Management</t>
  </si>
  <si>
    <t>2023/27</t>
  </si>
  <si>
    <t>Sound Wall Earthing</t>
  </si>
  <si>
    <t>2023/28</t>
  </si>
  <si>
    <t>Sparing for Obsolescence Placeholder</t>
  </si>
  <si>
    <t>2023/29</t>
  </si>
  <si>
    <t>UTV 4x4</t>
  </si>
  <si>
    <t>2023/30</t>
  </si>
  <si>
    <t>2023/31</t>
  </si>
  <si>
    <t>Transmission Determination cost</t>
  </si>
  <si>
    <t>2023/32</t>
  </si>
  <si>
    <t>Transmission Determination Costs</t>
  </si>
  <si>
    <t>Inflation</t>
  </si>
  <si>
    <t>CPI</t>
  </si>
  <si>
    <t>2017/18</t>
  </si>
  <si>
    <t>Date of ABS measure</t>
  </si>
  <si>
    <t>ABS</t>
  </si>
  <si>
    <t>Calc</t>
  </si>
  <si>
    <t>All cities</t>
  </si>
  <si>
    <t>CPI change</t>
  </si>
  <si>
    <t>Convert to Base Year FY 2024/25</t>
  </si>
  <si>
    <t>Convert to Base Year FY 2019/20</t>
  </si>
  <si>
    <t>Convert 2019-20 to nominal</t>
  </si>
  <si>
    <t>Asset Classes (Hist)</t>
  </si>
  <si>
    <t>Driver</t>
  </si>
  <si>
    <t>Asset Classes (Fore)</t>
  </si>
  <si>
    <t>Connections</t>
  </si>
  <si>
    <t>Augmentation Expenditure</t>
  </si>
  <si>
    <t>Land</t>
  </si>
  <si>
    <t>Non-network</t>
  </si>
  <si>
    <t>Labour Cost Escalator</t>
  </si>
  <si>
    <t>Real Percentage</t>
  </si>
  <si>
    <t>Index</t>
  </si>
  <si>
    <t>AER Forecast Inflation</t>
  </si>
  <si>
    <t>AER Allowance Forecast CPI</t>
  </si>
  <si>
    <t>ABS CPI Index</t>
  </si>
  <si>
    <t>Forecast Capital Expenditure Allowance</t>
  </si>
  <si>
    <t>AER Determination FY21 to FY 25</t>
  </si>
  <si>
    <t>AER Allowance</t>
  </si>
  <si>
    <t>FY 20</t>
  </si>
  <si>
    <t>AER Inflation</t>
  </si>
  <si>
    <t>Actual CPI Dec on Dec until FY 20</t>
  </si>
  <si>
    <t>AER Determiantion FY 16 to FY 20</t>
  </si>
  <si>
    <t>FY 15</t>
  </si>
  <si>
    <t>AER Inflation :</t>
  </si>
  <si>
    <t>Actual CPI March on March to FY 15</t>
  </si>
  <si>
    <t>Forecast Capital Expenditure</t>
  </si>
  <si>
    <t>FY 25</t>
  </si>
  <si>
    <t>Forecast Capital  Expendiutre Allowance -  IGBTs</t>
  </si>
  <si>
    <t>Revised Proposal Capex Model</t>
  </si>
  <si>
    <t>IGBT Forecast</t>
  </si>
  <si>
    <t>APA Inflation</t>
  </si>
  <si>
    <t>Actual Capital Expenditure</t>
  </si>
  <si>
    <t>Current Period ($FY 2022/23 '000)</t>
  </si>
  <si>
    <t>Forecast Period ($FY 2022/23 '000)</t>
  </si>
  <si>
    <t>input</t>
  </si>
  <si>
    <t>Current Period ($2018 '000)</t>
  </si>
  <si>
    <t>Material Projects</t>
  </si>
  <si>
    <t>Material Projects (&gt;$1.5m)</t>
  </si>
  <si>
    <t>By Asset Class (As incurred)</t>
  </si>
  <si>
    <t>Asset Classes</t>
  </si>
  <si>
    <t>By Driver</t>
  </si>
  <si>
    <t>By Project (As Commissioned)</t>
  </si>
  <si>
    <t>Commissioned Year</t>
  </si>
  <si>
    <t>Check</t>
  </si>
  <si>
    <t>By Asset Class (As Commissioned)</t>
  </si>
  <si>
    <t>Expenditure $FY23</t>
  </si>
  <si>
    <t>Proportion  of Labour</t>
  </si>
  <si>
    <t>Portion of Non- Labour</t>
  </si>
  <si>
    <t>Escalated Value</t>
  </si>
  <si>
    <t>Total Forecast FY23 Real</t>
  </si>
  <si>
    <t>Percentage Labour</t>
  </si>
  <si>
    <t>Less IGBTS</t>
  </si>
  <si>
    <t>Current Period  (nominal '000)</t>
  </si>
  <si>
    <t>Forecast Period (nominal '000)</t>
  </si>
  <si>
    <t>Commissioned year</t>
  </si>
  <si>
    <t>Current Period ($'000 nominal)</t>
  </si>
  <si>
    <t>Forecast Period ($'000 real FY 25)</t>
  </si>
  <si>
    <t>Name</t>
  </si>
  <si>
    <t>Total capital expenditure ($m)</t>
  </si>
  <si>
    <t xml:space="preserve">Year 1 </t>
  </si>
  <si>
    <t>Year 2</t>
  </si>
  <si>
    <t>Year 3</t>
  </si>
  <si>
    <t>Year 4</t>
  </si>
  <si>
    <t>Year 5</t>
  </si>
  <si>
    <t>Directlink Forecast</t>
  </si>
  <si>
    <t>Directlink Current</t>
  </si>
  <si>
    <t>Difference</t>
  </si>
  <si>
    <t>Actual</t>
  </si>
  <si>
    <t>Forecast</t>
  </si>
  <si>
    <t>Actual vs Forecast</t>
  </si>
  <si>
    <t>Total capital expenditure ($'000)</t>
  </si>
  <si>
    <t>Total capital expenditure ($'M)</t>
  </si>
  <si>
    <t>Historic capital expenditure</t>
  </si>
  <si>
    <t>AER forecast</t>
  </si>
  <si>
    <t>As Incurred</t>
  </si>
  <si>
    <t>Asset class</t>
  </si>
  <si>
    <t>As Commissioned</t>
  </si>
  <si>
    <t>Compared to AER Forecast ($000 nominal)</t>
  </si>
  <si>
    <t>AER Forecast</t>
  </si>
  <si>
    <t>Compared to AER Forecast ($m FY25) (CESS)</t>
  </si>
  <si>
    <t>($m FY 25)</t>
  </si>
  <si>
    <t>Current Period</t>
  </si>
  <si>
    <t>Compared to AER Forecast ($m FY25) - Inclusion in RAB</t>
  </si>
  <si>
    <t>By Program</t>
  </si>
  <si>
    <t>By Program ($m Real FY25)</t>
  </si>
  <si>
    <t>2.1.1 - PRESCRIBED TRANSMISSION SERVICES CAPEX (as incurred)</t>
  </si>
  <si>
    <t xml:space="preserve">EXPENDITURE </t>
  </si>
  <si>
    <t>Actual 
($0's, nominal)</t>
  </si>
  <si>
    <t>Forecast ($0's, real June 2023)</t>
  </si>
  <si>
    <t>2018-19</t>
  </si>
  <si>
    <t>2019-20</t>
  </si>
  <si>
    <t>2020-21</t>
  </si>
  <si>
    <t>2021-22</t>
  </si>
  <si>
    <t>2022-23</t>
  </si>
  <si>
    <t>2023-24</t>
  </si>
  <si>
    <t>2024-25</t>
  </si>
  <si>
    <t>2025-26</t>
  </si>
  <si>
    <t>2026-27</t>
  </si>
  <si>
    <t>2027-28</t>
  </si>
  <si>
    <t>2028-29</t>
  </si>
  <si>
    <t>2029-30</t>
  </si>
  <si>
    <t>Capitalised network overheads</t>
  </si>
  <si>
    <t>Capitalised corporate overheads</t>
  </si>
  <si>
    <t>TOTAL  CAPEX</t>
  </si>
  <si>
    <t>2.3c.1 - PROJECTS IN THE FORTHCOMING REGULATORY CONTROL PERIOD</t>
  </si>
  <si>
    <t>ONGOING AND FUTURE PROJECTS</t>
  </si>
  <si>
    <t>Unique identifier</t>
  </si>
  <si>
    <t>Project name</t>
  </si>
  <si>
    <t>Description of project</t>
  </si>
  <si>
    <t>Proposed start date</t>
  </si>
  <si>
    <t>Proposed commissioning date</t>
  </si>
  <si>
    <t>Location</t>
  </si>
  <si>
    <t>Business case approval</t>
  </si>
  <si>
    <t>Business case approval date</t>
  </si>
  <si>
    <t>Primary expenditure purpose category</t>
  </si>
  <si>
    <t>Forecast yearly expenditure - forthcoming regulatory control period, $real June 2023</t>
  </si>
  <si>
    <t>Include unique identifier for each project</t>
  </si>
  <si>
    <t>Provide a brief description of the project stating (where required) whether the regulatory test was satisfied, reference the appropriate documentation and where the regulatory test is yet to be satisfied the estimated timeframe for this to be achieved.</t>
  </si>
  <si>
    <t xml:space="preserve">Identify month and year </t>
  </si>
  <si>
    <t>Identify month and year</t>
  </si>
  <si>
    <t xml:space="preserve"> Identify location if only one site, if several, e.g. pole replacement, insert 'various'.</t>
  </si>
  <si>
    <t>Reference the appropriate documentation supporting approval for the project.  Where the business case is yet to be approved provide the estimated timeframe for this to be achieved.</t>
  </si>
  <si>
    <t>Identify month and year of the business case approval (if relevant)</t>
  </si>
  <si>
    <t>State the primary expenditure purpose category regarding this project.</t>
  </si>
  <si>
    <t>Include the anticipated or known expenditure of the project by expenditure purpose.</t>
  </si>
  <si>
    <t>FCT001</t>
  </si>
  <si>
    <t>Capital expenditure</t>
  </si>
  <si>
    <t>Operating expenditure</t>
  </si>
  <si>
    <t>Maintenance expenditure</t>
  </si>
  <si>
    <t>FCT002</t>
  </si>
  <si>
    <t>FCT003</t>
  </si>
  <si>
    <t>FCT004</t>
  </si>
  <si>
    <t>FCT005</t>
  </si>
  <si>
    <t>2.6.1 - NON-NETWORK EXPENDITURE</t>
  </si>
  <si>
    <t>OPEX</t>
  </si>
  <si>
    <t>IT &amp; COMMUNICATIONS</t>
  </si>
  <si>
    <t>Total IT &amp; communications</t>
  </si>
  <si>
    <t>MOTOR VEHICLES</t>
  </si>
  <si>
    <t>Total motor vehicles</t>
  </si>
  <si>
    <t>BUILDINGS AND PROPERTY</t>
  </si>
  <si>
    <t>Total buildings and property expenditure</t>
  </si>
  <si>
    <t>OTHER</t>
  </si>
  <si>
    <t>Total other</t>
  </si>
  <si>
    <t>CAPEX</t>
  </si>
  <si>
    <t>8.2.7 - IMMEDIATE EXPENSING OF CAPEX</t>
  </si>
  <si>
    <t>ESTIMATED - AS COMMISSIONED</t>
  </si>
  <si>
    <t>Forecast  ($'000 real FY 2022/23)</t>
  </si>
  <si>
    <t>Forecast  ($'000 real nominal)</t>
  </si>
  <si>
    <t>Actuals ($'000 real FY 2022/23)</t>
  </si>
  <si>
    <t>Forecast Projects (Actual $)</t>
  </si>
  <si>
    <t>Not forecast</t>
  </si>
  <si>
    <t>2030/31</t>
  </si>
  <si>
    <t>2031/32</t>
  </si>
  <si>
    <t>2032/33</t>
  </si>
  <si>
    <t>2033/34</t>
  </si>
  <si>
    <t>Forecast FY20</t>
  </si>
  <si>
    <t>FY25</t>
  </si>
  <si>
    <t>Actuals</t>
  </si>
  <si>
    <t>Nominal</t>
  </si>
  <si>
    <t>Table 1 – Historic capital expenditure</t>
  </si>
  <si>
    <t>Categories</t>
  </si>
  <si>
    <t>2023-24F</t>
  </si>
  <si>
    <t>2024-25F</t>
  </si>
  <si>
    <t xml:space="preserve">Total Regulatory Allowance </t>
  </si>
  <si>
    <t>$FY20</t>
  </si>
  <si>
    <t>Total Actual expenditure</t>
  </si>
  <si>
    <t>nominal</t>
  </si>
  <si>
    <t>IGBT’s allowance</t>
  </si>
  <si>
    <t>IBTS’s actual spend</t>
  </si>
  <si>
    <t xml:space="preserve">Total </t>
  </si>
  <si>
    <t>Total Capex</t>
  </si>
  <si>
    <t>AER Allowance and actual capital expenditure (nominal)</t>
  </si>
  <si>
    <t>Actual capital expenditure</t>
  </si>
  <si>
    <t>Table 9‑2:</t>
  </si>
  <si>
    <t>Forecast capital expenditure by driver ($m real FY25)</t>
  </si>
  <si>
    <t>Check Table</t>
  </si>
  <si>
    <t>FY26</t>
  </si>
  <si>
    <t>FY27</t>
  </si>
  <si>
    <t>FY28</t>
  </si>
  <si>
    <t>FY29</t>
  </si>
  <si>
    <t>FY30</t>
  </si>
  <si>
    <t>Augmentation/expansion</t>
  </si>
  <si>
    <t>Replacement/refurbishment</t>
  </si>
  <si>
    <t>Non System</t>
  </si>
  <si>
    <t>Table 9‑4:</t>
  </si>
  <si>
    <t>Forecast capital expenditure regulatory ($m real FY25)</t>
  </si>
  <si>
    <t>Regulatory</t>
  </si>
  <si>
    <t>Table 6‑6:</t>
  </si>
  <si>
    <t>Capital expenditure cable modification ($m nominal)</t>
  </si>
  <si>
    <t>2023/24(e)</t>
  </si>
  <si>
    <t>2024/25(e)</t>
  </si>
  <si>
    <t>AER Forecast Capital Expenditure</t>
  </si>
  <si>
    <t>Table 6‑7:</t>
  </si>
  <si>
    <t>Capital expenditure IGBT’s ($m nominal)</t>
  </si>
  <si>
    <t>Table 6‑8:</t>
  </si>
  <si>
    <t>Capital expenditure transmission determination ($m nominal)</t>
  </si>
  <si>
    <t xml:space="preserve">AER Forecast </t>
  </si>
  <si>
    <t>Table 9‑5 – Forecast capital expenditure by asset class ($m real FY25)</t>
  </si>
  <si>
    <t>Table 9‑6 – Forecast capital expenditure by asset driver ($m real FY25)</t>
  </si>
  <si>
    <t>Augmentation/Expansion</t>
  </si>
  <si>
    <t>Replacement/Refurbishment</t>
  </si>
  <si>
    <t>Table 7:</t>
  </si>
  <si>
    <t>Capital expenditure Spares ($m nominal)</t>
  </si>
  <si>
    <t>Direct Link Forecast Capital Expenditure</t>
  </si>
  <si>
    <t xml:space="preserve"> Safety and Protection </t>
  </si>
  <si>
    <t xml:space="preserve"> Major Maintenance </t>
  </si>
  <si>
    <t xml:space="preserve"> Corrosion Management </t>
  </si>
  <si>
    <t xml:space="preserve"> Asset Monitoring </t>
  </si>
  <si>
    <t xml:space="preserve"> Spares Management </t>
  </si>
  <si>
    <t xml:space="preserve"> IGBTs </t>
  </si>
  <si>
    <t>Regulatory Determination</t>
  </si>
  <si>
    <t xml:space="preserve"> Total</t>
  </si>
  <si>
    <t>Table 5‑1:</t>
  </si>
  <si>
    <t>Forecast and historic capital expenditure ($m FY20)</t>
  </si>
  <si>
    <t> </t>
  </si>
  <si>
    <t>YR 1</t>
  </si>
  <si>
    <t>YR 2</t>
  </si>
  <si>
    <t>YR 3</t>
  </si>
  <si>
    <t>YR 4</t>
  </si>
  <si>
    <t>YR 5</t>
  </si>
  <si>
    <t>Forecast capital expenditure</t>
  </si>
  <si>
    <t>Table 5‑2:</t>
  </si>
  <si>
    <t>Capital expenditure for the Current Determination Period compared to AER forecast ($m nominal)</t>
  </si>
  <si>
    <t>FY20</t>
  </si>
  <si>
    <t>FY21</t>
  </si>
  <si>
    <t>FY22</t>
  </si>
  <si>
    <t>FY23</t>
  </si>
  <si>
    <t>FY24</t>
  </si>
  <si>
    <t>Expansion</t>
  </si>
  <si>
    <t xml:space="preserve"> -   </t>
  </si>
  <si>
    <t xml:space="preserve">  -    </t>
  </si>
  <si>
    <t>Replacement /refurbishment</t>
  </si>
  <si>
    <t>Table 5‑3:</t>
  </si>
  <si>
    <t>Capital expenditure and AER forecast for the review period ($M nominal)</t>
  </si>
  <si>
    <t>FY19</t>
  </si>
  <si>
    <t>Table 5‑6:</t>
  </si>
  <si>
    <t>Forecast capital expenditure obsolete IGBTs($m real FY25)</t>
  </si>
  <si>
    <t>Capital Expenditure</t>
  </si>
  <si>
    <t>Year</t>
  </si>
  <si>
    <t>2020-2021</t>
  </si>
  <si>
    <t>Table 6</t>
  </si>
  <si>
    <t>AER final decision on Directlink's total capex ($ million 2014 ‑15)</t>
  </si>
  <si>
    <t>2015–16</t>
  </si>
  <si>
    <t>2016–17</t>
  </si>
  <si>
    <t>2017–18</t>
  </si>
  <si>
    <t>2018–19</t>
  </si>
  <si>
    <t>2019–20</t>
  </si>
  <si>
    <t>Nominal Actual Net Capex</t>
  </si>
  <si>
    <t>Directlink's revised proposal</t>
  </si>
  <si>
    <t>AER final decision</t>
  </si>
  <si>
    <t>Difference ($million)</t>
  </si>
  <si>
    <t>AER PTRM model 2022-23</t>
  </si>
  <si>
    <t>Difference (per cent)</t>
  </si>
  <si>
    <t>Source:</t>
  </si>
  <si>
    <t>Directlink, Revised revenue proposal; Directlink responses to AER Information Requests; AER analysis.</t>
  </si>
  <si>
    <t>Note:</t>
  </si>
  <si>
    <t>Numbers may not add to total due to rounding</t>
  </si>
  <si>
    <t>2014-15</t>
  </si>
  <si>
    <t>Year ended June index</t>
  </si>
  <si>
    <t>Inflation Assumption (CPI % increase)</t>
  </si>
  <si>
    <t>Cumulative Inflation Index (CPI end period)</t>
  </si>
  <si>
    <t>Real Net Capital Expenditure (capex)</t>
  </si>
  <si>
    <t>Nominal Net Capex</t>
  </si>
  <si>
    <t>2014-15$</t>
  </si>
  <si>
    <t>2019-20$</t>
  </si>
  <si>
    <t>Directlink revised proposal</t>
  </si>
  <si>
    <t>Actual capex nominal 2020$ nominal</t>
  </si>
  <si>
    <t>Regulatory accounts</t>
  </si>
  <si>
    <t>Anthony spreadsheet</t>
  </si>
  <si>
    <t>2025$</t>
  </si>
  <si>
    <t xml:space="preserve">Actual capex </t>
  </si>
  <si>
    <t>Directlink proposed capital expenditure</t>
  </si>
  <si>
    <t>Figure 2</t>
  </si>
  <si>
    <t>Cost Drivers ($M nominal)</t>
  </si>
  <si>
    <t>AER decision</t>
  </si>
  <si>
    <t>The proposed schedule of expenditure for Major Maintenance is as below for the regulatory period FY26-FY30.   $millions</t>
  </si>
  <si>
    <t>Major maintenance</t>
  </si>
  <si>
    <t>Asset monitoring</t>
  </si>
  <si>
    <t>Spares</t>
  </si>
  <si>
    <t>IGBTS</t>
  </si>
  <si>
    <t>Determination costs</t>
  </si>
  <si>
    <r>
      <t>Program </t>
    </r>
    <r>
      <rPr>
        <b/>
        <sz val="10"/>
        <color rgb="FFFFFFFF"/>
        <rFont val="Arial"/>
        <family val="2"/>
      </rPr>
      <t> </t>
    </r>
  </si>
  <si>
    <t>FY26  </t>
  </si>
  <si>
    <t>FY27  </t>
  </si>
  <si>
    <t>FY28  </t>
  </si>
  <si>
    <t>FY29  </t>
  </si>
  <si>
    <t>FY30  </t>
  </si>
  <si>
    <t>Total  </t>
  </si>
  <si>
    <r>
      <t>Cable Tray Install and Cable Relocation</t>
    </r>
    <r>
      <rPr>
        <b/>
        <sz val="10"/>
        <color rgb="FF000000"/>
        <rFont val="Arial"/>
        <family val="2"/>
      </rPr>
      <t> </t>
    </r>
  </si>
  <si>
    <r>
      <t>Cooling Tower and  Fans</t>
    </r>
    <r>
      <rPr>
        <b/>
        <sz val="10"/>
        <color rgb="FF000000"/>
        <rFont val="Arial"/>
        <family val="2"/>
      </rPr>
      <t> </t>
    </r>
  </si>
  <si>
    <r>
      <t>Cooling Tower Sound Enclosure and Roofing Corrosion Management</t>
    </r>
    <r>
      <rPr>
        <b/>
        <sz val="10"/>
        <color rgb="FF000000"/>
        <rFont val="Arial"/>
        <family val="2"/>
      </rPr>
      <t> </t>
    </r>
  </si>
  <si>
    <r>
      <t>IGBT Water Cooling System Midlife Refurbishment</t>
    </r>
    <r>
      <rPr>
        <b/>
        <sz val="10"/>
        <color rgb="FF000000"/>
        <rFont val="Arial"/>
        <family val="2"/>
      </rPr>
      <t> </t>
    </r>
  </si>
  <si>
    <t>Cooling enhancements</t>
  </si>
  <si>
    <r>
      <t>Reactor Cooling Enhancements</t>
    </r>
    <r>
      <rPr>
        <b/>
        <sz val="10"/>
        <color rgb="FF000000"/>
        <rFont val="Arial"/>
        <family val="2"/>
      </rPr>
      <t> </t>
    </r>
  </si>
  <si>
    <r>
      <t>Circuit Breakers</t>
    </r>
    <r>
      <rPr>
        <b/>
        <sz val="10"/>
        <color rgb="FF000000"/>
        <rFont val="Arial"/>
        <family val="2"/>
      </rPr>
      <t> </t>
    </r>
  </si>
  <si>
    <r>
      <t>Fire System Upgrades</t>
    </r>
    <r>
      <rPr>
        <b/>
        <sz val="10"/>
        <color rgb="FF000000"/>
        <rFont val="Arial"/>
        <family val="2"/>
      </rPr>
      <t> </t>
    </r>
  </si>
  <si>
    <r>
      <t>Land Grading</t>
    </r>
    <r>
      <rPr>
        <b/>
        <sz val="10"/>
        <color rgb="FF000000"/>
        <rFont val="Arial"/>
        <family val="2"/>
      </rPr>
      <t> </t>
    </r>
  </si>
  <si>
    <r>
      <t>On-going Major Capital Maintenance </t>
    </r>
    <r>
      <rPr>
        <b/>
        <sz val="10"/>
        <color rgb="FF000000"/>
        <rFont val="Arial"/>
        <family val="2"/>
      </rPr>
      <t> </t>
    </r>
  </si>
  <si>
    <t>The proposed  schedule for asset monitoring for the regulatory period FY26-30 $ millions</t>
  </si>
  <si>
    <t xml:space="preserve">Asset Maintenance Management Uplift and Maintenance Strategy </t>
  </si>
  <si>
    <t>The proposed  schedule for safety and protection for the regulatory period FY26-30 $ millions</t>
  </si>
  <si>
    <t>Physical site security and public protection</t>
  </si>
  <si>
    <t>UT 4x4</t>
  </si>
  <si>
    <t>Id</t>
  </si>
  <si>
    <t>Description</t>
  </si>
  <si>
    <t>2026 $000s</t>
  </si>
  <si>
    <t>2027 $000s</t>
  </si>
  <si>
    <t>2028 $000s</t>
  </si>
  <si>
    <t>2029 $000s</t>
  </si>
  <si>
    <t>2030 $000s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</si>
</sst>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3" formatCode="_(* #,##0.00_);_(* \(#,##0.00\);_(* &quot;-&quot;??_);_(@_)"/>
    <numFmt numFmtId="164" formatCode="&quot;$&quot;#,##0;[Red]\-&quot;$&quot;#,##0"/>
    <numFmt numFmtId="165" formatCode="_-&quot;$&quot;* #,##0.00_-;\-&quot;$&quot;* #,##0.00_-;_-&quot;$&quot;* &quot;-&quot;??_-;_-@_-"/>
    <numFmt numFmtId="166" formatCode="_-* #,##0.00_-;\-* #,##0.00_-;_-* &quot;-&quot;??_-;_-@_-"/>
    <numFmt numFmtId="167" formatCode="0.0%"/>
    <numFmt numFmtId="168" formatCode="_-* #,##0_-;\-* #,##0_-;_-* &quot;-&quot;??_-;_-@_-"/>
    <numFmt numFmtId="169" formatCode="_-* #,##0.0_-;\-* #,##0.0_-;_-* &quot;-&quot;_-;_-@_-"/>
    <numFmt numFmtId="170" formatCode="_-* #,##0.0_-;\-* #,##0.0_-;_-* &quot;-&quot;??_-;_-@_-"/>
    <numFmt numFmtId="171" formatCode="_(* #,##0_);_(* \(#,##0\);_(* &quot;-&quot;??_);_(@_)"/>
    <numFmt numFmtId="172" formatCode="_-&quot;$&quot;* #,##0.0_-;\-&quot;$&quot;* #,##0.0_-;_-&quot;$&quot;* &quot;-&quot;??_-;_-@_-"/>
    <numFmt numFmtId="173" formatCode="_(* #,##0.00_);_(* \(#,##0.00\);_(* &quot;-&quot;_);_(@_)"/>
    <numFmt numFmtId="174" formatCode="_(* #,##0.0_);_(* \(#,##0.0\);_(* &quot;-&quot;_);_(@_)"/>
    <numFmt numFmtId="175" formatCode="0.0"/>
    <numFmt numFmtId="176" formatCode="#,##0_-;\(#,##0\);&quot;-&quot;_-;_-@_-"/>
    <numFmt numFmtId="177" formatCode="_(* #,##0.0_);_(* \(#,##0.0\);_(* &quot;-&quot;??_);_(@_)"/>
  </numFmts>
  <fonts count="61">
    <font>
      <sz val="11"/>
      <color theme="1"/>
      <name val="Amasis MT Pro"/>
      <family val="1"/>
    </font>
    <font>
      <sz val="11"/>
      <color theme="1"/>
      <name val="Georgia"/>
      <family val="2"/>
      <scheme val="minor"/>
    </font>
    <font>
      <sz val="10"/>
      <color theme="1"/>
      <name val="Arial"/>
      <family val="2"/>
    </font>
    <font>
      <b/>
      <sz val="10"/>
      <color theme="1"/>
      <name val="Arial"/>
      <family val="2"/>
    </font>
    <font>
      <b/>
      <sz val="18"/>
      <name val="Times New Roman"/>
      <family val="1"/>
    </font>
    <font>
      <b/>
      <sz val="15"/>
      <name val="Times New Roman"/>
      <family val="1"/>
    </font>
    <font>
      <b/>
      <sz val="13"/>
      <name val="Times New Roman"/>
      <family val="1"/>
    </font>
    <font>
      <b/>
      <sz val="11"/>
      <name val="Times New Roman"/>
      <family val="1"/>
    </font>
    <font>
      <sz val="10"/>
      <name val="Times New Roman"/>
      <family val="1"/>
    </font>
    <font>
      <b/>
      <sz val="11"/>
      <color theme="1"/>
      <name val="Arial"/>
      <family val="2"/>
    </font>
    <font>
      <b/>
      <i/>
      <sz val="10"/>
      <color rgb="FFFFFFFF"/>
      <name val="Arial"/>
      <family val="2"/>
    </font>
    <font>
      <b/>
      <sz val="8"/>
      <name val="Times New Roman"/>
      <family val="1"/>
    </font>
    <font>
      <b/>
      <sz val="10"/>
      <color rgb="FF3F3F3F"/>
      <name val="Arial"/>
      <family val="2"/>
    </font>
    <font>
      <sz val="11"/>
      <color rgb="FF006100"/>
      <name val="Georgia"/>
      <family val="2"/>
      <scheme val="minor"/>
    </font>
    <font>
      <sz val="11"/>
      <color rgb="FFFF0000"/>
      <name val="Georgia"/>
      <family val="2"/>
      <scheme val="minor"/>
    </font>
    <font>
      <sz val="8"/>
      <name val="Arial"/>
      <family val="2"/>
    </font>
    <font>
      <sz val="9"/>
      <color rgb="FF9C0006"/>
      <name val="Times New Roman"/>
      <family val="1"/>
    </font>
    <font>
      <sz val="8"/>
      <color rgb="FF9C6500"/>
      <name val="Century Gothic"/>
      <family val="2"/>
    </font>
    <font>
      <i/>
      <sz val="11"/>
      <color rgb="FF7F7F7F"/>
      <name val="Georgia"/>
      <family val="2"/>
      <scheme val="minor"/>
    </font>
    <font>
      <sz val="9"/>
      <color theme="1"/>
      <name val="Times New Roman"/>
      <family val="1"/>
    </font>
    <font>
      <sz val="10"/>
      <color theme="1"/>
      <name val="Batang"/>
      <family val="1"/>
      <charset val="129"/>
    </font>
    <font>
      <b/>
      <sz val="11"/>
      <color theme="0"/>
      <name val="Amasis MT Pro"/>
      <family val="1"/>
    </font>
    <font>
      <sz val="9"/>
      <color theme="1"/>
      <name val="Amasis MT Pro"/>
      <family val="1"/>
    </font>
    <font>
      <sz val="6"/>
      <color theme="0"/>
      <name val="Times New Roman"/>
      <family val="1"/>
    </font>
    <font>
      <sz val="9"/>
      <color rgb="FF0000FF"/>
      <name val="Amasis MT Pro"/>
      <family val="1"/>
    </font>
    <font>
      <sz val="9"/>
      <name val="Amasis MT Pro"/>
      <family val="1"/>
    </font>
    <font>
      <sz val="9"/>
      <color theme="8" tint="-0.24994659260841701"/>
      <name val="Amasis MT Pro"/>
      <family val="1"/>
    </font>
    <font>
      <b/>
      <sz val="11"/>
      <color theme="0"/>
      <name val="Georgia"/>
      <family val="2"/>
      <scheme val="minor"/>
    </font>
    <font>
      <b/>
      <sz val="11"/>
      <color rgb="FF92CDDC"/>
      <name val="Amasis MT Pro"/>
      <family val="1"/>
    </font>
    <font>
      <sz val="11"/>
      <color rgb="FF92CDDC"/>
      <name val="Amasis MT Pro"/>
      <family val="1"/>
    </font>
    <font>
      <sz val="8"/>
      <name val="Amasis MT Pro"/>
      <family val="1"/>
    </font>
    <font>
      <b/>
      <sz val="11"/>
      <color rgb="FF31869B"/>
      <name val="Amasis MT Pro"/>
      <family val="1"/>
    </font>
    <font>
      <sz val="9"/>
      <color rgb="FFFFC000"/>
      <name val="Amasis MT Pro"/>
      <family val="1"/>
    </font>
    <font>
      <sz val="11"/>
      <color theme="0"/>
      <name val="Amasis MT Pro"/>
      <family val="1"/>
    </font>
    <font>
      <b/>
      <sz val="18"/>
      <color theme="0" tint="-0.14999847407452621"/>
      <name val="Times New Roman"/>
      <family val="1"/>
    </font>
    <font>
      <sz val="11"/>
      <color theme="1"/>
      <name val="Amasis MT Pro"/>
      <family val="1"/>
    </font>
    <font>
      <sz val="9"/>
      <color rgb="FF7030A0"/>
      <name val="Amasis MT Pro"/>
      <family val="1"/>
    </font>
    <font>
      <b/>
      <sz val="12"/>
      <color rgb="FF076A92"/>
      <name val="Arial"/>
      <family val="2"/>
    </font>
    <font>
      <b/>
      <sz val="8"/>
      <color rgb="FFFFFFFF"/>
      <name val="Arial"/>
      <family val="2"/>
    </font>
    <font>
      <sz val="8"/>
      <color theme="1"/>
      <name val="Arial"/>
      <family val="2"/>
    </font>
    <font>
      <sz val="8"/>
      <color rgb="FF000000"/>
      <name val="Arial"/>
      <family val="2"/>
    </font>
    <font>
      <sz val="10"/>
      <name val="Arial"/>
      <family val="2"/>
    </font>
    <font>
      <sz val="10"/>
      <name val="Century Gothic"/>
      <family val="2"/>
    </font>
    <font>
      <i/>
      <sz val="11"/>
      <color rgb="FF333333"/>
      <name val="Century Gothic"/>
      <family val="2"/>
    </font>
    <font>
      <sz val="9"/>
      <color theme="1"/>
      <name val="Century Gothic"/>
      <family val="2"/>
    </font>
    <font>
      <b/>
      <sz val="9"/>
      <color rgb="FFFFFFFF"/>
      <name val="Century Gothic"/>
      <family val="2"/>
    </font>
    <font>
      <sz val="11"/>
      <color theme="1"/>
      <name val="Arial"/>
      <family val="2"/>
    </font>
    <font>
      <sz val="11"/>
      <color theme="1"/>
      <name val="Century Gothic"/>
      <family val="2"/>
    </font>
    <font>
      <sz val="10"/>
      <color rgb="FFFFFFFF"/>
      <name val="Arial"/>
      <family val="2"/>
    </font>
    <font>
      <b/>
      <sz val="10"/>
      <color rgb="FFFFFFFF"/>
      <name val="Arial"/>
      <family val="2"/>
    </font>
    <font>
      <sz val="10"/>
      <color rgb="FF000000"/>
      <name val="Arial"/>
      <family val="2"/>
    </font>
    <font>
      <b/>
      <sz val="10"/>
      <color rgb="FF000000"/>
      <name val="Arial"/>
      <family val="2"/>
    </font>
    <font>
      <b/>
      <sz val="9"/>
      <color rgb="FFFFFFFF"/>
      <name val="Arial"/>
      <family val="2"/>
    </font>
    <font>
      <sz val="9"/>
      <color rgb="FF000000"/>
      <name val="Arial"/>
      <family val="2"/>
    </font>
    <font>
      <i/>
      <sz val="10"/>
      <color rgb="FF333333"/>
      <name val="Arial"/>
      <family val="2"/>
      <charset val="1"/>
    </font>
    <font>
      <b/>
      <sz val="10"/>
      <color rgb="FFFFFFFF"/>
      <name val="Arial"/>
      <family val="2"/>
      <charset val="1"/>
    </font>
    <font>
      <sz val="10"/>
      <color rgb="FFFFFFFF"/>
      <name val="Arial"/>
      <family val="2"/>
      <charset val="1"/>
    </font>
    <font>
      <b/>
      <sz val="10"/>
      <color rgb="FF000000"/>
      <name val="Arial"/>
      <family val="2"/>
      <charset val="1"/>
    </font>
    <font>
      <sz val="10"/>
      <color theme="1"/>
      <name val="Arial"/>
      <family val="2"/>
      <charset val="1"/>
    </font>
    <font>
      <b/>
      <sz val="10"/>
      <color theme="1"/>
      <name val="Arial"/>
      <family val="2"/>
      <charset val="1"/>
    </font>
    <font>
      <i/>
      <sz val="10"/>
      <color rgb="FF333333"/>
      <name val="Arial"/>
      <family val="2"/>
    </font>
  </fonts>
  <fills count="28">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2" tint="-9.9948118533890809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000000"/>
        <bgColor indexed="64"/>
      </patternFill>
    </fill>
    <fill>
      <patternFill patternType="solid">
        <fgColor rgb="FFA5A5A5"/>
      </patternFill>
    </fill>
    <fill>
      <patternFill patternType="solid">
        <fgColor rgb="FFFFEB9C"/>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92CDDC"/>
        <bgColor indexed="64"/>
      </patternFill>
    </fill>
    <fill>
      <patternFill patternType="solid">
        <fgColor rgb="FFD9D9D9"/>
        <bgColor indexed="64"/>
      </patternFill>
    </fill>
    <fill>
      <patternFill patternType="solid">
        <fgColor rgb="FF365F91"/>
        <bgColor indexed="64"/>
      </patternFill>
    </fill>
    <fill>
      <patternFill patternType="solid">
        <fgColor rgb="FFDBE5F1"/>
        <bgColor indexed="64"/>
      </patternFill>
    </fill>
    <fill>
      <patternFill patternType="solid">
        <fgColor rgb="FFFFFF00"/>
        <bgColor indexed="64"/>
      </patternFill>
    </fill>
    <fill>
      <patternFill patternType="solid">
        <fgColor rgb="FFFFFFFF"/>
        <bgColor rgb="FF000000"/>
      </patternFill>
    </fill>
    <fill>
      <patternFill patternType="solid">
        <fgColor rgb="FFFF0000"/>
        <bgColor indexed="64"/>
      </patternFill>
    </fill>
    <fill>
      <patternFill patternType="solid">
        <fgColor rgb="FFC8102E"/>
        <bgColor indexed="64"/>
      </patternFill>
    </fill>
    <fill>
      <patternFill patternType="solid">
        <fgColor rgb="FFFAC8D0"/>
        <bgColor indexed="64"/>
      </patternFill>
    </fill>
    <fill>
      <patternFill patternType="solid">
        <fgColor rgb="FF0C0C0C"/>
        <bgColor indexed="64"/>
      </patternFill>
    </fill>
    <fill>
      <patternFill patternType="solid">
        <fgColor rgb="FF3E373A"/>
        <bgColor indexed="64"/>
      </patternFill>
    </fill>
    <fill>
      <patternFill patternType="solid">
        <fgColor rgb="FFDAD5D7"/>
        <bgColor indexed="64"/>
      </patternFill>
    </fill>
  </fills>
  <borders count="47">
    <border>
      <left/>
      <right/>
      <top/>
      <bottom/>
      <diagonal/>
    </border>
    <border>
      <left/>
      <right/>
      <top style="thin">
        <color theme="4"/>
      </top>
      <bottom style="double">
        <color theme="4"/>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FFC000"/>
      </left>
      <right style="thin">
        <color rgb="FFFFC000"/>
      </right>
      <top style="thin">
        <color rgb="FFFFC000"/>
      </top>
      <bottom style="thin">
        <color rgb="FFFFC000"/>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style="medium">
        <color rgb="FF0000FF"/>
      </bottom>
      <diagonal/>
    </border>
    <border>
      <left style="medium">
        <color rgb="FF92CDDC"/>
      </left>
      <right style="medium">
        <color rgb="FF92CDDC"/>
      </right>
      <top style="medium">
        <color rgb="FF92CDDC"/>
      </top>
      <bottom style="medium">
        <color rgb="FF92CDDC"/>
      </bottom>
      <diagonal/>
    </border>
    <border>
      <left style="thick">
        <color rgb="FF92CDDC"/>
      </left>
      <right style="thin">
        <color rgb="FF92CDDC"/>
      </right>
      <top style="thin">
        <color rgb="FF92CDDC"/>
      </top>
      <bottom style="thin">
        <color rgb="FF92CDDC"/>
      </bottom>
      <diagonal/>
    </border>
    <border>
      <left style="thin">
        <color rgb="FF92CDDC"/>
      </left>
      <right style="thin">
        <color rgb="FF92CDDC"/>
      </right>
      <top style="thin">
        <color rgb="FF92CDDC"/>
      </top>
      <bottom style="thin">
        <color rgb="FF92CDDC"/>
      </bottom>
      <diagonal/>
    </border>
    <border>
      <left style="thin">
        <color rgb="FF92CDDC"/>
      </left>
      <right style="thick">
        <color rgb="FF92CDDC"/>
      </right>
      <top style="thin">
        <color rgb="FF92CDDC"/>
      </top>
      <bottom style="thin">
        <color rgb="FF92CDDC"/>
      </bottom>
      <diagonal/>
    </border>
    <border>
      <left/>
      <right style="thin">
        <color auto="1"/>
      </right>
      <top style="thin">
        <color auto="1"/>
      </top>
      <bottom style="thin">
        <color auto="1"/>
      </bottom>
      <diagonal/>
    </border>
    <border>
      <left style="thin">
        <color rgb="FF92CDDC"/>
      </left>
      <right style="thin">
        <color rgb="FF92CDDC"/>
      </right>
      <top style="thick">
        <color rgb="FF92CDDC"/>
      </top>
      <bottom style="thin">
        <color rgb="FF92CDDC"/>
      </bottom>
      <diagonal/>
    </border>
    <border>
      <left style="thin">
        <color rgb="FF0000FF"/>
      </left>
      <right style="thin">
        <color rgb="FF0000FF"/>
      </right>
      <top/>
      <bottom style="thin">
        <color rgb="FF0000FF"/>
      </bottom>
      <diagonal/>
    </border>
    <border>
      <left style="thin">
        <color auto="1"/>
      </left>
      <right/>
      <top style="thin">
        <color auto="1"/>
      </top>
      <bottom style="thin">
        <color auto="1"/>
      </bottom>
      <diagonal/>
    </border>
    <border>
      <left style="thin">
        <color rgb="FF7030A0"/>
      </left>
      <right style="thin">
        <color rgb="FF7030A0"/>
      </right>
      <top style="thin">
        <color rgb="FF7030A0"/>
      </top>
      <bottom style="thin">
        <color rgb="FF7030A0"/>
      </bottom>
      <diagonal/>
    </border>
    <border>
      <left/>
      <right/>
      <top/>
      <bottom style="medium">
        <color rgb="FF365F9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F25B73"/>
      </left>
      <right style="medium">
        <color rgb="FFF25B73"/>
      </right>
      <top style="medium">
        <color rgb="FFF25B73"/>
      </top>
      <bottom style="medium">
        <color rgb="FFF25B73"/>
      </bottom>
      <diagonal/>
    </border>
    <border>
      <left style="thin">
        <color rgb="FF000000"/>
      </left>
      <right/>
      <top style="thin">
        <color rgb="FF000000"/>
      </top>
      <bottom style="medium">
        <color rgb="FFC8102E"/>
      </bottom>
      <diagonal/>
    </border>
    <border>
      <left/>
      <right/>
      <top style="thin">
        <color rgb="FF000000"/>
      </top>
      <bottom style="medium">
        <color rgb="FFC8102E"/>
      </bottom>
      <diagonal/>
    </border>
    <border>
      <left/>
      <right style="thin">
        <color rgb="FF000000"/>
      </right>
      <top style="thin">
        <color rgb="FF000000"/>
      </top>
      <bottom style="medium">
        <color rgb="FFC8102E"/>
      </bottom>
      <diagonal/>
    </border>
    <border>
      <left style="thin">
        <color rgb="FF000000"/>
      </left>
      <right style="medium">
        <color rgb="FFF25B73"/>
      </right>
      <top style="medium">
        <color rgb="FFF25B73"/>
      </top>
      <bottom style="medium">
        <color rgb="FFF25B73"/>
      </bottom>
      <diagonal/>
    </border>
    <border>
      <left style="thin">
        <color rgb="FF000000"/>
      </left>
      <right style="medium">
        <color rgb="FFF25B73"/>
      </right>
      <top style="medium">
        <color rgb="FFF25B73"/>
      </top>
      <bottom style="thin">
        <color rgb="FF000000"/>
      </bottom>
      <diagonal/>
    </border>
    <border>
      <left style="thin">
        <color rgb="FF000000"/>
      </left>
      <right style="medium">
        <color rgb="FFF25B73"/>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rgb="FF908187"/>
      </left>
      <right/>
      <top style="thin">
        <color rgb="FF908187"/>
      </top>
      <bottom style="thin">
        <color rgb="FF3E373A"/>
      </bottom>
      <diagonal/>
    </border>
    <border>
      <left/>
      <right/>
      <top style="thin">
        <color rgb="FF908187"/>
      </top>
      <bottom style="thin">
        <color rgb="FF3E373A"/>
      </bottom>
      <diagonal/>
    </border>
    <border>
      <left/>
      <right style="thin">
        <color rgb="FF908187"/>
      </right>
      <top style="thin">
        <color rgb="FF908187"/>
      </top>
      <bottom style="thin">
        <color rgb="FF3E373A"/>
      </bottom>
      <diagonal/>
    </border>
    <border>
      <left style="thin">
        <color rgb="FF908187"/>
      </left>
      <right/>
      <top/>
      <bottom/>
      <diagonal/>
    </border>
    <border>
      <left style="thin">
        <color rgb="FF908187"/>
      </left>
      <right/>
      <top/>
      <bottom style="thin">
        <color indexed="64"/>
      </bottom>
      <diagonal/>
    </border>
    <border>
      <left/>
      <right/>
      <top/>
      <bottom style="thin">
        <color indexed="64"/>
      </bottom>
      <diagonal/>
    </border>
    <border>
      <left style="medium">
        <color rgb="FF3E373A"/>
      </left>
      <right/>
      <top style="medium">
        <color rgb="FF3E373A"/>
      </top>
      <bottom style="medium">
        <color rgb="FF3E373A"/>
      </bottom>
      <diagonal/>
    </border>
    <border>
      <left/>
      <right/>
      <top style="medium">
        <color rgb="FF3E373A"/>
      </top>
      <bottom style="medium">
        <color rgb="FF3E373A"/>
      </bottom>
      <diagonal/>
    </border>
    <border>
      <left/>
      <right style="medium">
        <color rgb="FF3E373A"/>
      </right>
      <top style="medium">
        <color rgb="FF3E373A"/>
      </top>
      <bottom style="medium">
        <color rgb="FF3E373A"/>
      </bottom>
      <diagonal/>
    </border>
    <border>
      <left/>
      <right/>
      <top/>
      <bottom style="medium">
        <color indexed="64"/>
      </bottom>
      <diagonal/>
    </border>
    <border>
      <left/>
      <right/>
      <top style="medium">
        <color rgb="FF3E373A"/>
      </top>
      <bottom/>
      <diagonal/>
    </border>
  </borders>
  <cellStyleXfs count="30">
    <xf numFmtId="0" fontId="0" fillId="8" borderId="0"/>
    <xf numFmtId="9" fontId="2" fillId="0" borderId="0" applyFont="0" applyFill="0" applyBorder="0" applyAlignment="0" applyProtection="0"/>
    <xf numFmtId="0" fontId="4" fillId="3" borderId="0" applyNumberFormat="0" applyAlignment="0" applyProtection="0"/>
    <xf numFmtId="0" fontId="5" fillId="2" borderId="0" applyNumberFormat="0" applyAlignment="0" applyProtection="0"/>
    <xf numFmtId="0" fontId="6" fillId="4" borderId="0" applyNumberFormat="0" applyAlignment="0" applyProtection="0"/>
    <xf numFmtId="0" fontId="7" fillId="5" borderId="0" applyNumberFormat="0" applyAlignment="0" applyProtection="0"/>
    <xf numFmtId="0" fontId="7" fillId="6" borderId="0" applyNumberFormat="0" applyAlignment="0" applyProtection="0"/>
    <xf numFmtId="43" fontId="36" fillId="0" borderId="20" applyAlignment="0" applyProtection="0"/>
    <xf numFmtId="43" fontId="25" fillId="0" borderId="10" applyAlignment="0" applyProtection="0"/>
    <xf numFmtId="0" fontId="3" fillId="0" borderId="1" applyNumberFormat="0" applyFill="0" applyAlignment="0" applyProtection="0"/>
    <xf numFmtId="41" fontId="31" fillId="17" borderId="17" applyAlignment="0" applyProtection="0"/>
    <xf numFmtId="41" fontId="31" fillId="17" borderId="13" applyAlignment="0" applyProtection="0"/>
    <xf numFmtId="43" fontId="19" fillId="0" borderId="0" applyFill="0" applyBorder="0" applyAlignment="0" applyProtection="0"/>
    <xf numFmtId="0" fontId="23" fillId="10" borderId="3" applyNumberFormat="0" applyAlignment="0" applyProtection="0"/>
    <xf numFmtId="0" fontId="17" fillId="11" borderId="0" applyNumberFormat="0" applyBorder="0" applyAlignment="0" applyProtection="0"/>
    <xf numFmtId="0" fontId="22" fillId="12" borderId="7" applyNumberFormat="0" applyAlignment="0" applyProtection="0"/>
    <xf numFmtId="41" fontId="24" fillId="0" borderId="11" applyAlignment="0" applyProtection="0"/>
    <xf numFmtId="0" fontId="13" fillId="14" borderId="0" applyNumberFormat="0" applyBorder="0" applyAlignment="0" applyProtection="0"/>
    <xf numFmtId="0" fontId="16" fillId="15" borderId="0" applyNumberFormat="0" applyBorder="0" applyAlignment="0" applyProtection="0"/>
    <xf numFmtId="0" fontId="14" fillId="0" borderId="0" applyNumberFormat="0" applyFill="0" applyBorder="0" applyAlignment="0" applyProtection="0"/>
    <xf numFmtId="41" fontId="19" fillId="0" borderId="0" applyFill="0" applyBorder="0" applyAlignment="0" applyProtection="0"/>
    <xf numFmtId="0" fontId="26" fillId="8" borderId="9" applyNumberFormat="0" applyAlignment="0" applyProtection="0"/>
    <xf numFmtId="0" fontId="18" fillId="0" borderId="0" applyNumberFormat="0" applyFill="0" applyBorder="0" applyAlignment="0" applyProtection="0"/>
    <xf numFmtId="43" fontId="28" fillId="8" borderId="15">
      <alignment vertical="center" wrapText="1"/>
    </xf>
    <xf numFmtId="0" fontId="21" fillId="16" borderId="12">
      <alignment horizontal="left" vertical="center"/>
    </xf>
    <xf numFmtId="41" fontId="29" fillId="8" borderId="14">
      <alignment vertical="center" wrapText="1"/>
    </xf>
    <xf numFmtId="0" fontId="1" fillId="0" borderId="0"/>
    <xf numFmtId="0" fontId="27" fillId="10" borderId="3" applyNumberFormat="0" applyAlignment="0" applyProtection="0"/>
    <xf numFmtId="43" fontId="1" fillId="0" borderId="0" applyFont="0" applyFill="0" applyBorder="0" applyAlignment="0" applyProtection="0"/>
    <xf numFmtId="165" fontId="35" fillId="0" borderId="0" applyFont="0" applyFill="0" applyBorder="0" applyAlignment="0" applyProtection="0"/>
  </cellStyleXfs>
  <cellXfs count="200">
    <xf numFmtId="0" fontId="0" fillId="8" borderId="0" xfId="0"/>
    <xf numFmtId="0" fontId="4" fillId="3" borderId="0" xfId="2"/>
    <xf numFmtId="0" fontId="5" fillId="2" borderId="0" xfId="3"/>
    <xf numFmtId="0" fontId="7" fillId="5" borderId="0" xfId="5"/>
    <xf numFmtId="0" fontId="6" fillId="4" borderId="0" xfId="4"/>
    <xf numFmtId="43" fontId="36" fillId="0" borderId="20" xfId="7"/>
    <xf numFmtId="43" fontId="25" fillId="0" borderId="10" xfId="8"/>
    <xf numFmtId="14" fontId="36" fillId="0" borderId="20" xfId="7" applyNumberFormat="1"/>
    <xf numFmtId="167" fontId="8" fillId="7" borderId="0" xfId="1" applyNumberFormat="1" applyFont="1" applyFill="1"/>
    <xf numFmtId="0" fontId="7" fillId="5" borderId="0" xfId="5" quotePrefix="1"/>
    <xf numFmtId="168" fontId="36" fillId="0" borderId="20" xfId="7" applyNumberFormat="1"/>
    <xf numFmtId="0" fontId="36" fillId="0" borderId="20" xfId="7" quotePrefix="1" applyNumberFormat="1"/>
    <xf numFmtId="168" fontId="0" fillId="8" borderId="0" xfId="0" applyNumberFormat="1"/>
    <xf numFmtId="0" fontId="23" fillId="10" borderId="3" xfId="13"/>
    <xf numFmtId="0" fontId="36" fillId="0" borderId="20" xfId="7" applyNumberFormat="1"/>
    <xf numFmtId="0" fontId="3" fillId="8" borderId="0" xfId="0" applyFont="1" applyAlignment="1">
      <alignment vertical="center" wrapText="1"/>
    </xf>
    <xf numFmtId="168" fontId="9" fillId="8" borderId="0" xfId="12" applyNumberFormat="1" applyFont="1" applyFill="1" applyBorder="1" applyAlignment="1">
      <alignment horizontal="right" vertical="center" wrapText="1"/>
    </xf>
    <xf numFmtId="168" fontId="25" fillId="0" borderId="10" xfId="8" applyNumberFormat="1"/>
    <xf numFmtId="168" fontId="9" fillId="8" borderId="0" xfId="0" applyNumberFormat="1" applyFont="1" applyAlignment="1">
      <alignment horizontal="right" vertical="center" wrapText="1"/>
    </xf>
    <xf numFmtId="43" fontId="0" fillId="8" borderId="0" xfId="0" applyNumberFormat="1"/>
    <xf numFmtId="0" fontId="11" fillId="12" borderId="7" xfId="15" applyFont="1"/>
    <xf numFmtId="0" fontId="7" fillId="5" borderId="0" xfId="5" quotePrefix="1" applyNumberFormat="1"/>
    <xf numFmtId="41" fontId="31" fillId="8" borderId="17" xfId="10" applyFill="1"/>
    <xf numFmtId="0" fontId="7" fillId="6" borderId="0" xfId="6"/>
    <xf numFmtId="41" fontId="24" fillId="0" borderId="11" xfId="16"/>
    <xf numFmtId="14" fontId="25" fillId="0" borderId="10" xfId="8" applyNumberFormat="1"/>
    <xf numFmtId="43" fontId="6" fillId="4" borderId="0" xfId="4" applyNumberFormat="1"/>
    <xf numFmtId="41" fontId="31" fillId="17" borderId="17" xfId="10"/>
    <xf numFmtId="41" fontId="31" fillId="8" borderId="13" xfId="11" applyFill="1"/>
    <xf numFmtId="0" fontId="7" fillId="6" borderId="0" xfId="6" applyAlignment="1">
      <alignment wrapText="1"/>
    </xf>
    <xf numFmtId="0" fontId="7" fillId="6" borderId="0" xfId="6" applyAlignment="1"/>
    <xf numFmtId="168" fontId="4" fillId="3" borderId="0" xfId="2" applyNumberFormat="1"/>
    <xf numFmtId="168" fontId="31" fillId="17" borderId="17" xfId="10" applyNumberFormat="1"/>
    <xf numFmtId="43" fontId="26" fillId="8" borderId="9" xfId="21" applyNumberFormat="1"/>
    <xf numFmtId="168" fontId="12" fillId="13" borderId="8" xfId="12" applyNumberFormat="1" applyFont="1" applyFill="1" applyBorder="1"/>
    <xf numFmtId="168" fontId="31" fillId="8" borderId="17" xfId="10" applyNumberFormat="1" applyFill="1"/>
    <xf numFmtId="168" fontId="31" fillId="8" borderId="13" xfId="11" applyNumberFormat="1" applyFill="1"/>
    <xf numFmtId="43" fontId="23" fillId="10" borderId="3" xfId="13" applyNumberFormat="1"/>
    <xf numFmtId="168" fontId="23" fillId="10" borderId="3" xfId="13" applyNumberFormat="1"/>
    <xf numFmtId="43" fontId="28" fillId="8" borderId="15" xfId="23">
      <alignment vertical="center" wrapText="1"/>
    </xf>
    <xf numFmtId="0" fontId="21" fillId="16" borderId="12" xfId="24">
      <alignment horizontal="left" vertical="center"/>
    </xf>
    <xf numFmtId="0" fontId="20" fillId="8" borderId="0" xfId="0" applyFont="1"/>
    <xf numFmtId="41" fontId="29" fillId="8" borderId="14" xfId="25">
      <alignment vertical="center" wrapText="1"/>
    </xf>
    <xf numFmtId="0" fontId="26" fillId="8" borderId="9" xfId="21"/>
    <xf numFmtId="169" fontId="29" fillId="8" borderId="14" xfId="25" applyNumberFormat="1">
      <alignment vertical="center" wrapText="1"/>
    </xf>
    <xf numFmtId="41" fontId="31" fillId="17" borderId="13" xfId="11"/>
    <xf numFmtId="41" fontId="23" fillId="10" borderId="3" xfId="13" applyNumberFormat="1"/>
    <xf numFmtId="41" fontId="31" fillId="17" borderId="13" xfId="11" applyAlignment="1">
      <alignment vertical="center" wrapText="1"/>
    </xf>
    <xf numFmtId="41" fontId="31" fillId="17" borderId="13" xfId="11" applyAlignment="1">
      <alignment horizontal="right" vertical="center" wrapText="1"/>
    </xf>
    <xf numFmtId="41" fontId="31" fillId="17" borderId="17" xfId="10" applyAlignment="1">
      <alignment vertical="center" wrapText="1"/>
    </xf>
    <xf numFmtId="41" fontId="31" fillId="17" borderId="17" xfId="10" applyAlignment="1">
      <alignment horizontal="right" vertical="center" wrapText="1"/>
    </xf>
    <xf numFmtId="168" fontId="36" fillId="0" borderId="20" xfId="7" quotePrefix="1" applyNumberFormat="1"/>
    <xf numFmtId="41" fontId="0" fillId="8" borderId="0" xfId="0" applyNumberFormat="1"/>
    <xf numFmtId="170" fontId="28" fillId="8" borderId="15" xfId="23" applyNumberFormat="1">
      <alignment vertical="center" wrapText="1"/>
    </xf>
    <xf numFmtId="169" fontId="31" fillId="17" borderId="17" xfId="10" applyNumberFormat="1" applyAlignment="1">
      <alignment vertical="center" wrapText="1"/>
    </xf>
    <xf numFmtId="169" fontId="31" fillId="17" borderId="17" xfId="10" applyNumberFormat="1" applyAlignment="1">
      <alignment horizontal="right" vertical="center" wrapText="1"/>
    </xf>
    <xf numFmtId="169" fontId="31" fillId="17" borderId="13" xfId="11" applyNumberFormat="1" applyAlignment="1">
      <alignment horizontal="right" vertical="center" wrapText="1"/>
    </xf>
    <xf numFmtId="169" fontId="31" fillId="17" borderId="13" xfId="11" applyNumberFormat="1"/>
    <xf numFmtId="169" fontId="31" fillId="17" borderId="17" xfId="10" applyNumberFormat="1"/>
    <xf numFmtId="43" fontId="36" fillId="0" borderId="18" xfId="7" applyBorder="1"/>
    <xf numFmtId="171" fontId="36" fillId="0" borderId="20" xfId="7" applyNumberFormat="1"/>
    <xf numFmtId="0" fontId="7" fillId="5" borderId="2" xfId="5" applyBorder="1" applyAlignment="1"/>
    <xf numFmtId="0" fontId="7" fillId="5" borderId="16" xfId="5" applyBorder="1" applyAlignment="1"/>
    <xf numFmtId="10" fontId="32" fillId="0" borderId="9" xfId="1" applyNumberFormat="1" applyFont="1" applyBorder="1"/>
    <xf numFmtId="10" fontId="25" fillId="0" borderId="10" xfId="1" applyNumberFormat="1" applyFont="1" applyBorder="1"/>
    <xf numFmtId="171" fontId="25" fillId="0" borderId="10" xfId="8" applyNumberFormat="1"/>
    <xf numFmtId="9" fontId="32" fillId="0" borderId="9" xfId="1" applyFont="1" applyBorder="1"/>
    <xf numFmtId="9" fontId="26" fillId="8" borderId="9" xfId="1" applyFont="1" applyFill="1" applyBorder="1"/>
    <xf numFmtId="167" fontId="32" fillId="0" borderId="9" xfId="1" applyNumberFormat="1" applyFont="1" applyBorder="1"/>
    <xf numFmtId="171" fontId="19" fillId="8" borderId="9" xfId="12" applyNumberFormat="1" applyFill="1" applyBorder="1"/>
    <xf numFmtId="41" fontId="5" fillId="2" borderId="0" xfId="3" applyNumberFormat="1"/>
    <xf numFmtId="166" fontId="23" fillId="10" borderId="3" xfId="13" applyNumberFormat="1"/>
    <xf numFmtId="171" fontId="23" fillId="10" borderId="3" xfId="13" applyNumberFormat="1"/>
    <xf numFmtId="171" fontId="19" fillId="8" borderId="0" xfId="12" applyNumberFormat="1" applyFill="1"/>
    <xf numFmtId="0" fontId="33" fillId="8" borderId="0" xfId="0" applyFont="1"/>
    <xf numFmtId="0" fontId="34" fillId="3" borderId="0" xfId="2" applyFont="1"/>
    <xf numFmtId="172" fontId="0" fillId="8" borderId="0" xfId="29" applyNumberFormat="1" applyFont="1" applyFill="1"/>
    <xf numFmtId="172" fontId="0" fillId="8" borderId="0" xfId="0" applyNumberFormat="1"/>
    <xf numFmtId="173" fontId="31" fillId="8" borderId="17" xfId="10" applyNumberFormat="1" applyFill="1"/>
    <xf numFmtId="14" fontId="0" fillId="8" borderId="0" xfId="0" applyNumberFormat="1"/>
    <xf numFmtId="43" fontId="19" fillId="8" borderId="0" xfId="12" applyFill="1"/>
    <xf numFmtId="174" fontId="31" fillId="17" borderId="13" xfId="11" applyNumberFormat="1"/>
    <xf numFmtId="10" fontId="36" fillId="0" borderId="20" xfId="1" applyNumberFormat="1" applyFont="1" applyBorder="1"/>
    <xf numFmtId="43" fontId="19" fillId="8" borderId="9" xfId="12" applyFill="1" applyBorder="1"/>
    <xf numFmtId="175" fontId="0" fillId="8" borderId="0" xfId="0" applyNumberFormat="1"/>
    <xf numFmtId="9" fontId="0" fillId="8" borderId="0" xfId="1" applyFont="1" applyFill="1"/>
    <xf numFmtId="0" fontId="37" fillId="8" borderId="0" xfId="0" applyFont="1" applyAlignment="1">
      <alignment vertical="center"/>
    </xf>
    <xf numFmtId="0" fontId="38" fillId="18" borderId="0" xfId="0" applyFont="1" applyFill="1" applyAlignment="1">
      <alignment vertical="center" wrapText="1"/>
    </xf>
    <xf numFmtId="0" fontId="38" fillId="18" borderId="0" xfId="0" applyFont="1" applyFill="1" applyAlignment="1">
      <alignment horizontal="right" vertical="center" wrapText="1"/>
    </xf>
    <xf numFmtId="0" fontId="39" fillId="8" borderId="0" xfId="0" applyFont="1" applyAlignment="1">
      <alignment vertical="center" wrapText="1"/>
    </xf>
    <xf numFmtId="0" fontId="39" fillId="8" borderId="0" xfId="0" applyFont="1" applyAlignment="1">
      <alignment horizontal="right" vertical="center" wrapText="1"/>
    </xf>
    <xf numFmtId="0" fontId="40" fillId="19" borderId="0" xfId="0" applyFont="1" applyFill="1" applyAlignment="1">
      <alignment vertical="center" wrapText="1"/>
    </xf>
    <xf numFmtId="0" fontId="40" fillId="19" borderId="0" xfId="0" applyFont="1" applyFill="1" applyAlignment="1">
      <alignment horizontal="right" vertical="center" wrapText="1"/>
    </xf>
    <xf numFmtId="0" fontId="40" fillId="19" borderId="21" xfId="0" applyFont="1" applyFill="1" applyBorder="1" applyAlignment="1">
      <alignment vertical="center" wrapText="1"/>
    </xf>
    <xf numFmtId="0" fontId="40" fillId="19" borderId="21" xfId="0" applyFont="1" applyFill="1" applyBorder="1" applyAlignment="1">
      <alignment horizontal="right" vertical="center" wrapText="1"/>
    </xf>
    <xf numFmtId="0" fontId="39" fillId="8" borderId="0" xfId="0" applyFont="1" applyAlignment="1">
      <alignment horizontal="justify" vertical="center"/>
    </xf>
    <xf numFmtId="0" fontId="0" fillId="20" borderId="0" xfId="0" applyFill="1"/>
    <xf numFmtId="0" fontId="41" fillId="21" borderId="0" xfId="0" applyFont="1" applyFill="1"/>
    <xf numFmtId="10" fontId="41" fillId="21" borderId="0" xfId="0" applyNumberFormat="1" applyFont="1" applyFill="1"/>
    <xf numFmtId="167" fontId="0" fillId="0" borderId="0" xfId="1" applyNumberFormat="1" applyFont="1"/>
    <xf numFmtId="175" fontId="0" fillId="22" borderId="0" xfId="0" applyNumberFormat="1" applyFill="1"/>
    <xf numFmtId="176" fontId="42" fillId="0" borderId="10" xfId="12" applyNumberFormat="1" applyFont="1" applyFill="1" applyBorder="1"/>
    <xf numFmtId="2" fontId="0" fillId="8" borderId="0" xfId="0" applyNumberFormat="1"/>
    <xf numFmtId="2" fontId="0" fillId="20" borderId="0" xfId="0" applyNumberFormat="1" applyFill="1"/>
    <xf numFmtId="0" fontId="39" fillId="8" borderId="0" xfId="0" applyFont="1"/>
    <xf numFmtId="3" fontId="39" fillId="8" borderId="0" xfId="0" applyNumberFormat="1" applyFont="1"/>
    <xf numFmtId="174" fontId="29" fillId="8" borderId="14" xfId="25" applyNumberFormat="1">
      <alignment vertical="center" wrapText="1"/>
    </xf>
    <xf numFmtId="174" fontId="31" fillId="17" borderId="17" xfId="10" applyNumberFormat="1" applyAlignment="1">
      <alignment vertical="center" wrapText="1"/>
    </xf>
    <xf numFmtId="174" fontId="31" fillId="17" borderId="17" xfId="10" applyNumberFormat="1" applyAlignment="1">
      <alignment horizontal="right" vertical="center" wrapText="1"/>
    </xf>
    <xf numFmtId="174" fontId="31" fillId="17" borderId="13" xfId="11" applyNumberFormat="1" applyAlignment="1">
      <alignment horizontal="right" vertical="center" wrapText="1"/>
    </xf>
    <xf numFmtId="0" fontId="43" fillId="8" borderId="0" xfId="0" applyFont="1" applyAlignment="1">
      <alignment horizontal="justify" vertical="center"/>
    </xf>
    <xf numFmtId="0" fontId="44" fillId="9" borderId="22"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4" fillId="8" borderId="24" xfId="0" applyFont="1" applyBorder="1" applyAlignment="1">
      <alignment vertical="center" wrapText="1"/>
    </xf>
    <xf numFmtId="175" fontId="44" fillId="8" borderId="25" xfId="0" applyNumberFormat="1" applyFont="1" applyBorder="1" applyAlignment="1">
      <alignment horizontal="center" vertical="center" wrapText="1"/>
    </xf>
    <xf numFmtId="9" fontId="32" fillId="0" borderId="9" xfId="1" applyFont="1" applyFill="1" applyBorder="1"/>
    <xf numFmtId="41" fontId="11" fillId="3" borderId="0" xfId="2" applyNumberFormat="1" applyFont="1"/>
    <xf numFmtId="0" fontId="46" fillId="8" borderId="24" xfId="0" applyFont="1" applyBorder="1" applyAlignment="1">
      <alignment vertical="center" wrapText="1"/>
    </xf>
    <xf numFmtId="0" fontId="46" fillId="8" borderId="25" xfId="0" applyFont="1" applyBorder="1" applyAlignment="1">
      <alignment horizontal="center" vertical="center" wrapText="1"/>
    </xf>
    <xf numFmtId="0" fontId="47" fillId="8" borderId="0" xfId="0" applyFont="1" applyAlignment="1">
      <alignment horizontal="justify" vertical="center"/>
    </xf>
    <xf numFmtId="173" fontId="23" fillId="10" borderId="3" xfId="13" applyNumberFormat="1"/>
    <xf numFmtId="41" fontId="26" fillId="8" borderId="9" xfId="21" applyNumberFormat="1"/>
    <xf numFmtId="0" fontId="50" fillId="8" borderId="0" xfId="0" applyFont="1"/>
    <xf numFmtId="0" fontId="48" fillId="23" borderId="27" xfId="0" applyFont="1" applyFill="1" applyBorder="1" applyAlignment="1">
      <alignment horizontal="center" vertical="center" wrapText="1"/>
    </xf>
    <xf numFmtId="0" fontId="49" fillId="23" borderId="28" xfId="0" applyFont="1" applyFill="1" applyBorder="1" applyAlignment="1">
      <alignment horizontal="center" vertical="center" wrapText="1"/>
    </xf>
    <xf numFmtId="0" fontId="49" fillId="23" borderId="29" xfId="0" applyFont="1" applyFill="1" applyBorder="1" applyAlignment="1">
      <alignment horizontal="center" vertical="center" wrapText="1"/>
    </xf>
    <xf numFmtId="0" fontId="50" fillId="24" borderId="30" xfId="0" applyFont="1" applyFill="1" applyBorder="1" applyAlignment="1">
      <alignment horizontal="left" vertical="center" wrapText="1"/>
    </xf>
    <xf numFmtId="0" fontId="50" fillId="8" borderId="30" xfId="0" applyFont="1" applyBorder="1" applyAlignment="1">
      <alignment horizontal="left" vertical="center" wrapText="1"/>
    </xf>
    <xf numFmtId="0" fontId="50" fillId="8" borderId="31" xfId="0" applyFont="1" applyBorder="1" applyAlignment="1">
      <alignment horizontal="left" vertical="center" wrapText="1"/>
    </xf>
    <xf numFmtId="0" fontId="50" fillId="24" borderId="32" xfId="0" applyFont="1" applyFill="1" applyBorder="1" applyAlignment="1">
      <alignment horizontal="left" vertical="center" wrapText="1"/>
    </xf>
    <xf numFmtId="0" fontId="50" fillId="8" borderId="32" xfId="0" applyFont="1" applyBorder="1" applyAlignment="1">
      <alignment horizontal="left" vertical="center" wrapText="1"/>
    </xf>
    <xf numFmtId="41" fontId="35" fillId="8" borderId="14" xfId="25" applyFont="1">
      <alignment vertical="center" wrapText="1"/>
    </xf>
    <xf numFmtId="169" fontId="35" fillId="8" borderId="14" xfId="25" applyNumberFormat="1" applyFont="1">
      <alignment vertical="center" wrapText="1"/>
    </xf>
    <xf numFmtId="0" fontId="35" fillId="16" borderId="12" xfId="24" applyFont="1">
      <alignment horizontal="left" vertical="center"/>
    </xf>
    <xf numFmtId="43" fontId="35" fillId="8" borderId="15" xfId="23" applyFont="1">
      <alignment vertical="center" wrapText="1"/>
    </xf>
    <xf numFmtId="169" fontId="35" fillId="17" borderId="17" xfId="10" applyNumberFormat="1" applyFont="1" applyAlignment="1">
      <alignment vertical="center" wrapText="1"/>
    </xf>
    <xf numFmtId="169" fontId="35" fillId="17" borderId="17" xfId="10" applyNumberFormat="1" applyFont="1" applyAlignment="1">
      <alignment horizontal="right" vertical="center" wrapText="1"/>
    </xf>
    <xf numFmtId="41" fontId="35" fillId="17" borderId="13" xfId="11" applyFont="1" applyAlignment="1">
      <alignment horizontal="right" vertical="center" wrapText="1"/>
    </xf>
    <xf numFmtId="41" fontId="35" fillId="17" borderId="17" xfId="10" applyFont="1" applyAlignment="1">
      <alignment vertical="center" wrapText="1"/>
    </xf>
    <xf numFmtId="41" fontId="35" fillId="17" borderId="17" xfId="10" applyFont="1" applyAlignment="1">
      <alignment horizontal="right" vertical="center" wrapText="1"/>
    </xf>
    <xf numFmtId="171" fontId="19" fillId="24" borderId="26" xfId="12" applyNumberFormat="1" applyFill="1" applyBorder="1" applyAlignment="1">
      <alignment horizontal="center" vertical="center" wrapText="1"/>
    </xf>
    <xf numFmtId="171" fontId="19" fillId="24" borderId="30" xfId="12" applyNumberFormat="1" applyFill="1" applyBorder="1" applyAlignment="1">
      <alignment horizontal="left" vertical="center" wrapText="1"/>
    </xf>
    <xf numFmtId="0" fontId="52" fillId="25" borderId="23" xfId="0" applyFont="1" applyFill="1" applyBorder="1" applyAlignment="1">
      <alignment vertical="center" wrapText="1"/>
    </xf>
    <xf numFmtId="0" fontId="52" fillId="25" borderId="23" xfId="0" applyFont="1" applyFill="1" applyBorder="1" applyAlignment="1">
      <alignment horizontal="center" vertical="center" wrapText="1"/>
    </xf>
    <xf numFmtId="0" fontId="53" fillId="8" borderId="0" xfId="0" applyFont="1" applyAlignment="1">
      <alignment vertical="center" wrapText="1"/>
    </xf>
    <xf numFmtId="0" fontId="53" fillId="8" borderId="25" xfId="0" applyFont="1" applyBorder="1" applyAlignment="1">
      <alignment vertical="center" wrapText="1"/>
    </xf>
    <xf numFmtId="171" fontId="19" fillId="8" borderId="25" xfId="12" applyNumberFormat="1" applyFill="1" applyBorder="1" applyAlignment="1">
      <alignment horizontal="center" vertical="center" wrapText="1"/>
    </xf>
    <xf numFmtId="166" fontId="0" fillId="8" borderId="0" xfId="0" applyNumberFormat="1"/>
    <xf numFmtId="0" fontId="44" fillId="9" borderId="23" xfId="0" applyFont="1" applyFill="1" applyBorder="1" applyAlignment="1">
      <alignment horizontal="center" vertical="center" wrapText="1"/>
    </xf>
    <xf numFmtId="0" fontId="0" fillId="8" borderId="0" xfId="0" applyAlignment="1">
      <alignment horizontal="center"/>
    </xf>
    <xf numFmtId="0" fontId="43" fillId="8" borderId="0" xfId="0" applyFont="1" applyAlignment="1">
      <alignment horizontal="center" vertical="center"/>
    </xf>
    <xf numFmtId="0" fontId="44" fillId="8" borderId="25" xfId="0" applyFont="1" applyBorder="1" applyAlignment="1">
      <alignment horizontal="center" vertical="center" wrapText="1"/>
    </xf>
    <xf numFmtId="0" fontId="47" fillId="8" borderId="0" xfId="0" applyFont="1" applyAlignment="1">
      <alignment horizontal="center" vertical="center"/>
    </xf>
    <xf numFmtId="164" fontId="0" fillId="8" borderId="0" xfId="0" applyNumberFormat="1"/>
    <xf numFmtId="167" fontId="0" fillId="8" borderId="0" xfId="1" applyNumberFormat="1" applyFont="1" applyFill="1"/>
    <xf numFmtId="0" fontId="54" fillId="8" borderId="0" xfId="0" applyFont="1"/>
    <xf numFmtId="0" fontId="55" fillId="26" borderId="36" xfId="0" applyFont="1" applyFill="1" applyBorder="1"/>
    <xf numFmtId="0" fontId="56" fillId="26" borderId="37" xfId="0" applyFont="1" applyFill="1" applyBorder="1"/>
    <xf numFmtId="0" fontId="56" fillId="26" borderId="38" xfId="0" applyFont="1" applyFill="1" applyBorder="1"/>
    <xf numFmtId="0" fontId="57" fillId="27" borderId="39" xfId="0" applyFont="1" applyFill="1" applyBorder="1"/>
    <xf numFmtId="0" fontId="59" fillId="8" borderId="39" xfId="0" applyFont="1" applyBorder="1"/>
    <xf numFmtId="0" fontId="57" fillId="27" borderId="40" xfId="0" applyFont="1" applyFill="1" applyBorder="1"/>
    <xf numFmtId="175" fontId="58" fillId="27" borderId="0" xfId="0" applyNumberFormat="1" applyFont="1" applyFill="1"/>
    <xf numFmtId="175" fontId="58" fillId="8" borderId="0" xfId="0" applyNumberFormat="1" applyFont="1"/>
    <xf numFmtId="175" fontId="59" fillId="27" borderId="41" xfId="0" applyNumberFormat="1" applyFont="1" applyFill="1" applyBorder="1"/>
    <xf numFmtId="0" fontId="60" fillId="8" borderId="0" xfId="0" applyFont="1" applyAlignment="1">
      <alignment vertical="center"/>
    </xf>
    <xf numFmtId="0" fontId="49" fillId="26" borderId="42" xfId="0" applyFont="1" applyFill="1" applyBorder="1" applyAlignment="1">
      <alignment horizontal="center" vertical="center" wrapText="1"/>
    </xf>
    <xf numFmtId="0" fontId="49" fillId="26" borderId="43" xfId="0" applyFont="1" applyFill="1" applyBorder="1" applyAlignment="1">
      <alignment horizontal="center" vertical="center" wrapText="1"/>
    </xf>
    <xf numFmtId="0" fontId="49" fillId="26" borderId="44" xfId="0" applyFont="1" applyFill="1" applyBorder="1" applyAlignment="1">
      <alignment horizontal="center" vertical="center" wrapText="1"/>
    </xf>
    <xf numFmtId="0" fontId="2" fillId="8" borderId="0" xfId="0" applyFont="1" applyAlignment="1">
      <alignment horizontal="center" vertical="center" wrapText="1"/>
    </xf>
    <xf numFmtId="0" fontId="51" fillId="27" borderId="0" xfId="0" applyFont="1" applyFill="1" applyAlignment="1">
      <alignment vertical="center" wrapText="1"/>
    </xf>
    <xf numFmtId="0" fontId="50" fillId="27" borderId="0" xfId="0" applyFont="1" applyFill="1" applyAlignment="1">
      <alignment horizontal="center" vertical="center" wrapText="1"/>
    </xf>
    <xf numFmtId="0" fontId="51" fillId="27" borderId="45" xfId="0" applyFont="1" applyFill="1" applyBorder="1" applyAlignment="1">
      <alignment vertical="center" wrapText="1"/>
    </xf>
    <xf numFmtId="175" fontId="50" fillId="27" borderId="0" xfId="0" applyNumberFormat="1" applyFont="1" applyFill="1" applyAlignment="1">
      <alignment horizontal="center" vertical="center" wrapText="1"/>
    </xf>
    <xf numFmtId="175" fontId="2" fillId="8" borderId="0" xfId="0" applyNumberFormat="1" applyFont="1" applyAlignment="1">
      <alignment horizontal="center" vertical="center" wrapText="1"/>
    </xf>
    <xf numFmtId="175" fontId="50" fillId="27" borderId="45" xfId="0" applyNumberFormat="1" applyFont="1" applyFill="1" applyBorder="1" applyAlignment="1">
      <alignment horizontal="center" vertical="center" wrapText="1"/>
    </xf>
    <xf numFmtId="0" fontId="49" fillId="26" borderId="42" xfId="0" applyFont="1" applyFill="1" applyBorder="1" applyAlignment="1">
      <alignment vertical="center" wrapText="1"/>
    </xf>
    <xf numFmtId="0" fontId="3" fillId="8" borderId="45" xfId="0" applyFont="1" applyBorder="1" applyAlignment="1">
      <alignment vertical="center" wrapText="1"/>
    </xf>
    <xf numFmtId="175" fontId="2" fillId="8" borderId="45" xfId="0" applyNumberFormat="1" applyFont="1" applyBorder="1" applyAlignment="1">
      <alignment horizontal="center" vertical="center" wrapText="1"/>
    </xf>
    <xf numFmtId="0" fontId="48" fillId="26" borderId="43" xfId="0" applyFont="1" applyFill="1" applyBorder="1" applyAlignment="1">
      <alignment horizontal="center" vertical="center" wrapText="1"/>
    </xf>
    <xf numFmtId="0" fontId="48" fillId="26" borderId="44" xfId="0" applyFont="1" applyFill="1" applyBorder="1" applyAlignment="1">
      <alignment horizontal="center" vertical="center" wrapText="1"/>
    </xf>
    <xf numFmtId="43" fontId="19" fillId="24" borderId="26" xfId="12" applyFill="1" applyBorder="1" applyAlignment="1">
      <alignment horizontal="center" vertical="center" wrapText="1"/>
    </xf>
    <xf numFmtId="43" fontId="19" fillId="24" borderId="30" xfId="12" applyFill="1" applyBorder="1" applyAlignment="1">
      <alignment horizontal="left" vertical="center" wrapText="1"/>
    </xf>
    <xf numFmtId="43" fontId="19" fillId="24" borderId="0" xfId="12" applyFill="1" applyBorder="1" applyAlignment="1">
      <alignment horizontal="left" vertical="center" wrapText="1"/>
    </xf>
    <xf numFmtId="177" fontId="19" fillId="24" borderId="26" xfId="12" applyNumberFormat="1" applyFill="1" applyBorder="1" applyAlignment="1">
      <alignment horizontal="center" vertical="center" wrapText="1"/>
    </xf>
    <xf numFmtId="0" fontId="7" fillId="5" borderId="19" xfId="5" applyBorder="1" applyAlignment="1">
      <alignment horizontal="center"/>
    </xf>
    <xf numFmtId="0" fontId="7" fillId="5" borderId="2" xfId="5" applyBorder="1" applyAlignment="1">
      <alignment horizontal="center"/>
    </xf>
    <xf numFmtId="0" fontId="7" fillId="5" borderId="16" xfId="5" applyBorder="1" applyAlignment="1">
      <alignment horizontal="center"/>
    </xf>
    <xf numFmtId="0" fontId="7" fillId="5" borderId="0" xfId="5" applyAlignment="1">
      <alignment horizontal="center"/>
    </xf>
    <xf numFmtId="0" fontId="10" fillId="9" borderId="5"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49" fillId="26" borderId="46" xfId="0" applyFont="1" applyFill="1" applyBorder="1" applyAlignment="1">
      <alignment horizontal="center" vertical="center" wrapText="1"/>
    </xf>
    <xf numFmtId="0" fontId="49" fillId="26" borderId="0" xfId="0" applyFont="1" applyFill="1" applyAlignment="1">
      <alignment horizontal="center" vertical="center" wrapText="1"/>
    </xf>
    <xf numFmtId="0" fontId="53" fillId="8" borderId="34" xfId="0" applyFont="1" applyBorder="1" applyAlignment="1">
      <alignment vertical="center" wrapText="1"/>
    </xf>
    <xf numFmtId="0" fontId="53" fillId="8" borderId="35" xfId="0" applyFont="1" applyBorder="1" applyAlignment="1">
      <alignment vertical="center" wrapText="1"/>
    </xf>
    <xf numFmtId="0" fontId="53" fillId="8" borderId="33" xfId="0" applyFont="1" applyBorder="1" applyAlignment="1">
      <alignment vertical="center" wrapText="1"/>
    </xf>
    <xf numFmtId="0" fontId="53" fillId="8" borderId="23" xfId="0" applyFont="1" applyBorder="1" applyAlignment="1">
      <alignment vertical="center" wrapText="1"/>
    </xf>
    <xf numFmtId="0" fontId="52" fillId="25" borderId="33" xfId="0" applyFont="1" applyFill="1" applyBorder="1" applyAlignment="1">
      <alignment vertical="center" wrapText="1"/>
    </xf>
    <xf numFmtId="0" fontId="52" fillId="25" borderId="23" xfId="0" applyFont="1" applyFill="1" applyBorder="1" applyAlignment="1">
      <alignment vertical="center" wrapText="1"/>
    </xf>
  </cellXfs>
  <cellStyles count="30">
    <cellStyle name="Bad" xfId="18" builtinId="27" customBuiltin="1"/>
    <cellStyle name="Calculation" xfId="8" builtinId="22" customBuiltin="1"/>
    <cellStyle name="Check Cell" xfId="13" builtinId="23" customBuiltin="1"/>
    <cellStyle name="Check Cell 2" xfId="27" xr:uid="{00000000-0005-0000-0000-000003000000}"/>
    <cellStyle name="Comma" xfId="12" builtinId="3" customBuiltin="1"/>
    <cellStyle name="Comma [0]" xfId="20" builtinId="6" customBuiltin="1"/>
    <cellStyle name="Comma 2" xfId="28" xr:uid="{00000000-0005-0000-0000-000006000000}"/>
    <cellStyle name="Currency" xfId="29" builtinId="4"/>
    <cellStyle name="Explanatory Text" xfId="22" builtinId="53" hidden="1"/>
    <cellStyle name="Good" xfId="17" builtinId="26" hidden="1"/>
    <cellStyle name="Heading 1" xfId="3" builtinId="16" customBuiltin="1"/>
    <cellStyle name="Heading 2" xfId="4" builtinId="17" customBuiltin="1"/>
    <cellStyle name="Heading 3" xfId="5" builtinId="18" customBuiltin="1"/>
    <cellStyle name="Heading 4" xfId="6" builtinId="19" customBuiltin="1"/>
    <cellStyle name="Input" xfId="7" builtinId="20" customBuiltin="1"/>
    <cellStyle name="Linked Cell" xfId="21" builtinId="24" customBuiltin="1"/>
    <cellStyle name="Neutral" xfId="14" builtinId="28" hidden="1" customBuiltin="1"/>
    <cellStyle name="Normal" xfId="0" builtinId="0" customBuiltin="1"/>
    <cellStyle name="Normal 2" xfId="26" xr:uid="{00000000-0005-0000-0000-000011000000}"/>
    <cellStyle name="Note" xfId="15" builtinId="10" customBuiltin="1"/>
    <cellStyle name="Output" xfId="16" builtinId="21" customBuiltin="1"/>
    <cellStyle name="Per cent" xfId="1" builtinId="5"/>
    <cellStyle name="Table Data" xfId="25" xr:uid="{00000000-0005-0000-0000-000015000000}"/>
    <cellStyle name="Table Heading" xfId="24" xr:uid="{00000000-0005-0000-0000-000016000000}"/>
    <cellStyle name="Table Label" xfId="23" xr:uid="{00000000-0005-0000-0000-000017000000}"/>
    <cellStyle name="Title" xfId="2" builtinId="15" customBuiltin="1"/>
    <cellStyle name="Total" xfId="9" builtinId="25" hidden="1"/>
    <cellStyle name="Total - horizontal" xfId="11" xr:uid="{00000000-0005-0000-0000-00001A000000}"/>
    <cellStyle name="Total - vertical" xfId="10" xr:uid="{00000000-0005-0000-0000-00001B000000}"/>
    <cellStyle name="Warning Text" xfId="19" builtinId="11" hidden="1"/>
  </cellStyles>
  <dxfs count="13">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C00000"/>
        </left>
        <right style="thin">
          <color rgb="FFC00000"/>
        </right>
        <top style="thin">
          <color rgb="FFC00000"/>
        </top>
        <bottom style="thin">
          <color rgb="FFC00000"/>
        </bottom>
        <vertical/>
        <horizontal/>
      </border>
    </dxf>
    <dxf>
      <font>
        <color rgb="FFC00000"/>
      </font>
      <fill>
        <patternFill>
          <bgColor rgb="FFFFABAB"/>
        </patternFill>
      </fill>
      <border>
        <left style="thin">
          <color rgb="FFFF0000"/>
        </left>
        <right style="thin">
          <color rgb="FFFF0000"/>
        </right>
        <top style="thin">
          <color rgb="FFFF0000"/>
        </top>
        <bottom style="thin">
          <color rgb="FFFF0000"/>
        </bottom>
        <vertical/>
        <horizontal/>
      </border>
    </dxf>
    <dxf>
      <font>
        <color rgb="FFC00000"/>
      </font>
      <fill>
        <patternFill>
          <bgColor rgb="FFFFABAB"/>
        </patternFill>
      </fill>
      <border>
        <left style="thin">
          <color rgb="FFFF0000"/>
        </left>
        <right style="thin">
          <color rgb="FFFF0000"/>
        </right>
        <top style="thin">
          <color rgb="FFFF0000"/>
        </top>
        <bottom style="thin">
          <color rgb="FFFF0000"/>
        </bottom>
        <vertical/>
        <horizontal/>
      </border>
    </dxf>
    <dxf>
      <font>
        <color rgb="FFC00000"/>
      </font>
      <fill>
        <patternFill>
          <bgColor rgb="FFFFABAB"/>
        </patternFill>
      </fill>
      <border>
        <left style="thin">
          <color rgb="FFFF0000"/>
        </left>
        <right style="thin">
          <color rgb="FFFF0000"/>
        </right>
        <top style="thin">
          <color rgb="FFFF0000"/>
        </top>
        <bottom style="thin">
          <color rgb="FFFF0000"/>
        </bottom>
        <vertical/>
        <horizontal/>
      </border>
    </dxf>
    <dxf>
      <font>
        <color rgb="FFC00000"/>
      </font>
      <fill>
        <patternFill>
          <bgColor rgb="FFFFABAB"/>
        </patternFill>
      </fill>
      <border>
        <left style="thin">
          <color rgb="FFFF0000"/>
        </left>
        <right style="thin">
          <color rgb="FFFF0000"/>
        </right>
        <top style="thin">
          <color rgb="FFFF0000"/>
        </top>
        <bottom style="thin">
          <color rgb="FFFF0000"/>
        </bottom>
        <vertical/>
        <horizontal/>
      </border>
    </dxf>
    <dxf>
      <font>
        <b/>
        <i val="0"/>
        <color rgb="FFC00000"/>
      </font>
      <fill>
        <patternFill>
          <bgColor rgb="FFFFC9C9"/>
        </patternFill>
      </fill>
      <border>
        <left style="thin">
          <color rgb="FFC00000"/>
        </left>
        <right style="thin">
          <color rgb="FFC00000"/>
        </right>
        <top style="thin">
          <color rgb="FFC00000"/>
        </top>
        <bottom style="thin">
          <color rgb="FFC00000"/>
        </bottom>
        <vertical/>
        <horizontal/>
      </border>
    </dxf>
    <dxf>
      <font>
        <b/>
        <i val="0"/>
        <color rgb="FFFF0000"/>
      </font>
      <fill>
        <patternFill>
          <bgColor rgb="FFFFBDBD"/>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ABAB"/>
      <color rgb="FFFFC9C9"/>
      <color rgb="FFFFBDBD"/>
      <color rgb="FF0000FF"/>
      <color rgb="FF2DCDDC"/>
      <color rgb="FFD9D9D9"/>
      <color rgb="FF31869B"/>
      <color rgb="FF319A87"/>
      <color rgb="FF319B86"/>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Capital</a:t>
            </a:r>
            <a:r>
              <a:rPr lang="en-AU" baseline="0"/>
              <a:t> expenditure Directlink 2025$m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Directlink revised proposal</c:v>
          </c:tx>
          <c:spPr>
            <a:solidFill>
              <a:schemeClr val="accent1"/>
            </a:solidFill>
            <a:ln>
              <a:noFill/>
            </a:ln>
            <a:effectLst/>
          </c:spPr>
          <c:invertIfNegative val="0"/>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11.782559395536255</c:v>
              </c:pt>
              <c:pt idx="1">
                <c:v>4.3109758735147441</c:v>
              </c:pt>
              <c:pt idx="2">
                <c:v>4.1250577765437573</c:v>
              </c:pt>
              <c:pt idx="3">
                <c:v>5.0314084992773154</c:v>
              </c:pt>
              <c:pt idx="4">
                <c:v>16.77102</c:v>
              </c:pt>
              <c:pt idx="5">
                <c:v>5.4831000000000003</c:v>
              </c:pt>
              <c:pt idx="6">
                <c:v>7.3853999999999997</c:v>
              </c:pt>
              <c:pt idx="7">
                <c:v>6.0426000000000002</c:v>
              </c:pt>
              <c:pt idx="8">
                <c:v>5.5949999999999998</c:v>
              </c:pt>
              <c:pt idx="9">
                <c:v>4.3640999999999996</c:v>
              </c:pt>
            </c:numLit>
          </c:val>
          <c:extLst>
            <c:ext xmlns:c16="http://schemas.microsoft.com/office/drawing/2014/chart" uri="{C3380CC4-5D6E-409C-BE32-E72D297353CC}">
              <c16:uniqueId val="{00000000-527B-425E-9F2B-EAEFE12ED5FB}"/>
            </c:ext>
          </c:extLst>
        </c:ser>
        <c:ser>
          <c:idx val="1"/>
          <c:order val="1"/>
          <c:tx>
            <c:v>AER final decision</c:v>
          </c:tx>
          <c:spPr>
            <a:solidFill>
              <a:schemeClr val="accent2"/>
            </a:solidFill>
            <a:ln>
              <a:noFill/>
            </a:ln>
            <a:effectLst/>
          </c:spPr>
          <c:invertIfNegative val="0"/>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8.1339167424806487</c:v>
              </c:pt>
              <c:pt idx="1">
                <c:v>1.8591809697098627</c:v>
              </c:pt>
              <c:pt idx="2">
                <c:v>2.2077774015304619</c:v>
              </c:pt>
              <c:pt idx="3">
                <c:v>3.1373678863853933</c:v>
              </c:pt>
              <c:pt idx="4">
                <c:v>14.9878</c:v>
              </c:pt>
              <c:pt idx="5">
                <c:v>5.4831000000000003</c:v>
              </c:pt>
              <c:pt idx="6">
                <c:v>7.3853999999999997</c:v>
              </c:pt>
              <c:pt idx="7">
                <c:v>6.0426000000000002</c:v>
              </c:pt>
              <c:pt idx="8">
                <c:v>5.5949999999999998</c:v>
              </c:pt>
              <c:pt idx="9">
                <c:v>4.3640999999999996</c:v>
              </c:pt>
            </c:numLit>
          </c:val>
          <c:extLst>
            <c:ext xmlns:c16="http://schemas.microsoft.com/office/drawing/2014/chart" uri="{C3380CC4-5D6E-409C-BE32-E72D297353CC}">
              <c16:uniqueId val="{00000001-527B-425E-9F2B-EAEFE12ED5FB}"/>
            </c:ext>
          </c:extLst>
        </c:ser>
        <c:dLbls>
          <c:showLegendKey val="0"/>
          <c:showVal val="0"/>
          <c:showCatName val="0"/>
          <c:showSerName val="0"/>
          <c:showPercent val="0"/>
          <c:showBubbleSize val="0"/>
        </c:dLbls>
        <c:gapWidth val="150"/>
        <c:axId val="1056105184"/>
        <c:axId val="1051763472"/>
      </c:barChart>
      <c:lineChart>
        <c:grouping val="standard"/>
        <c:varyColors val="0"/>
        <c:ser>
          <c:idx val="2"/>
          <c:order val="2"/>
          <c:tx>
            <c:v>Actual capex </c:v>
          </c:tx>
          <c:spPr>
            <a:ln w="28575" cap="rnd">
              <a:solidFill>
                <a:schemeClr val="tx2">
                  <a:lumMod val="50000"/>
                </a:schemeClr>
              </a:solidFill>
              <a:round/>
            </a:ln>
            <a:effectLst/>
          </c:spPr>
          <c:marker>
            <c:symbol val="none"/>
          </c:marker>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4.5864194370768381</c:v>
              </c:pt>
              <c:pt idx="1">
                <c:v>3.8813191456048544</c:v>
              </c:pt>
              <c:pt idx="2">
                <c:v>11.582260504714858</c:v>
              </c:pt>
              <c:pt idx="3">
                <c:v>7.261044814363304</c:v>
              </c:pt>
              <c:pt idx="4">
                <c:v>10.836677421795612</c:v>
              </c:pt>
              <c:pt idx="5">
                <c:v>2.274814264051265</c:v>
              </c:pt>
              <c:pt idx="6">
                <c:v>2.8096640769208223</c:v>
              </c:pt>
              <c:pt idx="7">
                <c:v>8.6667145802078203</c:v>
              </c:pt>
              <c:pt idx="8">
                <c:v>12.965973458317402</c:v>
              </c:pt>
              <c:pt idx="9">
                <c:v>4.7178338983019596</c:v>
              </c:pt>
            </c:numLit>
          </c:val>
          <c:smooth val="0"/>
          <c:extLst>
            <c:ext xmlns:c16="http://schemas.microsoft.com/office/drawing/2014/chart" uri="{C3380CC4-5D6E-409C-BE32-E72D297353CC}">
              <c16:uniqueId val="{00000002-527B-425E-9F2B-EAEFE12ED5FB}"/>
            </c:ext>
          </c:extLst>
        </c:ser>
        <c:dLbls>
          <c:showLegendKey val="0"/>
          <c:showVal val="0"/>
          <c:showCatName val="0"/>
          <c:showSerName val="0"/>
          <c:showPercent val="0"/>
          <c:showBubbleSize val="0"/>
        </c:dLbls>
        <c:marker val="1"/>
        <c:smooth val="0"/>
        <c:axId val="1056105184"/>
        <c:axId val="1051763472"/>
      </c:lineChart>
      <c:catAx>
        <c:axId val="105610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763472"/>
        <c:crosses val="autoZero"/>
        <c:auto val="1"/>
        <c:lblAlgn val="ctr"/>
        <c:lblOffset val="100"/>
        <c:noMultiLvlLbl val="0"/>
      </c:catAx>
      <c:valAx>
        <c:axId val="105176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105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400" b="0" i="0" u="none" strike="noStrike" baseline="0">
                <a:effectLst/>
                <a:latin typeface="Arial" panose="020B0604020202020204" pitchFamily="34" charset="0"/>
                <a:cs typeface="Arial" panose="020B0604020202020204" pitchFamily="34" charset="0"/>
              </a:rPr>
              <a:t>Capital expenditure  ($2024-25, million)</a:t>
            </a:r>
            <a:endParaRPr lang="en-AU">
              <a:latin typeface="Arial" panose="020B0604020202020204" pitchFamily="34" charset="0"/>
              <a:cs typeface="Arial" panose="020B0604020202020204" pitchFamily="34" charset="0"/>
            </a:endParaRPr>
          </a:p>
        </c:rich>
      </c:tx>
      <c:layout>
        <c:manualLayout>
          <c:xMode val="edge"/>
          <c:yMode val="edge"/>
          <c:x val="0.30773622564440856"/>
          <c:y val="3.55559659520171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1"/>
          <c:tx>
            <c:v>Actual capex </c:v>
          </c:tx>
          <c:spPr>
            <a:solidFill>
              <a:srgbClr val="FF0000"/>
            </a:solidFill>
            <a:ln>
              <a:solidFill>
                <a:schemeClr val="tx2">
                  <a:lumMod val="50000"/>
                </a:schemeClr>
              </a:solidFill>
            </a:ln>
            <a:effectLst/>
          </c:spPr>
          <c:invertIfNegative val="0"/>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4.5864194370768381</c:v>
              </c:pt>
              <c:pt idx="1">
                <c:v>3.8813191456048544</c:v>
              </c:pt>
              <c:pt idx="2">
                <c:v>11.582260504714858</c:v>
              </c:pt>
              <c:pt idx="3">
                <c:v>7.261044814363304</c:v>
              </c:pt>
              <c:pt idx="4">
                <c:v>10.836677421795612</c:v>
              </c:pt>
              <c:pt idx="5">
                <c:v>2.274814264051265</c:v>
              </c:pt>
              <c:pt idx="6">
                <c:v>2.8096640769208223</c:v>
              </c:pt>
              <c:pt idx="7">
                <c:v>8.6667145802078203</c:v>
              </c:pt>
              <c:pt idx="8">
                <c:v>12.965973458317402</c:v>
              </c:pt>
              <c:pt idx="9">
                <c:v>4.7178338983019596</c:v>
              </c:pt>
            </c:numLit>
          </c:val>
          <c:extLst>
            <c:ext xmlns:c16="http://schemas.microsoft.com/office/drawing/2014/chart" uri="{C3380CC4-5D6E-409C-BE32-E72D297353CC}">
              <c16:uniqueId val="{00000000-53FF-4067-8752-A872CFB4D6D1}"/>
            </c:ext>
          </c:extLst>
        </c:ser>
        <c:dLbls>
          <c:showLegendKey val="0"/>
          <c:showVal val="0"/>
          <c:showCatName val="0"/>
          <c:showSerName val="0"/>
          <c:showPercent val="0"/>
          <c:showBubbleSize val="0"/>
        </c:dLbls>
        <c:gapWidth val="150"/>
        <c:axId val="1056105184"/>
        <c:axId val="1051763472"/>
      </c:barChart>
      <c:lineChart>
        <c:grouping val="standard"/>
        <c:varyColors val="0"/>
        <c:ser>
          <c:idx val="1"/>
          <c:order val="0"/>
          <c:tx>
            <c:v>AER final decision</c:v>
          </c:tx>
          <c:spPr>
            <a:ln w="28575" cap="rnd">
              <a:solidFill>
                <a:schemeClr val="accent2"/>
              </a:solidFill>
              <a:round/>
            </a:ln>
            <a:effectLst/>
          </c:spPr>
          <c:marker>
            <c:symbol val="none"/>
          </c:marker>
          <c:cat>
            <c:strLit>
              <c:ptCount val="10"/>
              <c:pt idx="0">
                <c:v>2015–16</c:v>
              </c:pt>
              <c:pt idx="1">
                <c:v>2016–17</c:v>
              </c:pt>
              <c:pt idx="2">
                <c:v>2017–18</c:v>
              </c:pt>
              <c:pt idx="3">
                <c:v>2018–19</c:v>
              </c:pt>
              <c:pt idx="4">
                <c:v>2019-20</c:v>
              </c:pt>
              <c:pt idx="5">
                <c:v>2020-2021</c:v>
              </c:pt>
              <c:pt idx="6">
                <c:v>2021-22</c:v>
              </c:pt>
              <c:pt idx="7">
                <c:v>2022-23</c:v>
              </c:pt>
              <c:pt idx="8">
                <c:v>2023-24F</c:v>
              </c:pt>
              <c:pt idx="9">
                <c:v>2024-25F</c:v>
              </c:pt>
            </c:strLit>
          </c:cat>
          <c:val>
            <c:numLit>
              <c:formatCode>General</c:formatCode>
              <c:ptCount val="10"/>
              <c:pt idx="0">
                <c:v>8.1339167424806487</c:v>
              </c:pt>
              <c:pt idx="1">
                <c:v>1.8591809697098627</c:v>
              </c:pt>
              <c:pt idx="2">
                <c:v>2.2077774015304619</c:v>
              </c:pt>
              <c:pt idx="3">
                <c:v>3.1373678863853933</c:v>
              </c:pt>
              <c:pt idx="4">
                <c:v>14.9878</c:v>
              </c:pt>
              <c:pt idx="5">
                <c:v>5.4831000000000003</c:v>
              </c:pt>
              <c:pt idx="6">
                <c:v>7.3853999999999997</c:v>
              </c:pt>
              <c:pt idx="7">
                <c:v>6.0426000000000002</c:v>
              </c:pt>
              <c:pt idx="8">
                <c:v>5.5949999999999998</c:v>
              </c:pt>
              <c:pt idx="9">
                <c:v>4.3640999999999996</c:v>
              </c:pt>
            </c:numLit>
          </c:val>
          <c:smooth val="0"/>
          <c:extLst>
            <c:ext xmlns:c16="http://schemas.microsoft.com/office/drawing/2014/chart" uri="{C3380CC4-5D6E-409C-BE32-E72D297353CC}">
              <c16:uniqueId val="{00000001-53FF-4067-8752-A872CFB4D6D1}"/>
            </c:ext>
          </c:extLst>
        </c:ser>
        <c:dLbls>
          <c:showLegendKey val="0"/>
          <c:showVal val="0"/>
          <c:showCatName val="0"/>
          <c:showSerName val="0"/>
          <c:showPercent val="0"/>
          <c:showBubbleSize val="0"/>
        </c:dLbls>
        <c:marker val="1"/>
        <c:smooth val="0"/>
        <c:axId val="1056105184"/>
        <c:axId val="1051763472"/>
      </c:lineChart>
      <c:catAx>
        <c:axId val="105610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051763472"/>
        <c:crosses val="autoZero"/>
        <c:auto val="1"/>
        <c:lblAlgn val="ctr"/>
        <c:lblOffset val="100"/>
        <c:noMultiLvlLbl val="0"/>
      </c:catAx>
      <c:valAx>
        <c:axId val="105176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6105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Capital</a:t>
            </a:r>
            <a:r>
              <a:rPr lang="en-AU" baseline="0"/>
              <a:t> expenditure ($2024-25, million)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1"/>
          <c:tx>
            <c:v/>
          </c:tx>
          <c:spPr>
            <a:solidFill>
              <a:srgbClr val="FF0000"/>
            </a:solidFill>
            <a:ln>
              <a:noFill/>
            </a:ln>
            <a:effectLst/>
          </c:spPr>
          <c:invertIfNegative val="0"/>
          <c:cat>
            <c:strLit>
              <c:ptCount val="10"/>
            </c:strLit>
          </c:cat>
          <c:val>
            <c:numLit>
              <c:formatCode>General</c:formatCode>
              <c:ptCount val="10"/>
            </c:numLit>
          </c:val>
          <c:extLst>
            <c:ext xmlns:c16="http://schemas.microsoft.com/office/drawing/2014/chart" uri="{C3380CC4-5D6E-409C-BE32-E72D297353CC}">
              <c16:uniqueId val="{00000000-EDD7-4605-94FA-3A9AB2C966DC}"/>
            </c:ext>
          </c:extLst>
        </c:ser>
        <c:dLbls>
          <c:showLegendKey val="0"/>
          <c:showVal val="0"/>
          <c:showCatName val="0"/>
          <c:showSerName val="0"/>
          <c:showPercent val="0"/>
          <c:showBubbleSize val="0"/>
        </c:dLbls>
        <c:gapWidth val="50"/>
        <c:axId val="1056105184"/>
        <c:axId val="1051763472"/>
      </c:barChart>
      <c:lineChart>
        <c:grouping val="standard"/>
        <c:varyColors val="0"/>
        <c:ser>
          <c:idx val="1"/>
          <c:order val="0"/>
          <c:tx>
            <c:v/>
          </c:tx>
          <c:spPr>
            <a:ln w="28575" cap="rnd">
              <a:solidFill>
                <a:schemeClr val="accent2"/>
              </a:solidFill>
              <a:round/>
            </a:ln>
            <a:effectLst/>
          </c:spPr>
          <c:marker>
            <c:symbol val="none"/>
          </c:marker>
          <c:dPt>
            <c:idx val="5"/>
            <c:marker>
              <c:symbol val="none"/>
            </c:marker>
            <c:bubble3D val="0"/>
            <c:spPr>
              <a:ln w="28575" cap="rnd">
                <a:noFill/>
                <a:round/>
              </a:ln>
              <a:effectLst/>
            </c:spPr>
            <c:extLst>
              <c:ext xmlns:c16="http://schemas.microsoft.com/office/drawing/2014/chart" uri="{C3380CC4-5D6E-409C-BE32-E72D297353CC}">
                <c16:uniqueId val="{00000000-6116-46F6-A6D9-F06B98A5858C}"/>
              </c:ext>
            </c:extLst>
          </c:dPt>
          <c:cat>
            <c:strRef>
              <c:f>Chart!$B$43:$P$43</c:f>
              <c:strCache>
                <c:ptCount val="15"/>
                <c:pt idx="0">
                  <c:v>2015–16</c:v>
                </c:pt>
                <c:pt idx="1">
                  <c:v>2016–17</c:v>
                </c:pt>
                <c:pt idx="2">
                  <c:v>2017–18</c:v>
                </c:pt>
                <c:pt idx="3">
                  <c:v>2018–19</c:v>
                </c:pt>
                <c:pt idx="4">
                  <c:v>2019-20</c:v>
                </c:pt>
                <c:pt idx="5">
                  <c:v>2020-21</c:v>
                </c:pt>
                <c:pt idx="6">
                  <c:v>2021-22</c:v>
                </c:pt>
                <c:pt idx="7">
                  <c:v>2022-23</c:v>
                </c:pt>
                <c:pt idx="8">
                  <c:v>2023-24F</c:v>
                </c:pt>
                <c:pt idx="9">
                  <c:v>2024-25F</c:v>
                </c:pt>
                <c:pt idx="10">
                  <c:v>2025-26</c:v>
                </c:pt>
                <c:pt idx="11">
                  <c:v>2026-27</c:v>
                </c:pt>
                <c:pt idx="12">
                  <c:v>2027-28</c:v>
                </c:pt>
                <c:pt idx="13">
                  <c:v>2028-29</c:v>
                </c:pt>
                <c:pt idx="14">
                  <c:v>2029-30</c:v>
                </c:pt>
              </c:strCache>
            </c:strRef>
          </c:cat>
          <c:val>
            <c:numLit>
              <c:formatCode>General</c:formatCode>
              <c:ptCount val="10"/>
            </c:numLit>
          </c:val>
          <c:smooth val="0"/>
          <c:extLst>
            <c:ext xmlns:c16="http://schemas.microsoft.com/office/drawing/2014/chart" uri="{C3380CC4-5D6E-409C-BE32-E72D297353CC}">
              <c16:uniqueId val="{00000001-EDD7-4605-94FA-3A9AB2C966DC}"/>
            </c:ext>
          </c:extLst>
        </c:ser>
        <c:ser>
          <c:idx val="0"/>
          <c:order val="2"/>
          <c:tx>
            <c:strRef>
              <c:f>Chart!$A$44</c:f>
              <c:strCache>
                <c:ptCount val="1"/>
                <c:pt idx="0">
                  <c:v>Directlink proposed capital expenditure</c:v>
                </c:pt>
              </c:strCache>
            </c:strRef>
          </c:tx>
          <c:spPr>
            <a:ln w="28575" cap="rnd">
              <a:solidFill>
                <a:schemeClr val="accent1"/>
              </a:solidFill>
              <a:round/>
            </a:ln>
            <a:effectLst/>
          </c:spPr>
          <c:marker>
            <c:symbol val="none"/>
          </c:marker>
          <c:cat>
            <c:strRef>
              <c:f>Chart!$B$43:$P$43</c:f>
              <c:strCache>
                <c:ptCount val="15"/>
                <c:pt idx="0">
                  <c:v>2015–16</c:v>
                </c:pt>
                <c:pt idx="1">
                  <c:v>2016–17</c:v>
                </c:pt>
                <c:pt idx="2">
                  <c:v>2017–18</c:v>
                </c:pt>
                <c:pt idx="3">
                  <c:v>2018–19</c:v>
                </c:pt>
                <c:pt idx="4">
                  <c:v>2019-20</c:v>
                </c:pt>
                <c:pt idx="5">
                  <c:v>2020-21</c:v>
                </c:pt>
                <c:pt idx="6">
                  <c:v>2021-22</c:v>
                </c:pt>
                <c:pt idx="7">
                  <c:v>2022-23</c:v>
                </c:pt>
                <c:pt idx="8">
                  <c:v>2023-24F</c:v>
                </c:pt>
                <c:pt idx="9">
                  <c:v>2024-25F</c:v>
                </c:pt>
                <c:pt idx="10">
                  <c:v>2025-26</c:v>
                </c:pt>
                <c:pt idx="11">
                  <c:v>2026-27</c:v>
                </c:pt>
                <c:pt idx="12">
                  <c:v>2027-28</c:v>
                </c:pt>
                <c:pt idx="13">
                  <c:v>2028-29</c:v>
                </c:pt>
                <c:pt idx="14">
                  <c:v>2029-30</c:v>
                </c:pt>
              </c:strCache>
            </c:strRef>
          </c:cat>
          <c:val>
            <c:numRef>
              <c:f>Chart!$B$44:$P$44</c:f>
              <c:numCache>
                <c:formatCode>General</c:formatCode>
                <c:ptCount val="15"/>
                <c:pt idx="10">
                  <c:v>13.805901505692479</c:v>
                </c:pt>
                <c:pt idx="11">
                  <c:v>4.5336386964198416</c:v>
                </c:pt>
                <c:pt idx="12">
                  <c:v>4.2003924382463236</c:v>
                </c:pt>
                <c:pt idx="13">
                  <c:v>3.8983903966009796</c:v>
                </c:pt>
                <c:pt idx="14">
                  <c:v>7.3634481841897141</c:v>
                </c:pt>
              </c:numCache>
            </c:numRef>
          </c:val>
          <c:smooth val="0"/>
          <c:extLst>
            <c:ext xmlns:c16="http://schemas.microsoft.com/office/drawing/2014/chart" uri="{C3380CC4-5D6E-409C-BE32-E72D297353CC}">
              <c16:uniqueId val="{00000005-EDD7-4605-94FA-3A9AB2C966DC}"/>
            </c:ext>
          </c:extLst>
        </c:ser>
        <c:dLbls>
          <c:showLegendKey val="0"/>
          <c:showVal val="0"/>
          <c:showCatName val="0"/>
          <c:showSerName val="0"/>
          <c:showPercent val="0"/>
          <c:showBubbleSize val="0"/>
        </c:dLbls>
        <c:marker val="1"/>
        <c:smooth val="0"/>
        <c:axId val="1056105184"/>
        <c:axId val="1051763472"/>
      </c:lineChart>
      <c:catAx>
        <c:axId val="1056105184"/>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1763472"/>
        <c:crosses val="autoZero"/>
        <c:auto val="0"/>
        <c:lblAlgn val="ctr"/>
        <c:lblOffset val="100"/>
        <c:tickLblSkip val="1"/>
        <c:noMultiLvlLbl val="0"/>
      </c:catAx>
      <c:valAx>
        <c:axId val="105176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6105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2330450</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238125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2247900</xdr:colOff>
      <xdr:row>3</xdr:row>
      <xdr:rowOff>266701</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
          <a:ext cx="2247899" cy="11334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2334113</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1465</xdr:colOff>
      <xdr:row>3</xdr:row>
      <xdr:rowOff>87923</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124449</xdr:colOff>
      <xdr:row>3</xdr:row>
      <xdr:rowOff>101600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975783</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2314575</xdr:colOff>
      <xdr:row>3</xdr:row>
      <xdr:rowOff>266700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5D7912CB-483E-4FA8-95D5-6FD369C887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14574" cy="112394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18</xdr:row>
      <xdr:rowOff>0</xdr:rowOff>
    </xdr:from>
    <xdr:ext cx="6065792" cy="1409700"/>
    <xdr:pic>
      <xdr:nvPicPr>
        <xdr:cNvPr id="5" name="Picture 4">
          <a:extLst>
            <a:ext uri="{FF2B5EF4-FFF2-40B4-BE49-F238E27FC236}">
              <a16:creationId xmlns:a16="http://schemas.microsoft.com/office/drawing/2014/main" id="{D756C6BB-C909-48B3-B4E1-6B38007BFCB3}"/>
            </a:ext>
          </a:extLst>
        </xdr:cNvPr>
        <xdr:cNvPicPr>
          <a:picLocks noChangeAspect="1"/>
        </xdr:cNvPicPr>
      </xdr:nvPicPr>
      <xdr:blipFill>
        <a:blip xmlns:r="http://schemas.openxmlformats.org/officeDocument/2006/relationships" r:embed="rId1"/>
        <a:stretch>
          <a:fillRect/>
        </a:stretch>
      </xdr:blipFill>
      <xdr:spPr>
        <a:xfrm>
          <a:off x="0" y="5372100"/>
          <a:ext cx="6065792" cy="1409700"/>
        </a:xfrm>
        <a:prstGeom prst="rect">
          <a:avLst/>
        </a:prstGeom>
      </xdr:spPr>
    </xdr:pic>
    <xdr:clientData/>
  </xdr:oneCellAnchor>
  <xdr:twoCellAnchor>
    <xdr:from>
      <xdr:col>16</xdr:col>
      <xdr:colOff>487136</xdr:colOff>
      <xdr:row>23</xdr:row>
      <xdr:rowOff>114299</xdr:rowOff>
    </xdr:from>
    <xdr:to>
      <xdr:col>23</xdr:col>
      <xdr:colOff>487136</xdr:colOff>
      <xdr:row>38</xdr:row>
      <xdr:rowOff>81642</xdr:rowOff>
    </xdr:to>
    <xdr:graphicFrame macro="">
      <xdr:nvGraphicFramePr>
        <xdr:cNvPr id="6" name="Chart 5">
          <a:extLst>
            <a:ext uri="{FF2B5EF4-FFF2-40B4-BE49-F238E27FC236}">
              <a16:creationId xmlns:a16="http://schemas.microsoft.com/office/drawing/2014/main" id="{2FF5CD76-5ECD-4C71-978B-D20945355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440872</xdr:colOff>
      <xdr:row>40</xdr:row>
      <xdr:rowOff>0</xdr:rowOff>
    </xdr:from>
    <xdr:to>
      <xdr:col>27</xdr:col>
      <xdr:colOff>114300</xdr:colOff>
      <xdr:row>56</xdr:row>
      <xdr:rowOff>31750</xdr:rowOff>
    </xdr:to>
    <xdr:graphicFrame macro="">
      <xdr:nvGraphicFramePr>
        <xdr:cNvPr id="7" name="Chart 6">
          <a:extLst>
            <a:ext uri="{FF2B5EF4-FFF2-40B4-BE49-F238E27FC236}">
              <a16:creationId xmlns:a16="http://schemas.microsoft.com/office/drawing/2014/main" id="{48235A7D-F01D-4122-980B-2FE245A01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38100</xdr:colOff>
      <xdr:row>42</xdr:row>
      <xdr:rowOff>63500</xdr:rowOff>
    </xdr:from>
    <xdr:to>
      <xdr:col>22</xdr:col>
      <xdr:colOff>68943</xdr:colOff>
      <xdr:row>53</xdr:row>
      <xdr:rowOff>19050</xdr:rowOff>
    </xdr:to>
    <xdr:cxnSp macro="">
      <xdr:nvCxnSpPr>
        <xdr:cNvPr id="3" name="Straight Connector 2">
          <a:extLst>
            <a:ext uri="{FF2B5EF4-FFF2-40B4-BE49-F238E27FC236}">
              <a16:creationId xmlns:a16="http://schemas.microsoft.com/office/drawing/2014/main" id="{327A093A-4779-8620-2530-0492174C7096}"/>
            </a:ext>
          </a:extLst>
        </xdr:cNvPr>
        <xdr:cNvCxnSpPr/>
      </xdr:nvCxnSpPr>
      <xdr:spPr>
        <a:xfrm flipH="1" flipV="1">
          <a:off x="15119350" y="9759950"/>
          <a:ext cx="30843" cy="1981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234950</xdr:colOff>
      <xdr:row>56</xdr:row>
      <xdr:rowOff>0</xdr:rowOff>
    </xdr:from>
    <xdr:to>
      <xdr:col>25</xdr:col>
      <xdr:colOff>254000</xdr:colOff>
      <xdr:row>80</xdr:row>
      <xdr:rowOff>76200</xdr:rowOff>
    </xdr:to>
    <xdr:graphicFrame macro="">
      <xdr:nvGraphicFramePr>
        <xdr:cNvPr id="4" name="Chart 3">
          <a:extLst>
            <a:ext uri="{FF2B5EF4-FFF2-40B4-BE49-F238E27FC236}">
              <a16:creationId xmlns:a16="http://schemas.microsoft.com/office/drawing/2014/main" id="{4AB01D27-C498-40CA-838D-472FC8578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n">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Urban">
      <a:majorFont>
        <a:latin typeface="Trebuchet MS"/>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eorgia"/>
        <a:ea typeface=""/>
        <a:cs typeface=""/>
        <a:font script="Jpan" typeface="HG明朝B"/>
        <a:font script="Hang" typeface="맑은 고딕"/>
        <a:font script="Hans" typeface="宋体"/>
        <a:font script="Hant" typeface="新細明體"/>
        <a:font script="Arab" typeface="Arial"/>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Urba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K70"/>
  <sheetViews>
    <sheetView topLeftCell="Q1" zoomScale="115" zoomScaleNormal="115" workbookViewId="0">
      <selection activeCell="W9" sqref="W9"/>
    </sheetView>
  </sheetViews>
  <sheetFormatPr defaultRowHeight="15"/>
  <cols>
    <col min="1" max="1" width="38.375" customWidth="1"/>
    <col min="4" max="4" width="18.375" customWidth="1"/>
    <col min="5" max="5" width="13" customWidth="1"/>
    <col min="6" max="6" width="15.875" customWidth="1"/>
    <col min="7" max="8" width="13" customWidth="1"/>
    <col min="9" max="11" width="12.375" bestFit="1" customWidth="1"/>
    <col min="12" max="12" width="13.875" bestFit="1" customWidth="1"/>
    <col min="13" max="13" width="12.375" bestFit="1" customWidth="1"/>
    <col min="14" max="14" width="17.875" bestFit="1" customWidth="1"/>
    <col min="16" max="16" width="48.375" bestFit="1" customWidth="1"/>
    <col min="17" max="17" width="6.375" customWidth="1"/>
    <col min="18" max="18" width="2.375" customWidth="1"/>
    <col min="19" max="19" width="20" bestFit="1" customWidth="1"/>
    <col min="20" max="20" width="17.375" customWidth="1"/>
    <col min="21" max="21" width="21.875" customWidth="1"/>
    <col min="22" max="22" width="13.375" bestFit="1" customWidth="1"/>
    <col min="23" max="26" width="12.375" bestFit="1" customWidth="1"/>
    <col min="27" max="27" width="13.875" bestFit="1" customWidth="1"/>
    <col min="28" max="28" width="7.875" customWidth="1"/>
    <col min="29" max="29" width="11" bestFit="1" customWidth="1"/>
    <col min="30" max="30" width="28.875" bestFit="1" customWidth="1"/>
    <col min="35" max="35" width="14" bestFit="1" customWidth="1"/>
    <col min="37" max="37" width="15" bestFit="1" customWidth="1"/>
  </cols>
  <sheetData>
    <row r="1" spans="1:32" ht="2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3.25" thickBot="1">
      <c r="A3" s="1"/>
      <c r="B3" s="1"/>
      <c r="C3" s="1"/>
      <c r="D3" s="1"/>
      <c r="E3" s="1"/>
      <c r="F3" s="1"/>
      <c r="G3" s="1"/>
      <c r="H3" s="1"/>
      <c r="I3" s="1"/>
      <c r="J3" s="1"/>
      <c r="K3" s="1"/>
      <c r="L3" s="1"/>
      <c r="M3" s="1"/>
      <c r="N3" s="1"/>
      <c r="O3" s="1"/>
      <c r="P3" s="1"/>
      <c r="Q3" s="1"/>
      <c r="R3" s="1"/>
      <c r="S3" s="1"/>
      <c r="T3" s="1"/>
      <c r="U3" s="1"/>
      <c r="V3" s="10">
        <v>1</v>
      </c>
      <c r="W3" s="10">
        <v>2</v>
      </c>
      <c r="X3" s="10">
        <v>3</v>
      </c>
      <c r="Y3" s="10">
        <v>4</v>
      </c>
      <c r="Z3" s="10">
        <v>5</v>
      </c>
      <c r="AA3" s="1"/>
      <c r="AB3" s="1"/>
      <c r="AC3" s="1"/>
      <c r="AD3" s="1"/>
      <c r="AE3" s="1"/>
      <c r="AF3" s="1"/>
    </row>
    <row r="4" spans="1:32" ht="24" thickTop="1" thickBot="1">
      <c r="A4" s="1"/>
      <c r="B4" s="1"/>
      <c r="C4" s="1"/>
      <c r="D4" s="1"/>
      <c r="E4" s="1"/>
      <c r="F4" s="1"/>
      <c r="G4" s="37">
        <v>0</v>
      </c>
      <c r="H4" s="37">
        <v>0</v>
      </c>
      <c r="I4" s="37">
        <v>0</v>
      </c>
      <c r="J4" s="37">
        <v>0</v>
      </c>
      <c r="K4" s="37">
        <v>0</v>
      </c>
      <c r="L4" s="37">
        <v>0</v>
      </c>
      <c r="M4" s="37">
        <v>0</v>
      </c>
      <c r="N4" s="37">
        <f>SUM(I4:M4)</f>
        <v>0</v>
      </c>
      <c r="O4" s="1"/>
      <c r="P4" s="1"/>
      <c r="Q4" s="1"/>
      <c r="R4" s="1"/>
      <c r="S4" s="1"/>
      <c r="T4" s="1"/>
      <c r="U4" s="1"/>
      <c r="V4" s="37">
        <v>0</v>
      </c>
      <c r="W4" s="37">
        <v>0</v>
      </c>
      <c r="X4" s="37">
        <v>0</v>
      </c>
      <c r="Y4" s="37">
        <v>0</v>
      </c>
      <c r="Z4" s="37">
        <v>0</v>
      </c>
      <c r="AA4" s="1"/>
      <c r="AB4" s="1"/>
      <c r="AC4" s="1"/>
      <c r="AD4" s="1"/>
      <c r="AE4" s="1"/>
      <c r="AF4" s="1"/>
    </row>
    <row r="5" spans="1:32" ht="23.25" thickTop="1">
      <c r="A5" s="1" t="e">
        <f ca="1">RIGHT(CELL("filename",A1),LEN(CELL("filename",A1))-FIND("]",CELL("filename",A1)))</f>
        <v>#VALUE!</v>
      </c>
      <c r="B5" s="1"/>
      <c r="C5" s="1"/>
      <c r="D5" s="1"/>
      <c r="E5" s="1"/>
      <c r="F5" s="1"/>
      <c r="G5" s="27">
        <f t="shared" ref="G5:N5" si="0">SUM(G9:G66)</f>
        <v>6248811.6499999994</v>
      </c>
      <c r="H5" s="27">
        <f t="shared" si="0"/>
        <v>7805074.3499999996</v>
      </c>
      <c r="I5" s="27">
        <f t="shared" si="0"/>
        <v>2048316.7239999999</v>
      </c>
      <c r="J5" s="27">
        <f t="shared" si="0"/>
        <v>2568620.5099999998</v>
      </c>
      <c r="K5" s="27">
        <f t="shared" si="0"/>
        <v>7553220.540000001</v>
      </c>
      <c r="L5" s="27">
        <f t="shared" si="0"/>
        <v>12120114.600000001</v>
      </c>
      <c r="M5" s="27">
        <f t="shared" si="0"/>
        <v>4779443.3493066747</v>
      </c>
      <c r="N5" s="27">
        <f t="shared" si="0"/>
        <v>29069715.723306671</v>
      </c>
      <c r="O5" s="1"/>
      <c r="P5" s="1"/>
      <c r="Q5" s="1"/>
      <c r="R5" s="1"/>
      <c r="S5" s="1"/>
      <c r="T5" s="1"/>
      <c r="U5" s="1"/>
      <c r="V5" s="27">
        <f>SUM(V9:V66)</f>
        <v>13325866.253333336</v>
      </c>
      <c r="W5" s="27">
        <f>SUM(W9:W66)-W61</f>
        <v>4362438.0433333339</v>
      </c>
      <c r="X5" s="27">
        <f>SUM(X9:X66)</f>
        <v>4055843.22</v>
      </c>
      <c r="Y5" s="27">
        <f>SUM(Y9:Y66)</f>
        <v>3742983.91</v>
      </c>
      <c r="Z5" s="27">
        <f>SUM(Z9:Z66)</f>
        <v>7113515.8000000017</v>
      </c>
      <c r="AA5" s="27">
        <f>SUM(AA9:AA66)</f>
        <v>32600647.226666667</v>
      </c>
      <c r="AB5" s="1"/>
      <c r="AC5" s="1"/>
      <c r="AD5" s="1"/>
      <c r="AE5" s="1"/>
      <c r="AF5" s="1"/>
    </row>
    <row r="6" spans="1:32" ht="19.5">
      <c r="A6" s="2" t="s">
        <v>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6.5">
      <c r="A7" s="4" t="s">
        <v>1</v>
      </c>
      <c r="B7" s="4"/>
      <c r="C7" s="4"/>
      <c r="D7" s="4"/>
      <c r="E7" s="4"/>
      <c r="F7" s="4"/>
      <c r="G7" s="4"/>
      <c r="H7" s="4"/>
      <c r="I7" s="4"/>
      <c r="J7" s="4"/>
      <c r="K7" s="4"/>
      <c r="L7" s="4"/>
      <c r="M7" s="4"/>
      <c r="N7" s="4"/>
      <c r="O7" s="4"/>
      <c r="P7" s="4" t="s">
        <v>2</v>
      </c>
      <c r="Q7" s="4"/>
      <c r="R7" s="4"/>
      <c r="S7" s="4"/>
      <c r="T7" s="4"/>
      <c r="U7" s="4"/>
      <c r="V7" s="4"/>
      <c r="W7" s="4"/>
      <c r="X7" s="4"/>
      <c r="Y7" s="4"/>
      <c r="Z7" s="4"/>
      <c r="AA7" s="4"/>
      <c r="AB7" s="4"/>
      <c r="AC7" s="4"/>
      <c r="AD7" s="4"/>
      <c r="AE7" s="4"/>
      <c r="AF7" s="4"/>
    </row>
    <row r="8" spans="1:32">
      <c r="A8" s="3" t="s">
        <v>3</v>
      </c>
      <c r="B8" s="3" t="s">
        <v>4</v>
      </c>
      <c r="C8" s="3" t="s">
        <v>5</v>
      </c>
      <c r="D8" s="3" t="s">
        <v>6</v>
      </c>
      <c r="E8" s="3" t="s">
        <v>7</v>
      </c>
      <c r="F8" s="3" t="s">
        <v>8</v>
      </c>
      <c r="G8" s="3" t="s">
        <v>9</v>
      </c>
      <c r="H8" s="3" t="s">
        <v>10</v>
      </c>
      <c r="I8" s="3" t="s">
        <v>11</v>
      </c>
      <c r="J8" s="3" t="s">
        <v>12</v>
      </c>
      <c r="K8" s="3" t="s">
        <v>13</v>
      </c>
      <c r="L8" s="3" t="s">
        <v>14</v>
      </c>
      <c r="M8" s="3" t="s">
        <v>15</v>
      </c>
      <c r="N8" s="3" t="s">
        <v>16</v>
      </c>
      <c r="O8" s="3"/>
      <c r="P8" s="3" t="str">
        <f>A8</f>
        <v>Project</v>
      </c>
      <c r="Q8" s="3" t="str">
        <f>B8</f>
        <v>$</v>
      </c>
      <c r="R8" s="3" t="str">
        <f>C8</f>
        <v>Quantum</v>
      </c>
      <c r="S8" s="3" t="s">
        <v>8</v>
      </c>
      <c r="T8" s="3" t="str">
        <f>D8</f>
        <v>Asset Class</v>
      </c>
      <c r="U8" s="3" t="str">
        <f>E8</f>
        <v>Asset Driver</v>
      </c>
      <c r="V8" s="3" t="s">
        <v>17</v>
      </c>
      <c r="W8" s="3" t="s">
        <v>18</v>
      </c>
      <c r="X8" s="3" t="s">
        <v>19</v>
      </c>
      <c r="Y8" s="3" t="s">
        <v>20</v>
      </c>
      <c r="Z8" s="3" t="s">
        <v>21</v>
      </c>
      <c r="AA8" s="3" t="s">
        <v>16</v>
      </c>
      <c r="AB8" s="3" t="s">
        <v>22</v>
      </c>
      <c r="AC8" s="3" t="s">
        <v>23</v>
      </c>
      <c r="AD8" s="3"/>
      <c r="AE8" s="3"/>
      <c r="AF8" s="3"/>
    </row>
    <row r="9" spans="1:32">
      <c r="A9" s="5" t="s">
        <v>24</v>
      </c>
      <c r="B9" s="5" t="str">
        <f t="shared" ref="B9:B40" si="1">IF(A9="","","nominal")</f>
        <v>nominal</v>
      </c>
      <c r="C9" s="60">
        <v>1</v>
      </c>
      <c r="D9" s="5" t="s">
        <v>25</v>
      </c>
      <c r="E9" s="5" t="str">
        <f>IF(A9="","",'1.1 Input'!$B$20)</f>
        <v>Replacement expenditure</v>
      </c>
      <c r="F9" s="5" t="s">
        <v>24</v>
      </c>
      <c r="G9" s="5">
        <v>0</v>
      </c>
      <c r="H9" s="5">
        <v>0</v>
      </c>
      <c r="I9" s="5">
        <v>0</v>
      </c>
      <c r="J9" s="5">
        <v>0</v>
      </c>
      <c r="K9" s="5">
        <v>0</v>
      </c>
      <c r="L9" s="5">
        <v>0</v>
      </c>
      <c r="M9" s="5">
        <v>47868.306851725865</v>
      </c>
      <c r="N9" s="45">
        <f t="shared" ref="N9:N40" si="2">SUM(I9:M9)</f>
        <v>47868.306851725865</v>
      </c>
      <c r="O9" s="12"/>
      <c r="P9" s="5" t="s">
        <v>26</v>
      </c>
      <c r="Q9" s="11" t="s">
        <v>14</v>
      </c>
      <c r="R9" s="51">
        <v>1</v>
      </c>
      <c r="S9" s="60" t="s">
        <v>27</v>
      </c>
      <c r="T9" s="60" t="s">
        <v>25</v>
      </c>
      <c r="U9" s="5" t="s">
        <v>28</v>
      </c>
      <c r="V9" s="60">
        <v>271524.00000000006</v>
      </c>
      <c r="W9" s="60">
        <v>0</v>
      </c>
      <c r="X9" s="60">
        <v>0</v>
      </c>
      <c r="Y9" s="60">
        <v>0</v>
      </c>
      <c r="Z9" s="60">
        <v>0</v>
      </c>
      <c r="AA9" s="45">
        <f t="shared" ref="AA9:AA55" si="3">SUM(V9:Z9)</f>
        <v>271524.00000000006</v>
      </c>
      <c r="AB9" s="66">
        <v>0</v>
      </c>
      <c r="AC9" s="5"/>
    </row>
    <row r="10" spans="1:32">
      <c r="A10" s="5" t="s">
        <v>29</v>
      </c>
      <c r="B10" s="5" t="str">
        <f t="shared" si="1"/>
        <v>nominal</v>
      </c>
      <c r="C10" s="60">
        <v>1</v>
      </c>
      <c r="D10" s="5" t="s">
        <v>25</v>
      </c>
      <c r="E10" s="5" t="str">
        <f>IF(A10="","",'1.1 Input'!$B$20)</f>
        <v>Replacement expenditure</v>
      </c>
      <c r="F10" s="5" t="s">
        <v>29</v>
      </c>
      <c r="G10" s="5">
        <v>0</v>
      </c>
      <c r="H10" s="5">
        <v>0</v>
      </c>
      <c r="I10" s="5">
        <v>0</v>
      </c>
      <c r="J10" s="5">
        <v>0</v>
      </c>
      <c r="K10" s="5">
        <v>0</v>
      </c>
      <c r="L10" s="5">
        <v>38500</v>
      </c>
      <c r="M10" s="5">
        <v>66200.849901323003</v>
      </c>
      <c r="N10" s="45">
        <f t="shared" si="2"/>
        <v>104700.849901323</v>
      </c>
      <c r="O10" s="12"/>
      <c r="P10" s="5" t="s">
        <v>30</v>
      </c>
      <c r="Q10" s="11" t="s">
        <v>14</v>
      </c>
      <c r="R10" s="51">
        <v>1</v>
      </c>
      <c r="S10" s="60" t="s">
        <v>31</v>
      </c>
      <c r="T10" s="60" t="s">
        <v>25</v>
      </c>
      <c r="U10" s="5" t="s">
        <v>28</v>
      </c>
      <c r="V10" s="60">
        <v>0</v>
      </c>
      <c r="W10" s="60">
        <v>0</v>
      </c>
      <c r="X10" s="60">
        <v>0</v>
      </c>
      <c r="Y10" s="60">
        <v>0</v>
      </c>
      <c r="Z10" s="60">
        <v>0</v>
      </c>
      <c r="AA10" s="45">
        <f t="shared" si="3"/>
        <v>0</v>
      </c>
      <c r="AB10" s="115">
        <v>0</v>
      </c>
      <c r="AC10" s="5"/>
    </row>
    <row r="11" spans="1:32">
      <c r="A11" s="5" t="s">
        <v>32</v>
      </c>
      <c r="B11" s="5" t="str">
        <f t="shared" si="1"/>
        <v>nominal</v>
      </c>
      <c r="C11" s="60">
        <v>1</v>
      </c>
      <c r="D11" s="5" t="s">
        <v>25</v>
      </c>
      <c r="E11" s="5" t="str">
        <f>IF(A11="","",'1.1 Input'!$B$20)</f>
        <v>Replacement expenditure</v>
      </c>
      <c r="F11" s="5" t="s">
        <v>32</v>
      </c>
      <c r="G11" s="5">
        <v>0</v>
      </c>
      <c r="H11" s="5">
        <v>0</v>
      </c>
      <c r="I11" s="5">
        <v>0</v>
      </c>
      <c r="J11" s="5">
        <v>0</v>
      </c>
      <c r="K11" s="5">
        <v>0</v>
      </c>
      <c r="L11" s="5">
        <v>0</v>
      </c>
      <c r="M11" s="5">
        <v>244433.90732796188</v>
      </c>
      <c r="N11" s="45">
        <f t="shared" si="2"/>
        <v>244433.90732796188</v>
      </c>
      <c r="O11" s="12"/>
      <c r="P11" s="5" t="s">
        <v>33</v>
      </c>
      <c r="Q11" s="11" t="s">
        <v>14</v>
      </c>
      <c r="R11" s="51">
        <v>1</v>
      </c>
      <c r="S11" s="60" t="s">
        <v>34</v>
      </c>
      <c r="T11" s="60" t="s">
        <v>35</v>
      </c>
      <c r="U11" s="5" t="s">
        <v>28</v>
      </c>
      <c r="V11" s="60">
        <v>0</v>
      </c>
      <c r="W11" s="60">
        <v>0</v>
      </c>
      <c r="X11" s="60">
        <v>0</v>
      </c>
      <c r="Y11" s="60">
        <v>0</v>
      </c>
      <c r="Z11" s="60">
        <v>0</v>
      </c>
      <c r="AA11" s="45">
        <f t="shared" si="3"/>
        <v>0</v>
      </c>
      <c r="AB11" s="115">
        <v>0</v>
      </c>
      <c r="AC11" s="5"/>
    </row>
    <row r="12" spans="1:32">
      <c r="A12" s="5" t="s">
        <v>36</v>
      </c>
      <c r="B12" s="5" t="str">
        <f t="shared" si="1"/>
        <v>nominal</v>
      </c>
      <c r="C12" s="60">
        <v>1</v>
      </c>
      <c r="D12" s="5" t="s">
        <v>25</v>
      </c>
      <c r="E12" s="5" t="str">
        <f>IF(A12="","",'1.1 Input'!$B$20)</f>
        <v>Replacement expenditure</v>
      </c>
      <c r="F12" s="5" t="s">
        <v>36</v>
      </c>
      <c r="G12" s="5">
        <v>0</v>
      </c>
      <c r="H12" s="5">
        <v>0</v>
      </c>
      <c r="I12" s="5">
        <v>0</v>
      </c>
      <c r="J12" s="5">
        <v>0</v>
      </c>
      <c r="K12" s="5">
        <v>0</v>
      </c>
      <c r="L12" s="5">
        <v>0</v>
      </c>
      <c r="M12" s="5">
        <v>42164.849014073421</v>
      </c>
      <c r="N12" s="45">
        <f t="shared" si="2"/>
        <v>42164.849014073421</v>
      </c>
      <c r="O12" s="12"/>
      <c r="P12" s="5" t="s">
        <v>24</v>
      </c>
      <c r="Q12" s="11" t="s">
        <v>14</v>
      </c>
      <c r="R12" s="51">
        <v>1</v>
      </c>
      <c r="S12" s="60" t="s">
        <v>37</v>
      </c>
      <c r="T12" s="60" t="s">
        <v>25</v>
      </c>
      <c r="U12" s="5" t="s">
        <v>28</v>
      </c>
      <c r="V12" s="60">
        <v>0</v>
      </c>
      <c r="W12" s="60">
        <v>0</v>
      </c>
      <c r="X12" s="60">
        <v>0</v>
      </c>
      <c r="Y12" s="60">
        <v>0</v>
      </c>
      <c r="Z12" s="60">
        <v>0</v>
      </c>
      <c r="AA12" s="45">
        <f t="shared" si="3"/>
        <v>0</v>
      </c>
      <c r="AB12" s="115">
        <v>0</v>
      </c>
      <c r="AC12" s="5"/>
    </row>
    <row r="13" spans="1:32">
      <c r="A13" s="5" t="s">
        <v>38</v>
      </c>
      <c r="B13" s="5" t="str">
        <f t="shared" si="1"/>
        <v>nominal</v>
      </c>
      <c r="C13" s="60">
        <v>1</v>
      </c>
      <c r="D13" s="5" t="s">
        <v>35</v>
      </c>
      <c r="E13" s="5" t="str">
        <f>IF(A13="","",'1.1 Input'!$B$20)</f>
        <v>Replacement expenditure</v>
      </c>
      <c r="F13" s="5" t="s">
        <v>38</v>
      </c>
      <c r="G13" s="5">
        <v>0</v>
      </c>
      <c r="H13" s="5">
        <v>0</v>
      </c>
      <c r="I13" s="5">
        <v>0</v>
      </c>
      <c r="J13" s="5">
        <v>0</v>
      </c>
      <c r="K13" s="5">
        <v>0</v>
      </c>
      <c r="L13" s="5">
        <v>0</v>
      </c>
      <c r="M13" s="5">
        <v>201657.97354556853</v>
      </c>
      <c r="N13" s="45">
        <f t="shared" si="2"/>
        <v>201657.97354556853</v>
      </c>
      <c r="O13" s="12"/>
      <c r="P13" s="5" t="s">
        <v>29</v>
      </c>
      <c r="Q13" s="11" t="s">
        <v>14</v>
      </c>
      <c r="R13" s="51">
        <v>1</v>
      </c>
      <c r="S13" s="60" t="s">
        <v>39</v>
      </c>
      <c r="T13" s="60" t="s">
        <v>25</v>
      </c>
      <c r="U13" s="5" t="s">
        <v>28</v>
      </c>
      <c r="V13" s="60">
        <v>0</v>
      </c>
      <c r="W13" s="60">
        <v>0</v>
      </c>
      <c r="X13" s="60">
        <v>0</v>
      </c>
      <c r="Y13" s="60">
        <v>0</v>
      </c>
      <c r="Z13" s="60">
        <v>0</v>
      </c>
      <c r="AA13" s="45">
        <f t="shared" si="3"/>
        <v>0</v>
      </c>
      <c r="AB13" s="115">
        <v>0</v>
      </c>
      <c r="AC13" s="5"/>
    </row>
    <row r="14" spans="1:32">
      <c r="A14" s="5" t="s">
        <v>40</v>
      </c>
      <c r="B14" s="5" t="str">
        <f t="shared" si="1"/>
        <v>nominal</v>
      </c>
      <c r="C14" s="60">
        <v>1</v>
      </c>
      <c r="D14" s="5" t="s">
        <v>25</v>
      </c>
      <c r="E14" s="5" t="str">
        <f>IF(A14="","",'1.1 Input'!$B$20)</f>
        <v>Replacement expenditure</v>
      </c>
      <c r="F14" s="5" t="s">
        <v>40</v>
      </c>
      <c r="G14" s="5">
        <v>111121.92</v>
      </c>
      <c r="H14" s="5">
        <v>146630.69</v>
      </c>
      <c r="I14" s="5">
        <v>0</v>
      </c>
      <c r="J14" s="5">
        <v>0</v>
      </c>
      <c r="K14" s="5">
        <v>0</v>
      </c>
      <c r="L14" s="5">
        <v>0</v>
      </c>
      <c r="M14" s="5">
        <v>407389.84554660309</v>
      </c>
      <c r="N14" s="45">
        <f t="shared" si="2"/>
        <v>407389.84554660309</v>
      </c>
      <c r="O14" s="12"/>
      <c r="P14" s="5" t="s">
        <v>41</v>
      </c>
      <c r="Q14" s="11" t="s">
        <v>14</v>
      </c>
      <c r="R14" s="51">
        <v>1</v>
      </c>
      <c r="S14" s="60" t="s">
        <v>39</v>
      </c>
      <c r="T14" s="60" t="s">
        <v>25</v>
      </c>
      <c r="U14" s="5" t="s">
        <v>28</v>
      </c>
      <c r="V14" s="60">
        <v>242000.00000000003</v>
      </c>
      <c r="W14" s="60">
        <v>0</v>
      </c>
      <c r="X14" s="60">
        <v>0</v>
      </c>
      <c r="Y14" s="60">
        <v>0</v>
      </c>
      <c r="Z14" s="60">
        <v>0</v>
      </c>
      <c r="AA14" s="45">
        <f t="shared" si="3"/>
        <v>242000.00000000003</v>
      </c>
      <c r="AB14" s="115">
        <v>0</v>
      </c>
      <c r="AC14" s="5"/>
    </row>
    <row r="15" spans="1:32">
      <c r="A15" s="5" t="s">
        <v>42</v>
      </c>
      <c r="B15" s="5" t="str">
        <f t="shared" si="1"/>
        <v>nominal</v>
      </c>
      <c r="C15" s="60">
        <v>1</v>
      </c>
      <c r="D15" s="5" t="s">
        <v>25</v>
      </c>
      <c r="E15" s="5" t="str">
        <f>IF(A15="","",'1.1 Input'!$B$20)</f>
        <v>Replacement expenditure</v>
      </c>
      <c r="F15" s="5" t="str">
        <f>F14</f>
        <v>Cable Modification (Transitions) (21-25)</v>
      </c>
      <c r="G15" s="5">
        <v>0</v>
      </c>
      <c r="H15" s="5">
        <v>0</v>
      </c>
      <c r="I15" s="5">
        <v>0</v>
      </c>
      <c r="J15" s="5">
        <v>48958.52</v>
      </c>
      <c r="K15" s="5">
        <v>66863.850000000006</v>
      </c>
      <c r="L15" s="5">
        <v>0</v>
      </c>
      <c r="M15" s="5">
        <v>0</v>
      </c>
      <c r="N15" s="45">
        <f t="shared" si="2"/>
        <v>115822.37</v>
      </c>
      <c r="O15" s="12"/>
      <c r="P15" s="5" t="s">
        <v>32</v>
      </c>
      <c r="Q15" s="11" t="s">
        <v>14</v>
      </c>
      <c r="R15" s="51">
        <v>1</v>
      </c>
      <c r="S15" s="60" t="s">
        <v>39</v>
      </c>
      <c r="T15" s="60" t="s">
        <v>25</v>
      </c>
      <c r="U15" s="5" t="s">
        <v>28</v>
      </c>
      <c r="V15" s="60">
        <v>264000</v>
      </c>
      <c r="W15" s="60">
        <v>132000</v>
      </c>
      <c r="X15" s="60">
        <v>0</v>
      </c>
      <c r="Y15" s="60">
        <v>0</v>
      </c>
      <c r="Z15" s="60">
        <v>0</v>
      </c>
      <c r="AA15" s="45">
        <f t="shared" si="3"/>
        <v>396000</v>
      </c>
      <c r="AB15" s="115">
        <v>0</v>
      </c>
      <c r="AC15" s="5" t="str">
        <f>W8</f>
        <v>2026/27</v>
      </c>
    </row>
    <row r="16" spans="1:32">
      <c r="A16" s="5" t="s">
        <v>43</v>
      </c>
      <c r="B16" s="5" t="str">
        <f t="shared" si="1"/>
        <v>nominal</v>
      </c>
      <c r="C16" s="60">
        <v>1</v>
      </c>
      <c r="D16" s="5" t="s">
        <v>25</v>
      </c>
      <c r="E16" s="5" t="str">
        <f>IF(A16="","",'1.1 Input'!$B$20)</f>
        <v>Replacement expenditure</v>
      </c>
      <c r="F16" s="5" t="str">
        <f>F15</f>
        <v>Cable Modification (Transitions) (21-25)</v>
      </c>
      <c r="G16" s="5">
        <v>0</v>
      </c>
      <c r="H16" s="5">
        <v>0</v>
      </c>
      <c r="I16" s="5">
        <v>41749.51</v>
      </c>
      <c r="J16" s="5">
        <v>0</v>
      </c>
      <c r="K16" s="5">
        <v>20705.920000000002</v>
      </c>
      <c r="L16" s="5">
        <v>0</v>
      </c>
      <c r="M16" s="5">
        <v>0</v>
      </c>
      <c r="N16" s="45">
        <f t="shared" si="2"/>
        <v>62455.430000000008</v>
      </c>
      <c r="O16" s="12"/>
      <c r="P16" s="5" t="s">
        <v>36</v>
      </c>
      <c r="Q16" s="11" t="s">
        <v>14</v>
      </c>
      <c r="R16" s="51">
        <v>1</v>
      </c>
      <c r="S16" s="60" t="s">
        <v>39</v>
      </c>
      <c r="T16" s="60" t="s">
        <v>25</v>
      </c>
      <c r="U16" s="5" t="s">
        <v>28</v>
      </c>
      <c r="V16" s="60">
        <v>110000.00000000001</v>
      </c>
      <c r="W16" s="60">
        <v>0</v>
      </c>
      <c r="X16" s="60">
        <v>0</v>
      </c>
      <c r="Y16" s="60">
        <v>0</v>
      </c>
      <c r="Z16" s="60">
        <v>0</v>
      </c>
      <c r="AA16" s="45">
        <f t="shared" si="3"/>
        <v>110000.00000000001</v>
      </c>
      <c r="AB16" s="115">
        <v>0</v>
      </c>
      <c r="AC16" s="5"/>
    </row>
    <row r="17" spans="1:29">
      <c r="A17" s="5" t="s">
        <v>44</v>
      </c>
      <c r="B17" s="5" t="str">
        <f t="shared" si="1"/>
        <v>nominal</v>
      </c>
      <c r="C17" s="60">
        <v>1</v>
      </c>
      <c r="D17" s="5" t="s">
        <v>25</v>
      </c>
      <c r="E17" s="5" t="str">
        <f>IF(A17="","",'1.1 Input'!$B$20)</f>
        <v>Replacement expenditure</v>
      </c>
      <c r="F17" s="5" t="s">
        <v>44</v>
      </c>
      <c r="G17" s="5">
        <v>0</v>
      </c>
      <c r="H17" s="5">
        <v>0</v>
      </c>
      <c r="I17" s="5">
        <v>134074.49900000001</v>
      </c>
      <c r="J17" s="5">
        <v>-3809.8400000000074</v>
      </c>
      <c r="K17" s="5">
        <v>0</v>
      </c>
      <c r="L17" s="5">
        <v>0</v>
      </c>
      <c r="M17" s="5">
        <v>0</v>
      </c>
      <c r="N17" s="45">
        <f t="shared" si="2"/>
        <v>130264.659</v>
      </c>
      <c r="O17" s="12"/>
      <c r="P17" s="5" t="s">
        <v>38</v>
      </c>
      <c r="Q17" s="11" t="s">
        <v>14</v>
      </c>
      <c r="R17" s="51">
        <v>1</v>
      </c>
      <c r="S17" s="60" t="s">
        <v>34</v>
      </c>
      <c r="T17" s="60" t="s">
        <v>35</v>
      </c>
      <c r="U17" s="5" t="s">
        <v>28</v>
      </c>
      <c r="V17" s="60">
        <v>0</v>
      </c>
      <c r="W17" s="60">
        <v>0</v>
      </c>
      <c r="X17" s="60">
        <v>0</v>
      </c>
      <c r="Y17" s="60">
        <v>0</v>
      </c>
      <c r="Z17" s="60">
        <v>0</v>
      </c>
      <c r="AA17" s="45">
        <f t="shared" si="3"/>
        <v>0</v>
      </c>
      <c r="AB17" s="115">
        <v>0</v>
      </c>
      <c r="AC17" s="5"/>
    </row>
    <row r="18" spans="1:29">
      <c r="A18" s="5" t="s">
        <v>45</v>
      </c>
      <c r="B18" s="5" t="str">
        <f t="shared" si="1"/>
        <v>nominal</v>
      </c>
      <c r="C18" s="60">
        <v>1</v>
      </c>
      <c r="D18" s="5" t="s">
        <v>25</v>
      </c>
      <c r="E18" s="5" t="str">
        <f>IF(A18="","",'1.1 Input'!$B$20)</f>
        <v>Replacement expenditure</v>
      </c>
      <c r="F18" s="5" t="s">
        <v>45</v>
      </c>
      <c r="G18" s="5">
        <v>0</v>
      </c>
      <c r="H18" s="5">
        <v>0</v>
      </c>
      <c r="I18" s="5">
        <v>693007.66</v>
      </c>
      <c r="J18" s="5">
        <v>160366.61999999997</v>
      </c>
      <c r="K18" s="5">
        <v>206729.03000000003</v>
      </c>
      <c r="L18" s="5">
        <v>0</v>
      </c>
      <c r="M18" s="5">
        <v>0</v>
      </c>
      <c r="N18" s="45">
        <f t="shared" si="2"/>
        <v>1060103.31</v>
      </c>
      <c r="O18" s="12"/>
      <c r="P18" s="5" t="s">
        <v>46</v>
      </c>
      <c r="Q18" s="11" t="s">
        <v>14</v>
      </c>
      <c r="R18" s="51">
        <v>1</v>
      </c>
      <c r="S18" s="60" t="s">
        <v>27</v>
      </c>
      <c r="T18" s="60" t="s">
        <v>35</v>
      </c>
      <c r="U18" s="5" t="s">
        <v>28</v>
      </c>
      <c r="V18" s="60">
        <v>121194.81000000001</v>
      </c>
      <c r="W18" s="60">
        <v>0</v>
      </c>
      <c r="X18" s="60">
        <v>0</v>
      </c>
      <c r="Y18" s="60">
        <v>0</v>
      </c>
      <c r="Z18" s="60">
        <v>0</v>
      </c>
      <c r="AA18" s="45">
        <f t="shared" si="3"/>
        <v>121194.81000000001</v>
      </c>
      <c r="AB18" s="115">
        <v>0</v>
      </c>
      <c r="AC18" s="5"/>
    </row>
    <row r="19" spans="1:29">
      <c r="A19" s="5" t="s">
        <v>47</v>
      </c>
      <c r="B19" s="5" t="str">
        <f t="shared" si="1"/>
        <v>nominal</v>
      </c>
      <c r="C19" s="60">
        <v>1</v>
      </c>
      <c r="D19" s="5" t="s">
        <v>25</v>
      </c>
      <c r="E19" s="5" t="str">
        <f>IF(A19="","",'1.1 Input'!$B$20)</f>
        <v>Replacement expenditure</v>
      </c>
      <c r="F19" s="5" t="s">
        <v>47</v>
      </c>
      <c r="G19" s="5">
        <v>0</v>
      </c>
      <c r="H19" s="5">
        <v>0</v>
      </c>
      <c r="I19" s="5">
        <v>81198.649999999994</v>
      </c>
      <c r="J19" s="5">
        <v>270454.78999999998</v>
      </c>
      <c r="K19" s="5">
        <v>0</v>
      </c>
      <c r="L19" s="5">
        <v>0</v>
      </c>
      <c r="M19" s="5">
        <v>0</v>
      </c>
      <c r="N19" s="45">
        <f t="shared" si="2"/>
        <v>351653.43999999994</v>
      </c>
      <c r="O19" s="12"/>
      <c r="P19" s="5" t="s">
        <v>48</v>
      </c>
      <c r="Q19" s="11" t="s">
        <v>14</v>
      </c>
      <c r="R19" s="51">
        <v>1</v>
      </c>
      <c r="S19" s="60" t="s">
        <v>27</v>
      </c>
      <c r="T19" s="60" t="s">
        <v>35</v>
      </c>
      <c r="U19" s="5" t="s">
        <v>28</v>
      </c>
      <c r="V19" s="60">
        <v>326700</v>
      </c>
      <c r="W19" s="60">
        <v>0</v>
      </c>
      <c r="X19" s="60">
        <v>0</v>
      </c>
      <c r="Y19" s="60">
        <v>0</v>
      </c>
      <c r="Z19" s="60">
        <v>0</v>
      </c>
      <c r="AA19" s="45">
        <f t="shared" si="3"/>
        <v>326700</v>
      </c>
      <c r="AB19" s="115">
        <v>0</v>
      </c>
      <c r="AC19" s="5"/>
    </row>
    <row r="20" spans="1:29">
      <c r="A20" s="5" t="s">
        <v>49</v>
      </c>
      <c r="B20" s="5" t="str">
        <f t="shared" si="1"/>
        <v>nominal</v>
      </c>
      <c r="C20" s="60">
        <v>1</v>
      </c>
      <c r="D20" s="5" t="s">
        <v>25</v>
      </c>
      <c r="E20" s="5" t="str">
        <f>IF(A20="","",'1.1 Input'!$B$20)</f>
        <v>Replacement expenditure</v>
      </c>
      <c r="F20" s="5" t="s">
        <v>49</v>
      </c>
      <c r="G20" s="5">
        <v>0</v>
      </c>
      <c r="H20" s="5">
        <v>0</v>
      </c>
      <c r="I20" s="5">
        <v>0</v>
      </c>
      <c r="J20" s="5">
        <v>0</v>
      </c>
      <c r="K20" s="5">
        <v>284625</v>
      </c>
      <c r="L20" s="5">
        <v>0</v>
      </c>
      <c r="M20" s="5">
        <v>0</v>
      </c>
      <c r="N20" s="45">
        <f t="shared" si="2"/>
        <v>284625</v>
      </c>
      <c r="O20" s="12"/>
      <c r="P20" s="5" t="s">
        <v>40</v>
      </c>
      <c r="Q20" s="11" t="s">
        <v>14</v>
      </c>
      <c r="R20" s="51">
        <v>1</v>
      </c>
      <c r="S20" s="60" t="s">
        <v>31</v>
      </c>
      <c r="T20" s="60" t="s">
        <v>25</v>
      </c>
      <c r="U20" s="5" t="s">
        <v>28</v>
      </c>
      <c r="V20" s="60">
        <v>0</v>
      </c>
      <c r="W20" s="60">
        <v>0</v>
      </c>
      <c r="X20" s="60">
        <v>0</v>
      </c>
      <c r="Y20" s="60">
        <v>0</v>
      </c>
      <c r="Z20" s="60">
        <v>0</v>
      </c>
      <c r="AA20" s="45">
        <f t="shared" si="3"/>
        <v>0</v>
      </c>
      <c r="AB20" s="115">
        <v>0</v>
      </c>
      <c r="AC20" s="5"/>
    </row>
    <row r="21" spans="1:29">
      <c r="A21" s="5" t="s">
        <v>50</v>
      </c>
      <c r="B21" s="5" t="str">
        <f t="shared" si="1"/>
        <v>nominal</v>
      </c>
      <c r="C21" s="60">
        <v>1</v>
      </c>
      <c r="D21" s="5" t="s">
        <v>35</v>
      </c>
      <c r="E21" s="5" t="str">
        <f>IF(A21="","",'1.1 Input'!$B$20)</f>
        <v>Replacement expenditure</v>
      </c>
      <c r="F21" s="5" t="s">
        <v>50</v>
      </c>
      <c r="G21" s="5">
        <v>0</v>
      </c>
      <c r="H21" s="5">
        <v>0</v>
      </c>
      <c r="I21" s="5">
        <v>0</v>
      </c>
      <c r="J21" s="5">
        <v>0</v>
      </c>
      <c r="K21" s="5">
        <v>117671.23000000001</v>
      </c>
      <c r="L21" s="5">
        <v>0</v>
      </c>
      <c r="M21" s="5">
        <v>0</v>
      </c>
      <c r="N21" s="45">
        <f t="shared" si="2"/>
        <v>117671.23000000001</v>
      </c>
      <c r="O21" s="12"/>
      <c r="P21" s="5" t="s">
        <v>51</v>
      </c>
      <c r="Q21" s="11" t="s">
        <v>14</v>
      </c>
      <c r="R21" s="51">
        <v>1</v>
      </c>
      <c r="S21" s="60" t="s">
        <v>31</v>
      </c>
      <c r="T21" s="60" t="s">
        <v>25</v>
      </c>
      <c r="U21" s="5" t="s">
        <v>28</v>
      </c>
      <c r="V21" s="60">
        <v>528000</v>
      </c>
      <c r="W21" s="60">
        <v>0</v>
      </c>
      <c r="X21" s="60">
        <v>0</v>
      </c>
      <c r="Y21" s="60">
        <v>0</v>
      </c>
      <c r="Z21" s="60">
        <v>0</v>
      </c>
      <c r="AA21" s="45">
        <f t="shared" si="3"/>
        <v>528000</v>
      </c>
      <c r="AB21" s="115">
        <v>0</v>
      </c>
      <c r="AC21" s="5"/>
    </row>
    <row r="22" spans="1:29">
      <c r="A22" s="5" t="s">
        <v>52</v>
      </c>
      <c r="B22" s="5" t="str">
        <f t="shared" si="1"/>
        <v>nominal</v>
      </c>
      <c r="C22" s="60">
        <v>1</v>
      </c>
      <c r="D22" s="5" t="s">
        <v>25</v>
      </c>
      <c r="E22" s="5" t="str">
        <f>IF(A22="","",'1.1 Input'!$B$20)</f>
        <v>Replacement expenditure</v>
      </c>
      <c r="F22" s="5" t="s">
        <v>52</v>
      </c>
      <c r="G22" s="5">
        <v>0</v>
      </c>
      <c r="H22" s="5">
        <v>0</v>
      </c>
      <c r="I22" s="5">
        <v>0</v>
      </c>
      <c r="J22" s="5">
        <v>0</v>
      </c>
      <c r="K22" s="5">
        <v>87260.800000000003</v>
      </c>
      <c r="L22" s="5">
        <v>0</v>
      </c>
      <c r="M22" s="5">
        <v>0</v>
      </c>
      <c r="N22" s="45">
        <f t="shared" si="2"/>
        <v>87260.800000000003</v>
      </c>
      <c r="O22" s="12"/>
      <c r="P22" s="5" t="s">
        <v>53</v>
      </c>
      <c r="Q22" s="11" t="s">
        <v>14</v>
      </c>
      <c r="R22" s="51">
        <v>1</v>
      </c>
      <c r="S22" s="60" t="s">
        <v>31</v>
      </c>
      <c r="T22" s="60" t="s">
        <v>25</v>
      </c>
      <c r="U22" s="5" t="s">
        <v>28</v>
      </c>
      <c r="V22" s="60">
        <v>0</v>
      </c>
      <c r="W22" s="60">
        <v>330000</v>
      </c>
      <c r="X22" s="60">
        <v>0</v>
      </c>
      <c r="Y22" s="60">
        <v>0</v>
      </c>
      <c r="Z22" s="60">
        <v>0</v>
      </c>
      <c r="AA22" s="45">
        <f t="shared" si="3"/>
        <v>330000</v>
      </c>
      <c r="AB22" s="115">
        <v>0</v>
      </c>
      <c r="AC22" s="5"/>
    </row>
    <row r="23" spans="1:29">
      <c r="A23" s="5" t="s">
        <v>54</v>
      </c>
      <c r="B23" s="5" t="str">
        <f t="shared" si="1"/>
        <v>nominal</v>
      </c>
      <c r="C23" s="60">
        <v>1</v>
      </c>
      <c r="D23" s="5" t="s">
        <v>25</v>
      </c>
      <c r="E23" s="5" t="str">
        <f>IF(A23="","",'1.1 Input'!$B$20)</f>
        <v>Replacement expenditure</v>
      </c>
      <c r="F23" s="5" t="s">
        <v>54</v>
      </c>
      <c r="G23" s="5">
        <v>0</v>
      </c>
      <c r="H23" s="5">
        <v>0</v>
      </c>
      <c r="I23" s="5">
        <v>0</v>
      </c>
      <c r="J23" s="5">
        <v>0</v>
      </c>
      <c r="K23" s="5">
        <v>7228.91</v>
      </c>
      <c r="L23" s="5">
        <v>0</v>
      </c>
      <c r="M23" s="5">
        <v>0</v>
      </c>
      <c r="N23" s="45">
        <f t="shared" si="2"/>
        <v>7228.91</v>
      </c>
      <c r="O23" s="12"/>
      <c r="P23" s="5" t="s">
        <v>55</v>
      </c>
      <c r="Q23" s="11" t="s">
        <v>14</v>
      </c>
      <c r="R23" s="51">
        <v>1</v>
      </c>
      <c r="S23" s="60" t="s">
        <v>27</v>
      </c>
      <c r="T23" s="60" t="s">
        <v>35</v>
      </c>
      <c r="U23" s="5" t="s">
        <v>28</v>
      </c>
      <c r="V23" s="60">
        <v>0</v>
      </c>
      <c r="W23" s="60">
        <v>0</v>
      </c>
      <c r="X23" s="60">
        <v>85290.48000000001</v>
      </c>
      <c r="Y23" s="60">
        <v>0</v>
      </c>
      <c r="Z23" s="60">
        <v>0</v>
      </c>
      <c r="AA23" s="45">
        <f t="shared" si="3"/>
        <v>85290.48000000001</v>
      </c>
      <c r="AB23" s="115">
        <v>0</v>
      </c>
      <c r="AC23" s="5"/>
    </row>
    <row r="24" spans="1:29">
      <c r="A24" s="5" t="s">
        <v>56</v>
      </c>
      <c r="B24" s="5" t="str">
        <f t="shared" si="1"/>
        <v>nominal</v>
      </c>
      <c r="C24" s="60">
        <v>1</v>
      </c>
      <c r="D24" s="5" t="s">
        <v>57</v>
      </c>
      <c r="E24" s="5" t="str">
        <f>IF(A24="","",'1.1 Input'!$B$20)</f>
        <v>Replacement expenditure</v>
      </c>
      <c r="F24" s="5" t="s">
        <v>56</v>
      </c>
      <c r="G24" s="5">
        <v>325827.92</v>
      </c>
      <c r="H24" s="5">
        <v>693</v>
      </c>
      <c r="I24" s="5">
        <v>0</v>
      </c>
      <c r="J24" s="5">
        <v>0</v>
      </c>
      <c r="K24" s="5">
        <v>7945.03</v>
      </c>
      <c r="L24" s="5">
        <v>0</v>
      </c>
      <c r="M24" s="5">
        <v>0</v>
      </c>
      <c r="N24" s="45">
        <f t="shared" si="2"/>
        <v>7945.03</v>
      </c>
      <c r="O24" s="12"/>
      <c r="P24" s="5" t="s">
        <v>58</v>
      </c>
      <c r="Q24" s="11" t="s">
        <v>14</v>
      </c>
      <c r="R24" s="51">
        <v>1</v>
      </c>
      <c r="S24" s="60" t="s">
        <v>31</v>
      </c>
      <c r="T24" s="60" t="s">
        <v>25</v>
      </c>
      <c r="U24" s="5" t="s">
        <v>28</v>
      </c>
      <c r="V24" s="60">
        <v>132000</v>
      </c>
      <c r="W24" s="60">
        <v>396000.00000000006</v>
      </c>
      <c r="X24" s="60">
        <v>660000</v>
      </c>
      <c r="Y24" s="60">
        <v>132000</v>
      </c>
      <c r="Z24" s="60">
        <v>280740.24</v>
      </c>
      <c r="AA24" s="45">
        <f t="shared" si="3"/>
        <v>1600740.24</v>
      </c>
      <c r="AB24" s="115">
        <v>0</v>
      </c>
      <c r="AC24" s="5"/>
    </row>
    <row r="25" spans="1:29">
      <c r="A25" s="5" t="s">
        <v>59</v>
      </c>
      <c r="B25" s="5" t="str">
        <f t="shared" si="1"/>
        <v>nominal</v>
      </c>
      <c r="C25" s="60">
        <v>1</v>
      </c>
      <c r="D25" s="5" t="s">
        <v>25</v>
      </c>
      <c r="E25" s="5" t="str">
        <f>IF(A25="","",'1.1 Input'!$B$20)</f>
        <v>Replacement expenditure</v>
      </c>
      <c r="F25" s="5" t="s">
        <v>59</v>
      </c>
      <c r="G25" s="5">
        <v>0</v>
      </c>
      <c r="H25" s="5">
        <v>0</v>
      </c>
      <c r="I25" s="5">
        <v>0</v>
      </c>
      <c r="J25" s="5">
        <v>0</v>
      </c>
      <c r="K25" s="5">
        <v>24695</v>
      </c>
      <c r="L25" s="5">
        <v>0</v>
      </c>
      <c r="M25" s="5">
        <v>0</v>
      </c>
      <c r="N25" s="45">
        <f t="shared" si="2"/>
        <v>24695</v>
      </c>
      <c r="O25" s="12"/>
      <c r="P25" s="5" t="s">
        <v>60</v>
      </c>
      <c r="Q25" s="11" t="s">
        <v>14</v>
      </c>
      <c r="R25" s="51">
        <v>1</v>
      </c>
      <c r="S25" s="60" t="s">
        <v>31</v>
      </c>
      <c r="T25" s="60" t="s">
        <v>25</v>
      </c>
      <c r="U25" s="5" t="s">
        <v>28</v>
      </c>
      <c r="V25" s="60">
        <v>112728.00000000001</v>
      </c>
      <c r="W25" s="60">
        <v>112728.00000000001</v>
      </c>
      <c r="X25" s="60">
        <v>112728.00000000001</v>
      </c>
      <c r="Y25" s="60">
        <v>112728.00000000001</v>
      </c>
      <c r="Z25" s="60">
        <v>112728.00000000001</v>
      </c>
      <c r="AA25" s="45">
        <f t="shared" si="3"/>
        <v>563640.00000000012</v>
      </c>
      <c r="AB25" s="115">
        <v>1</v>
      </c>
      <c r="AC25" s="5"/>
    </row>
    <row r="26" spans="1:29">
      <c r="A26" s="5" t="s">
        <v>61</v>
      </c>
      <c r="B26" s="5" t="str">
        <f t="shared" si="1"/>
        <v>nominal</v>
      </c>
      <c r="C26" s="60">
        <v>1</v>
      </c>
      <c r="D26" s="5" t="s">
        <v>25</v>
      </c>
      <c r="E26" s="5" t="str">
        <f>IF(A26="","",'1.1 Input'!$B$20)</f>
        <v>Replacement expenditure</v>
      </c>
      <c r="F26" s="5" t="s">
        <v>61</v>
      </c>
      <c r="G26" s="5">
        <v>0</v>
      </c>
      <c r="H26" s="5">
        <v>0</v>
      </c>
      <c r="I26" s="5">
        <v>0</v>
      </c>
      <c r="J26" s="5">
        <v>0</v>
      </c>
      <c r="K26" s="5">
        <v>4794.46</v>
      </c>
      <c r="L26" s="5">
        <v>0</v>
      </c>
      <c r="M26" s="5">
        <v>0</v>
      </c>
      <c r="N26" s="45">
        <f t="shared" si="2"/>
        <v>4794.46</v>
      </c>
      <c r="O26" s="12"/>
      <c r="P26" s="5" t="s">
        <v>62</v>
      </c>
      <c r="Q26" s="11" t="s">
        <v>14</v>
      </c>
      <c r="R26" s="51">
        <v>1</v>
      </c>
      <c r="S26" s="60" t="s">
        <v>31</v>
      </c>
      <c r="T26" s="60" t="s">
        <v>35</v>
      </c>
      <c r="U26" s="5" t="s">
        <v>28</v>
      </c>
      <c r="V26" s="60">
        <v>0</v>
      </c>
      <c r="W26" s="60">
        <v>0</v>
      </c>
      <c r="X26" s="60">
        <v>0</v>
      </c>
      <c r="Y26" s="60">
        <v>934560.00000000012</v>
      </c>
      <c r="Z26" s="60">
        <v>0</v>
      </c>
      <c r="AA26" s="45">
        <f t="shared" si="3"/>
        <v>934560.00000000012</v>
      </c>
      <c r="AB26" s="115">
        <v>0.40677966101694918</v>
      </c>
      <c r="AC26" s="5"/>
    </row>
    <row r="27" spans="1:29">
      <c r="A27" s="5" t="s">
        <v>63</v>
      </c>
      <c r="B27" s="5" t="str">
        <f t="shared" si="1"/>
        <v>nominal</v>
      </c>
      <c r="C27" s="60">
        <v>1</v>
      </c>
      <c r="D27" s="5" t="s">
        <v>25</v>
      </c>
      <c r="E27" s="5" t="str">
        <f>IF(A27="","",'1.1 Input'!$B$20)</f>
        <v>Replacement expenditure</v>
      </c>
      <c r="F27" s="5" t="s">
        <v>63</v>
      </c>
      <c r="G27" s="5">
        <v>0</v>
      </c>
      <c r="H27" s="5">
        <v>53700.57</v>
      </c>
      <c r="I27" s="5">
        <v>22975.62</v>
      </c>
      <c r="J27" s="5">
        <v>134564.15</v>
      </c>
      <c r="K27" s="5">
        <v>230007.34999999998</v>
      </c>
      <c r="L27" s="5">
        <v>0</v>
      </c>
      <c r="M27" s="5">
        <v>0</v>
      </c>
      <c r="N27" s="45">
        <f t="shared" si="2"/>
        <v>387547.12</v>
      </c>
      <c r="O27" s="12"/>
      <c r="P27" s="5" t="s">
        <v>64</v>
      </c>
      <c r="Q27" s="11" t="s">
        <v>14</v>
      </c>
      <c r="R27" s="51">
        <v>1</v>
      </c>
      <c r="S27" s="60" t="s">
        <v>39</v>
      </c>
      <c r="T27" s="60" t="s">
        <v>35</v>
      </c>
      <c r="U27" s="5" t="s">
        <v>28</v>
      </c>
      <c r="V27" s="60">
        <v>0</v>
      </c>
      <c r="W27" s="60">
        <v>0</v>
      </c>
      <c r="X27" s="60">
        <v>0</v>
      </c>
      <c r="Y27" s="60">
        <v>0</v>
      </c>
      <c r="Z27" s="60">
        <v>0</v>
      </c>
      <c r="AA27" s="45">
        <f t="shared" si="3"/>
        <v>0</v>
      </c>
      <c r="AB27" s="115">
        <v>0</v>
      </c>
      <c r="AC27" s="5"/>
    </row>
    <row r="28" spans="1:29">
      <c r="A28" s="5" t="s">
        <v>65</v>
      </c>
      <c r="B28" s="5" t="str">
        <f t="shared" si="1"/>
        <v>nominal</v>
      </c>
      <c r="C28" s="60">
        <v>1</v>
      </c>
      <c r="D28" s="5" t="s">
        <v>57</v>
      </c>
      <c r="E28" s="5" t="str">
        <f>IF(A28="","",'1.1 Input'!$B$20)</f>
        <v>Replacement expenditure</v>
      </c>
      <c r="F28" s="5" t="s">
        <v>65</v>
      </c>
      <c r="G28" s="5">
        <v>0</v>
      </c>
      <c r="H28" s="5">
        <v>0</v>
      </c>
      <c r="I28" s="5">
        <v>0</v>
      </c>
      <c r="J28" s="5">
        <v>0</v>
      </c>
      <c r="K28" s="5">
        <v>0</v>
      </c>
      <c r="L28" s="5">
        <v>165000</v>
      </c>
      <c r="M28" s="5">
        <v>282015.62057963602</v>
      </c>
      <c r="N28" s="45">
        <f t="shared" si="2"/>
        <v>447015.62057963602</v>
      </c>
      <c r="O28" s="12"/>
      <c r="P28" s="5" t="s">
        <v>66</v>
      </c>
      <c r="Q28" s="11" t="s">
        <v>14</v>
      </c>
      <c r="R28" s="51">
        <v>1</v>
      </c>
      <c r="S28" s="60" t="s">
        <v>27</v>
      </c>
      <c r="T28" s="60" t="s">
        <v>25</v>
      </c>
      <c r="U28" s="5" t="s">
        <v>28</v>
      </c>
      <c r="V28" s="60">
        <v>431970.00000000012</v>
      </c>
      <c r="W28" s="60">
        <v>0</v>
      </c>
      <c r="X28" s="60">
        <v>0</v>
      </c>
      <c r="Y28" s="60">
        <v>0</v>
      </c>
      <c r="Z28" s="60">
        <v>0</v>
      </c>
      <c r="AA28" s="45">
        <f t="shared" si="3"/>
        <v>431970.00000000012</v>
      </c>
      <c r="AB28" s="115">
        <v>0</v>
      </c>
      <c r="AC28" s="5"/>
    </row>
    <row r="29" spans="1:29">
      <c r="A29" s="5" t="s">
        <v>67</v>
      </c>
      <c r="B29" s="5" t="str">
        <f t="shared" si="1"/>
        <v>nominal</v>
      </c>
      <c r="C29" s="60">
        <v>1</v>
      </c>
      <c r="D29" s="5" t="s">
        <v>57</v>
      </c>
      <c r="E29" s="5" t="str">
        <f>IF(A29="","",'1.1 Input'!$B$20)</f>
        <v>Replacement expenditure</v>
      </c>
      <c r="F29" s="5" t="s">
        <v>67</v>
      </c>
      <c r="G29" s="5">
        <v>0</v>
      </c>
      <c r="H29" s="5">
        <v>0</v>
      </c>
      <c r="I29" s="5">
        <v>0</v>
      </c>
      <c r="J29" s="5">
        <v>0</v>
      </c>
      <c r="K29" s="5">
        <v>0</v>
      </c>
      <c r="L29" s="5">
        <v>175780</v>
      </c>
      <c r="M29" s="5">
        <v>0</v>
      </c>
      <c r="N29" s="45">
        <f t="shared" si="2"/>
        <v>175780</v>
      </c>
      <c r="O29" s="12"/>
      <c r="P29" s="5" t="s">
        <v>68</v>
      </c>
      <c r="Q29" s="11" t="s">
        <v>14</v>
      </c>
      <c r="R29" s="51">
        <v>1</v>
      </c>
      <c r="S29" s="60" t="s">
        <v>69</v>
      </c>
      <c r="T29" s="60" t="s">
        <v>25</v>
      </c>
      <c r="U29" s="5" t="s">
        <v>28</v>
      </c>
      <c r="V29" s="60">
        <v>0</v>
      </c>
      <c r="W29" s="60">
        <v>0</v>
      </c>
      <c r="X29" s="60">
        <v>0</v>
      </c>
      <c r="Y29" s="60">
        <v>0</v>
      </c>
      <c r="Z29" s="60">
        <v>0</v>
      </c>
      <c r="AA29" s="45">
        <f t="shared" si="3"/>
        <v>0</v>
      </c>
      <c r="AB29" s="115">
        <v>0</v>
      </c>
      <c r="AC29" s="5"/>
    </row>
    <row r="30" spans="1:29">
      <c r="A30" s="5" t="s">
        <v>70</v>
      </c>
      <c r="B30" s="5" t="str">
        <f t="shared" si="1"/>
        <v>nominal</v>
      </c>
      <c r="C30" s="60">
        <v>1</v>
      </c>
      <c r="D30" s="5" t="s">
        <v>25</v>
      </c>
      <c r="E30" s="5" t="str">
        <f>IF(A30="","",'1.1 Input'!$B$20)</f>
        <v>Replacement expenditure</v>
      </c>
      <c r="F30" s="5" t="s">
        <v>70</v>
      </c>
      <c r="G30" s="5">
        <v>0</v>
      </c>
      <c r="H30" s="5">
        <v>0</v>
      </c>
      <c r="I30" s="5">
        <v>0</v>
      </c>
      <c r="J30" s="5">
        <v>0</v>
      </c>
      <c r="K30" s="5">
        <v>0</v>
      </c>
      <c r="L30" s="5">
        <v>583000</v>
      </c>
      <c r="M30" s="5">
        <v>0</v>
      </c>
      <c r="N30" s="45">
        <f t="shared" si="2"/>
        <v>583000</v>
      </c>
      <c r="O30" s="12"/>
      <c r="P30" s="5" t="s">
        <v>65</v>
      </c>
      <c r="Q30" s="11" t="s">
        <v>14</v>
      </c>
      <c r="R30" s="51">
        <v>1</v>
      </c>
      <c r="S30" s="60" t="s">
        <v>27</v>
      </c>
      <c r="T30" s="60" t="s">
        <v>57</v>
      </c>
      <c r="U30" s="5" t="s">
        <v>28</v>
      </c>
      <c r="V30" s="60">
        <v>173470</v>
      </c>
      <c r="W30" s="60">
        <v>0</v>
      </c>
      <c r="X30" s="60">
        <v>0</v>
      </c>
      <c r="Y30" s="60">
        <v>0</v>
      </c>
      <c r="Z30" s="60">
        <v>0</v>
      </c>
      <c r="AA30" s="45">
        <f t="shared" si="3"/>
        <v>173470</v>
      </c>
      <c r="AB30" s="115">
        <v>0</v>
      </c>
      <c r="AC30" s="5"/>
    </row>
    <row r="31" spans="1:29">
      <c r="A31" s="5" t="s">
        <v>71</v>
      </c>
      <c r="B31" s="5" t="str">
        <f t="shared" si="1"/>
        <v>nominal</v>
      </c>
      <c r="C31" s="60">
        <v>1</v>
      </c>
      <c r="D31" s="5" t="s">
        <v>25</v>
      </c>
      <c r="E31" s="5" t="str">
        <f>IF(A31="","",'1.1 Input'!$B$20)</f>
        <v>Replacement expenditure</v>
      </c>
      <c r="F31" s="5" t="s">
        <v>71</v>
      </c>
      <c r="G31" s="5">
        <v>0</v>
      </c>
      <c r="H31" s="5">
        <v>0</v>
      </c>
      <c r="I31" s="5">
        <v>0</v>
      </c>
      <c r="J31" s="5">
        <v>150628.5</v>
      </c>
      <c r="K31" s="5">
        <v>0</v>
      </c>
      <c r="L31" s="5">
        <v>0</v>
      </c>
      <c r="M31" s="5">
        <v>0</v>
      </c>
      <c r="N31" s="45">
        <f t="shared" si="2"/>
        <v>150628.5</v>
      </c>
      <c r="O31" s="12"/>
      <c r="P31" s="5" t="s">
        <v>67</v>
      </c>
      <c r="Q31" s="11" t="s">
        <v>14</v>
      </c>
      <c r="R31" s="51">
        <v>1</v>
      </c>
      <c r="S31" s="60" t="s">
        <v>27</v>
      </c>
      <c r="T31" s="60" t="s">
        <v>57</v>
      </c>
      <c r="U31" s="5" t="s">
        <v>28</v>
      </c>
      <c r="V31" s="60">
        <v>0</v>
      </c>
      <c r="W31" s="60">
        <v>0</v>
      </c>
      <c r="X31" s="60">
        <v>0</v>
      </c>
      <c r="Y31" s="60">
        <v>0</v>
      </c>
      <c r="Z31" s="60">
        <v>0</v>
      </c>
      <c r="AA31" s="45">
        <f t="shared" si="3"/>
        <v>0</v>
      </c>
      <c r="AB31" s="115">
        <v>0</v>
      </c>
      <c r="AC31" s="5"/>
    </row>
    <row r="32" spans="1:29">
      <c r="A32" s="5" t="s">
        <v>72</v>
      </c>
      <c r="B32" s="5" t="str">
        <f t="shared" si="1"/>
        <v>nominal</v>
      </c>
      <c r="C32" s="60">
        <v>1</v>
      </c>
      <c r="D32" s="5" t="s">
        <v>25</v>
      </c>
      <c r="E32" s="5" t="str">
        <f>IF(A32="","",'1.1 Input'!$B$20)</f>
        <v>Replacement expenditure</v>
      </c>
      <c r="F32" s="5" t="s">
        <v>72</v>
      </c>
      <c r="G32" s="5">
        <v>0</v>
      </c>
      <c r="H32" s="5">
        <v>0</v>
      </c>
      <c r="I32" s="5">
        <v>0</v>
      </c>
      <c r="J32" s="5">
        <v>0</v>
      </c>
      <c r="K32" s="5">
        <v>0</v>
      </c>
      <c r="L32" s="5">
        <v>770000.00000000012</v>
      </c>
      <c r="M32" s="5">
        <v>712932.22970655549</v>
      </c>
      <c r="N32" s="45">
        <f t="shared" si="2"/>
        <v>1482932.2297065556</v>
      </c>
      <c r="O32" s="12"/>
      <c r="P32" s="5" t="s">
        <v>73</v>
      </c>
      <c r="Q32" s="11" t="s">
        <v>14</v>
      </c>
      <c r="R32" s="51">
        <v>1</v>
      </c>
      <c r="S32" s="60" t="s">
        <v>39</v>
      </c>
      <c r="T32" s="60" t="s">
        <v>25</v>
      </c>
      <c r="U32" s="5" t="s">
        <v>28</v>
      </c>
      <c r="V32" s="60">
        <v>0</v>
      </c>
      <c r="W32" s="60">
        <v>0</v>
      </c>
      <c r="X32" s="60">
        <v>0</v>
      </c>
      <c r="Y32" s="60">
        <v>0</v>
      </c>
      <c r="Z32" s="60">
        <v>0</v>
      </c>
      <c r="AA32" s="45">
        <f t="shared" si="3"/>
        <v>0</v>
      </c>
      <c r="AB32" s="115">
        <v>0</v>
      </c>
      <c r="AC32" s="5"/>
    </row>
    <row r="33" spans="1:37">
      <c r="A33" s="5" t="s">
        <v>74</v>
      </c>
      <c r="B33" s="5" t="str">
        <f t="shared" si="1"/>
        <v>nominal</v>
      </c>
      <c r="C33" s="60">
        <v>1</v>
      </c>
      <c r="D33" s="5" t="s">
        <v>25</v>
      </c>
      <c r="E33" s="5" t="str">
        <f>IF(A33="","",'1.1 Input'!$B$20)</f>
        <v>Replacement expenditure</v>
      </c>
      <c r="F33" s="5" t="s">
        <v>74</v>
      </c>
      <c r="G33" s="5">
        <v>532156.24</v>
      </c>
      <c r="H33" s="5">
        <v>539052.03</v>
      </c>
      <c r="I33" s="5">
        <v>0</v>
      </c>
      <c r="J33" s="5">
        <v>32983.96</v>
      </c>
      <c r="K33" s="5">
        <v>0</v>
      </c>
      <c r="L33" s="5">
        <v>0</v>
      </c>
      <c r="M33" s="5">
        <v>0</v>
      </c>
      <c r="N33" s="45">
        <f t="shared" si="2"/>
        <v>32983.96</v>
      </c>
      <c r="O33" s="12"/>
      <c r="P33" s="5" t="s">
        <v>70</v>
      </c>
      <c r="Q33" s="11" t="s">
        <v>14</v>
      </c>
      <c r="R33" s="51">
        <v>1</v>
      </c>
      <c r="S33" s="60" t="s">
        <v>31</v>
      </c>
      <c r="T33" s="60" t="s">
        <v>25</v>
      </c>
      <c r="U33" s="5" t="s">
        <v>28</v>
      </c>
      <c r="V33" s="60">
        <v>0</v>
      </c>
      <c r="W33" s="60">
        <v>0</v>
      </c>
      <c r="X33" s="60">
        <v>0</v>
      </c>
      <c r="Y33" s="60">
        <v>0</v>
      </c>
      <c r="Z33" s="60">
        <v>0</v>
      </c>
      <c r="AA33" s="45">
        <f t="shared" si="3"/>
        <v>0</v>
      </c>
      <c r="AB33" s="115">
        <v>0</v>
      </c>
      <c r="AC33" s="5"/>
    </row>
    <row r="34" spans="1:37">
      <c r="A34" s="5" t="s">
        <v>75</v>
      </c>
      <c r="B34" s="5" t="str">
        <f t="shared" si="1"/>
        <v>nominal</v>
      </c>
      <c r="C34" s="60">
        <v>1</v>
      </c>
      <c r="D34" s="5" t="s">
        <v>25</v>
      </c>
      <c r="E34" s="5" t="str">
        <f>IF(A34="","",'1.1 Input'!$B$20)</f>
        <v>Replacement expenditure</v>
      </c>
      <c r="F34" s="5" t="s">
        <v>75</v>
      </c>
      <c r="G34" s="5">
        <v>4430891.92</v>
      </c>
      <c r="H34" s="5">
        <v>3982119.35</v>
      </c>
      <c r="I34" s="5">
        <v>4053.8300000000013</v>
      </c>
      <c r="J34" s="5">
        <v>18876</v>
      </c>
      <c r="K34" s="5">
        <v>0</v>
      </c>
      <c r="L34" s="5">
        <v>0</v>
      </c>
      <c r="M34" s="5">
        <v>0</v>
      </c>
      <c r="N34" s="45">
        <f t="shared" si="2"/>
        <v>22929.83</v>
      </c>
      <c r="O34" s="12"/>
      <c r="P34" s="5" t="s">
        <v>76</v>
      </c>
      <c r="Q34" s="11" t="s">
        <v>14</v>
      </c>
      <c r="R34" s="51">
        <v>1</v>
      </c>
      <c r="S34" s="60" t="s">
        <v>31</v>
      </c>
      <c r="T34" s="60" t="s">
        <v>25</v>
      </c>
      <c r="U34" s="5" t="s">
        <v>28</v>
      </c>
      <c r="V34" s="60">
        <v>0</v>
      </c>
      <c r="W34" s="60">
        <v>0</v>
      </c>
      <c r="X34" s="60">
        <v>207900.00000000003</v>
      </c>
      <c r="Y34" s="60">
        <v>207900.00000000003</v>
      </c>
      <c r="Z34" s="60">
        <v>207900.00000000003</v>
      </c>
      <c r="AA34" s="45">
        <f t="shared" si="3"/>
        <v>623700.00000000012</v>
      </c>
      <c r="AB34" s="115">
        <v>0</v>
      </c>
      <c r="AC34" s="5"/>
    </row>
    <row r="35" spans="1:37">
      <c r="A35" s="5" t="s">
        <v>77</v>
      </c>
      <c r="B35" s="5" t="str">
        <f t="shared" si="1"/>
        <v>nominal</v>
      </c>
      <c r="C35" s="60">
        <v>1</v>
      </c>
      <c r="D35" s="5" t="s">
        <v>25</v>
      </c>
      <c r="E35" s="5" t="str">
        <f>IF(A35="","",'1.1 Input'!$B$20)</f>
        <v>Replacement expenditure</v>
      </c>
      <c r="F35" s="5" t="s">
        <v>77</v>
      </c>
      <c r="G35" s="5">
        <v>0</v>
      </c>
      <c r="H35" s="5">
        <v>0</v>
      </c>
      <c r="I35" s="5">
        <v>1239.2049999999997</v>
      </c>
      <c r="J35" s="5">
        <v>0</v>
      </c>
      <c r="K35" s="5">
        <v>0</v>
      </c>
      <c r="L35" s="5">
        <v>0</v>
      </c>
      <c r="M35" s="5">
        <v>0</v>
      </c>
      <c r="N35" s="45">
        <f t="shared" si="2"/>
        <v>1239.2049999999997</v>
      </c>
      <c r="O35" s="12"/>
      <c r="P35" s="5" t="s">
        <v>78</v>
      </c>
      <c r="Q35" s="11" t="s">
        <v>14</v>
      </c>
      <c r="R35" s="51">
        <v>1</v>
      </c>
      <c r="S35" s="60" t="s">
        <v>69</v>
      </c>
      <c r="T35" s="60" t="s">
        <v>25</v>
      </c>
      <c r="U35" s="5" t="s">
        <v>28</v>
      </c>
      <c r="V35" s="60">
        <v>0</v>
      </c>
      <c r="W35" s="60">
        <v>0</v>
      </c>
      <c r="X35" s="60">
        <v>0</v>
      </c>
      <c r="Y35" s="60">
        <v>0</v>
      </c>
      <c r="Z35" s="60">
        <v>0</v>
      </c>
      <c r="AA35" s="45">
        <f t="shared" si="3"/>
        <v>0</v>
      </c>
      <c r="AB35" s="115">
        <v>0</v>
      </c>
      <c r="AC35" s="5"/>
    </row>
    <row r="36" spans="1:37">
      <c r="A36" s="5" t="s">
        <v>79</v>
      </c>
      <c r="B36" s="5" t="str">
        <f t="shared" si="1"/>
        <v>nominal</v>
      </c>
      <c r="C36" s="60">
        <v>1</v>
      </c>
      <c r="D36" s="5" t="s">
        <v>25</v>
      </c>
      <c r="E36" s="5" t="str">
        <f>IF(A36="","",'1.1 Input'!$B$20)</f>
        <v>Replacement expenditure</v>
      </c>
      <c r="F36" s="5" t="s">
        <v>79</v>
      </c>
      <c r="G36" s="5">
        <v>0</v>
      </c>
      <c r="H36" s="5">
        <v>0</v>
      </c>
      <c r="I36" s="5">
        <v>0</v>
      </c>
      <c r="J36" s="5">
        <v>0</v>
      </c>
      <c r="K36" s="5">
        <v>0</v>
      </c>
      <c r="L36" s="5">
        <v>110000.00000000001</v>
      </c>
      <c r="M36" s="5">
        <v>0</v>
      </c>
      <c r="N36" s="45">
        <f t="shared" si="2"/>
        <v>110000.00000000001</v>
      </c>
      <c r="O36" s="12"/>
      <c r="P36" s="5" t="s">
        <v>80</v>
      </c>
      <c r="Q36" s="11" t="s">
        <v>14</v>
      </c>
      <c r="R36" s="51">
        <v>1</v>
      </c>
      <c r="S36" s="60" t="s">
        <v>69</v>
      </c>
      <c r="T36" s="60" t="s">
        <v>25</v>
      </c>
      <c r="U36" s="5" t="s">
        <v>28</v>
      </c>
      <c r="V36" s="60">
        <v>0</v>
      </c>
      <c r="W36" s="60">
        <v>0</v>
      </c>
      <c r="X36" s="60">
        <v>0</v>
      </c>
      <c r="Y36" s="60">
        <v>0</v>
      </c>
      <c r="Z36" s="60">
        <v>0</v>
      </c>
      <c r="AA36" s="45">
        <f t="shared" si="3"/>
        <v>0</v>
      </c>
      <c r="AB36" s="115">
        <v>0</v>
      </c>
      <c r="AC36" s="5"/>
    </row>
    <row r="37" spans="1:37">
      <c r="A37" s="5" t="s">
        <v>81</v>
      </c>
      <c r="B37" s="5" t="str">
        <f t="shared" si="1"/>
        <v>nominal</v>
      </c>
      <c r="C37" s="60">
        <v>1</v>
      </c>
      <c r="D37" s="5" t="s">
        <v>25</v>
      </c>
      <c r="E37" s="5" t="str">
        <f>IF(A37="","",'1.1 Input'!$B$20)</f>
        <v>Replacement expenditure</v>
      </c>
      <c r="F37" s="5" t="s">
        <v>81</v>
      </c>
      <c r="G37" s="5">
        <v>0</v>
      </c>
      <c r="H37" s="5">
        <v>0</v>
      </c>
      <c r="I37" s="5">
        <v>0</v>
      </c>
      <c r="J37" s="5">
        <v>1134292.44</v>
      </c>
      <c r="K37" s="5">
        <v>6135826.3900000006</v>
      </c>
      <c r="L37" s="5">
        <v>10277834.600000001</v>
      </c>
      <c r="M37" s="5">
        <v>1438086.1547795087</v>
      </c>
      <c r="N37" s="45">
        <f t="shared" si="2"/>
        <v>18986039.584779508</v>
      </c>
      <c r="O37" s="12"/>
      <c r="P37" s="5" t="s">
        <v>72</v>
      </c>
      <c r="Q37" s="11" t="s">
        <v>14</v>
      </c>
      <c r="R37" s="51">
        <v>1</v>
      </c>
      <c r="S37" s="60" t="s">
        <v>31</v>
      </c>
      <c r="T37" s="60" t="s">
        <v>25</v>
      </c>
      <c r="U37" s="5" t="s">
        <v>28</v>
      </c>
      <c r="V37" s="60">
        <v>0</v>
      </c>
      <c r="W37" s="60">
        <v>0</v>
      </c>
      <c r="X37" s="60">
        <v>0</v>
      </c>
      <c r="Y37" s="60">
        <v>0</v>
      </c>
      <c r="Z37" s="60">
        <v>0</v>
      </c>
      <c r="AA37" s="45">
        <f t="shared" si="3"/>
        <v>0</v>
      </c>
      <c r="AB37" s="115">
        <v>0</v>
      </c>
      <c r="AC37" s="5"/>
    </row>
    <row r="38" spans="1:37">
      <c r="A38" s="5" t="s">
        <v>82</v>
      </c>
      <c r="B38" s="5" t="str">
        <f t="shared" si="1"/>
        <v>nominal</v>
      </c>
      <c r="C38" s="60">
        <v>1</v>
      </c>
      <c r="D38" s="5" t="s">
        <v>25</v>
      </c>
      <c r="E38" s="5" t="str">
        <f>IF(A38="","",'1.1 Input'!$B$20)</f>
        <v>Replacement expenditure</v>
      </c>
      <c r="F38" s="5" t="s">
        <v>82</v>
      </c>
      <c r="G38" s="5">
        <v>0</v>
      </c>
      <c r="H38" s="5">
        <v>0</v>
      </c>
      <c r="I38" s="5">
        <v>2396.9</v>
      </c>
      <c r="J38" s="5">
        <v>0</v>
      </c>
      <c r="K38" s="5">
        <v>0</v>
      </c>
      <c r="L38" s="5">
        <v>0</v>
      </c>
      <c r="M38" s="5">
        <v>0</v>
      </c>
      <c r="N38" s="45">
        <f t="shared" si="2"/>
        <v>2396.9</v>
      </c>
      <c r="O38" s="12"/>
      <c r="P38" s="5" t="s">
        <v>83</v>
      </c>
      <c r="Q38" s="11" t="s">
        <v>14</v>
      </c>
      <c r="R38" s="51">
        <v>1</v>
      </c>
      <c r="S38" s="60" t="s">
        <v>84</v>
      </c>
      <c r="T38" s="60" t="s">
        <v>25</v>
      </c>
      <c r="U38" s="5" t="s">
        <v>28</v>
      </c>
      <c r="V38" s="60">
        <v>5858944.3000000007</v>
      </c>
      <c r="W38" s="60">
        <v>0</v>
      </c>
      <c r="X38" s="60">
        <v>0</v>
      </c>
      <c r="Y38" s="60">
        <v>0</v>
      </c>
      <c r="Z38" s="60">
        <v>0</v>
      </c>
      <c r="AA38" s="45">
        <f t="shared" si="3"/>
        <v>5858944.3000000007</v>
      </c>
      <c r="AB38" s="115">
        <v>0</v>
      </c>
      <c r="AC38" s="5"/>
    </row>
    <row r="39" spans="1:37">
      <c r="A39" s="5" t="s">
        <v>85</v>
      </c>
      <c r="B39" s="5" t="str">
        <f t="shared" si="1"/>
        <v>nominal</v>
      </c>
      <c r="C39" s="60">
        <v>1</v>
      </c>
      <c r="D39" s="5" t="s">
        <v>25</v>
      </c>
      <c r="E39" s="5" t="str">
        <f>IF(A39="","",'1.1 Input'!$B$20)</f>
        <v>Replacement expenditure</v>
      </c>
      <c r="F39" s="5" t="s">
        <v>85</v>
      </c>
      <c r="G39" s="5">
        <v>0</v>
      </c>
      <c r="H39" s="5">
        <v>0</v>
      </c>
      <c r="I39" s="5">
        <v>0</v>
      </c>
      <c r="J39" s="5">
        <v>0</v>
      </c>
      <c r="K39" s="5">
        <v>0</v>
      </c>
      <c r="L39" s="5">
        <v>0</v>
      </c>
      <c r="M39" s="5">
        <v>83107.528491507037</v>
      </c>
      <c r="N39" s="45">
        <f t="shared" si="2"/>
        <v>83107.528491507037</v>
      </c>
      <c r="O39" s="12"/>
      <c r="P39" s="5" t="s">
        <v>86</v>
      </c>
      <c r="Q39" s="11" t="s">
        <v>14</v>
      </c>
      <c r="R39" s="51">
        <v>1</v>
      </c>
      <c r="S39" s="60" t="s">
        <v>69</v>
      </c>
      <c r="T39" s="60" t="s">
        <v>25</v>
      </c>
      <c r="U39" s="5" t="s">
        <v>28</v>
      </c>
      <c r="V39" s="60">
        <v>0</v>
      </c>
      <c r="W39" s="60">
        <v>0</v>
      </c>
      <c r="X39" s="60">
        <v>0</v>
      </c>
      <c r="Y39" s="60">
        <v>0</v>
      </c>
      <c r="Z39" s="60">
        <v>0</v>
      </c>
      <c r="AA39" s="45">
        <f t="shared" si="3"/>
        <v>0</v>
      </c>
      <c r="AB39" s="115">
        <v>0</v>
      </c>
      <c r="AC39" s="5"/>
    </row>
    <row r="40" spans="1:37">
      <c r="A40" s="5" t="s">
        <v>87</v>
      </c>
      <c r="B40" s="5" t="str">
        <f t="shared" si="1"/>
        <v>nominal</v>
      </c>
      <c r="C40" s="60">
        <v>1</v>
      </c>
      <c r="D40" s="5" t="s">
        <v>25</v>
      </c>
      <c r="E40" s="5" t="str">
        <f>IF(A40="","",'1.1 Input'!$B$20)</f>
        <v>Replacement expenditure</v>
      </c>
      <c r="F40" s="5" t="s">
        <v>87</v>
      </c>
      <c r="G40" s="5">
        <v>0</v>
      </c>
      <c r="H40" s="5">
        <v>2507661.7000000002</v>
      </c>
      <c r="I40" s="5">
        <v>111881.43</v>
      </c>
      <c r="J40" s="5">
        <v>0</v>
      </c>
      <c r="K40" s="5">
        <v>2871.11</v>
      </c>
      <c r="L40" s="5">
        <v>0</v>
      </c>
      <c r="M40" s="5">
        <v>0</v>
      </c>
      <c r="N40" s="45">
        <f t="shared" si="2"/>
        <v>114752.54</v>
      </c>
      <c r="O40" s="12"/>
      <c r="P40" s="5" t="s">
        <v>88</v>
      </c>
      <c r="Q40" s="11" t="s">
        <v>14</v>
      </c>
      <c r="R40" s="51">
        <v>1</v>
      </c>
      <c r="S40" s="60" t="s">
        <v>31</v>
      </c>
      <c r="T40" s="60" t="s">
        <v>25</v>
      </c>
      <c r="U40" s="5" t="s">
        <v>28</v>
      </c>
      <c r="V40" s="60">
        <v>66000</v>
      </c>
      <c r="W40" s="60">
        <v>66000</v>
      </c>
      <c r="X40" s="60">
        <v>149160</v>
      </c>
      <c r="Y40" s="60">
        <v>462000.00000000006</v>
      </c>
      <c r="Z40" s="60">
        <v>66000</v>
      </c>
      <c r="AA40" s="45">
        <f t="shared" si="3"/>
        <v>809160</v>
      </c>
      <c r="AB40" s="115">
        <v>0</v>
      </c>
      <c r="AC40" s="5"/>
      <c r="AK40" s="80">
        <f>SUM(AK35:AK39)</f>
        <v>0</v>
      </c>
    </row>
    <row r="41" spans="1:37">
      <c r="A41" s="5" t="s">
        <v>89</v>
      </c>
      <c r="B41" s="5" t="str">
        <f t="shared" ref="B41:B56" si="4">IF(A41="","","nominal")</f>
        <v>nominal</v>
      </c>
      <c r="C41" s="60">
        <v>1</v>
      </c>
      <c r="D41" s="5" t="s">
        <v>35</v>
      </c>
      <c r="E41" s="5" t="str">
        <f>IF(A41="","",'1.1 Input'!$B$20)</f>
        <v>Replacement expenditure</v>
      </c>
      <c r="F41" s="5" t="s">
        <v>89</v>
      </c>
      <c r="G41" s="5">
        <v>278084.27</v>
      </c>
      <c r="H41" s="5">
        <v>175869.72999999998</v>
      </c>
      <c r="I41" s="5">
        <v>0</v>
      </c>
      <c r="J41" s="5">
        <v>0</v>
      </c>
      <c r="K41" s="5">
        <v>0</v>
      </c>
      <c r="L41" s="5">
        <v>0</v>
      </c>
      <c r="M41" s="5">
        <v>580615.74227993621</v>
      </c>
      <c r="N41" s="45">
        <f t="shared" ref="N41:N65" si="5">SUM(I41:M41)</f>
        <v>580615.74227993621</v>
      </c>
      <c r="O41" s="12"/>
      <c r="P41" s="5" t="s">
        <v>90</v>
      </c>
      <c r="Q41" s="11" t="s">
        <v>14</v>
      </c>
      <c r="R41" s="51">
        <v>1</v>
      </c>
      <c r="S41" s="60" t="s">
        <v>69</v>
      </c>
      <c r="T41" s="60" t="s">
        <v>25</v>
      </c>
      <c r="U41" s="5" t="s">
        <v>28</v>
      </c>
      <c r="V41" s="60">
        <v>0</v>
      </c>
      <c r="W41" s="60">
        <v>0</v>
      </c>
      <c r="X41" s="60">
        <v>0</v>
      </c>
      <c r="Y41" s="60">
        <v>0</v>
      </c>
      <c r="Z41" s="60">
        <v>0</v>
      </c>
      <c r="AA41" s="45">
        <f t="shared" si="3"/>
        <v>0</v>
      </c>
      <c r="AB41" s="115">
        <v>0</v>
      </c>
      <c r="AC41" s="5"/>
      <c r="AK41" s="19"/>
    </row>
    <row r="42" spans="1:37">
      <c r="A42" s="5" t="s">
        <v>91</v>
      </c>
      <c r="B42" s="5" t="str">
        <f t="shared" si="4"/>
        <v>nominal</v>
      </c>
      <c r="C42" s="60">
        <v>1</v>
      </c>
      <c r="D42" s="5" t="s">
        <v>35</v>
      </c>
      <c r="E42" s="5" t="str">
        <f>IF(A42="","",'1.1 Input'!$B$20)</f>
        <v>Replacement expenditure</v>
      </c>
      <c r="F42" s="5" t="s">
        <v>91</v>
      </c>
      <c r="G42" s="5">
        <v>0</v>
      </c>
      <c r="H42" s="5">
        <v>0</v>
      </c>
      <c r="I42" s="5">
        <v>0</v>
      </c>
      <c r="J42" s="5">
        <v>0</v>
      </c>
      <c r="K42" s="5">
        <v>0</v>
      </c>
      <c r="L42" s="5">
        <v>0</v>
      </c>
      <c r="M42" s="5">
        <v>672970.34128227527</v>
      </c>
      <c r="N42" s="45">
        <f t="shared" si="5"/>
        <v>672970.34128227527</v>
      </c>
      <c r="O42" s="12"/>
      <c r="P42" s="5" t="s">
        <v>92</v>
      </c>
      <c r="Q42" s="11" t="s">
        <v>14</v>
      </c>
      <c r="R42" s="51">
        <v>1</v>
      </c>
      <c r="S42" s="60" t="s">
        <v>27</v>
      </c>
      <c r="T42" s="60" t="s">
        <v>35</v>
      </c>
      <c r="U42" s="5" t="s">
        <v>28</v>
      </c>
      <c r="V42" s="60">
        <v>0</v>
      </c>
      <c r="W42" s="60">
        <v>0</v>
      </c>
      <c r="X42" s="60">
        <v>0</v>
      </c>
      <c r="Y42" s="60">
        <v>0</v>
      </c>
      <c r="Z42" s="60">
        <v>0</v>
      </c>
      <c r="AA42" s="45">
        <f t="shared" si="3"/>
        <v>0</v>
      </c>
      <c r="AB42" s="115">
        <v>0</v>
      </c>
      <c r="AC42" s="5"/>
    </row>
    <row r="43" spans="1:37">
      <c r="A43" s="5" t="s">
        <v>93</v>
      </c>
      <c r="B43" s="5" t="str">
        <f t="shared" si="4"/>
        <v>nominal</v>
      </c>
      <c r="C43" s="60">
        <v>1</v>
      </c>
      <c r="D43" s="5" t="s">
        <v>25</v>
      </c>
      <c r="E43" s="5" t="str">
        <f>IF(A43="","",'1.1 Input'!$B$20)</f>
        <v>Replacement expenditure</v>
      </c>
      <c r="F43" s="5" t="s">
        <v>93</v>
      </c>
      <c r="G43" s="5">
        <v>0</v>
      </c>
      <c r="H43" s="5">
        <v>0</v>
      </c>
      <c r="I43" s="5">
        <v>0</v>
      </c>
      <c r="J43" s="5">
        <v>0</v>
      </c>
      <c r="K43" s="5">
        <v>0</v>
      </c>
      <c r="L43" s="5">
        <v>0</v>
      </c>
      <c r="M43" s="5">
        <v>0</v>
      </c>
      <c r="N43" s="45">
        <f t="shared" si="5"/>
        <v>0</v>
      </c>
      <c r="O43" s="12"/>
      <c r="P43" s="5" t="s">
        <v>94</v>
      </c>
      <c r="Q43" s="11" t="s">
        <v>14</v>
      </c>
      <c r="R43" s="51">
        <v>1</v>
      </c>
      <c r="S43" s="60" t="s">
        <v>31</v>
      </c>
      <c r="T43" s="60" t="s">
        <v>35</v>
      </c>
      <c r="U43" s="5" t="s">
        <v>28</v>
      </c>
      <c r="V43" s="60">
        <v>31680.000000000004</v>
      </c>
      <c r="W43" s="60">
        <v>31680.000000000004</v>
      </c>
      <c r="X43" s="60">
        <v>0</v>
      </c>
      <c r="Y43" s="60">
        <v>0</v>
      </c>
      <c r="Z43" s="60">
        <v>0</v>
      </c>
      <c r="AA43" s="45">
        <f t="shared" si="3"/>
        <v>63360.000000000007</v>
      </c>
      <c r="AB43" s="115">
        <v>0</v>
      </c>
      <c r="AC43" s="5"/>
    </row>
    <row r="44" spans="1:37">
      <c r="A44" s="5" t="s">
        <v>95</v>
      </c>
      <c r="B44" s="5" t="str">
        <f t="shared" si="4"/>
        <v>nominal</v>
      </c>
      <c r="C44" s="60">
        <v>1</v>
      </c>
      <c r="D44" s="5" t="s">
        <v>25</v>
      </c>
      <c r="E44" s="5" t="str">
        <f>IF(A44="","",'1.1 Input'!$B$20)</f>
        <v>Replacement expenditure</v>
      </c>
      <c r="F44" s="5" t="s">
        <v>95</v>
      </c>
      <c r="G44" s="5">
        <v>0</v>
      </c>
      <c r="H44" s="5">
        <v>0</v>
      </c>
      <c r="I44" s="5">
        <v>0</v>
      </c>
      <c r="J44" s="5">
        <v>0</v>
      </c>
      <c r="K44" s="5">
        <v>0</v>
      </c>
      <c r="L44" s="5">
        <v>0</v>
      </c>
      <c r="M44" s="5">
        <v>0</v>
      </c>
      <c r="N44" s="45">
        <f t="shared" si="5"/>
        <v>0</v>
      </c>
      <c r="O44" s="12"/>
      <c r="P44" s="5" t="s">
        <v>96</v>
      </c>
      <c r="Q44" s="11" t="s">
        <v>14</v>
      </c>
      <c r="R44" s="51">
        <v>1</v>
      </c>
      <c r="S44" s="60" t="s">
        <v>39</v>
      </c>
      <c r="T44" s="60" t="s">
        <v>25</v>
      </c>
      <c r="U44" s="5" t="s">
        <v>28</v>
      </c>
      <c r="V44" s="60">
        <v>0</v>
      </c>
      <c r="W44" s="60">
        <v>0</v>
      </c>
      <c r="X44" s="60">
        <v>0</v>
      </c>
      <c r="Y44" s="60">
        <v>0</v>
      </c>
      <c r="Z44" s="60">
        <v>132000</v>
      </c>
      <c r="AA44" s="45">
        <f t="shared" si="3"/>
        <v>132000</v>
      </c>
      <c r="AB44" s="115">
        <v>0</v>
      </c>
      <c r="AC44" s="5"/>
    </row>
    <row r="45" spans="1:37">
      <c r="A45" s="5" t="s">
        <v>97</v>
      </c>
      <c r="B45" s="5" t="str">
        <f t="shared" si="4"/>
        <v>nominal</v>
      </c>
      <c r="C45" s="60">
        <v>1</v>
      </c>
      <c r="D45" s="5" t="s">
        <v>25</v>
      </c>
      <c r="E45" s="5" t="str">
        <f>IF(A45="","",'1.1 Input'!$B$20)</f>
        <v>Replacement expenditure</v>
      </c>
      <c r="F45" s="5" t="s">
        <v>97</v>
      </c>
      <c r="G45" s="5">
        <v>0</v>
      </c>
      <c r="H45" s="5">
        <v>43500.959999999999</v>
      </c>
      <c r="I45" s="5">
        <v>16282.88</v>
      </c>
      <c r="J45" s="5">
        <v>621305.37</v>
      </c>
      <c r="K45" s="5">
        <v>355996.46</v>
      </c>
      <c r="L45" s="5">
        <v>0</v>
      </c>
      <c r="M45" s="5">
        <v>0</v>
      </c>
      <c r="N45" s="45">
        <f t="shared" si="5"/>
        <v>993584.71</v>
      </c>
      <c r="O45" s="12"/>
      <c r="P45" s="5" t="s">
        <v>79</v>
      </c>
      <c r="Q45" s="11" t="s">
        <v>14</v>
      </c>
      <c r="R45" s="51">
        <v>1</v>
      </c>
      <c r="S45" s="60" t="s">
        <v>39</v>
      </c>
      <c r="T45" s="60" t="s">
        <v>25</v>
      </c>
      <c r="U45" s="5" t="s">
        <v>28</v>
      </c>
      <c r="V45" s="60">
        <v>0</v>
      </c>
      <c r="W45" s="60">
        <v>0</v>
      </c>
      <c r="X45" s="60">
        <v>0</v>
      </c>
      <c r="Y45" s="60">
        <v>0</v>
      </c>
      <c r="Z45" s="60">
        <v>0</v>
      </c>
      <c r="AA45" s="45">
        <f t="shared" si="3"/>
        <v>0</v>
      </c>
      <c r="AB45" s="115">
        <v>0</v>
      </c>
      <c r="AC45" s="5"/>
    </row>
    <row r="46" spans="1:37">
      <c r="A46" s="5" t="s">
        <v>98</v>
      </c>
      <c r="B46" s="5" t="str">
        <f t="shared" si="4"/>
        <v>nominal</v>
      </c>
      <c r="C46" s="60">
        <v>1</v>
      </c>
      <c r="D46" s="5" t="s">
        <v>25</v>
      </c>
      <c r="E46" s="5" t="str">
        <f>IF(A46="","",'1.1 Input'!$B$20)</f>
        <v>Replacement expenditure</v>
      </c>
      <c r="F46" s="5" t="s">
        <v>98</v>
      </c>
      <c r="G46" s="5">
        <v>288809.62</v>
      </c>
      <c r="H46" s="5">
        <v>221990.34</v>
      </c>
      <c r="I46" s="5">
        <v>939456.54</v>
      </c>
      <c r="J46" s="5">
        <v>0</v>
      </c>
      <c r="K46" s="5">
        <v>0</v>
      </c>
      <c r="L46" s="5">
        <v>0</v>
      </c>
      <c r="M46" s="5">
        <v>0</v>
      </c>
      <c r="N46" s="45">
        <f t="shared" si="5"/>
        <v>939456.54</v>
      </c>
      <c r="O46" s="12"/>
      <c r="P46" s="5" t="s">
        <v>99</v>
      </c>
      <c r="Q46" s="11" t="s">
        <v>14</v>
      </c>
      <c r="R46" s="51">
        <v>1</v>
      </c>
      <c r="S46" s="60" t="s">
        <v>39</v>
      </c>
      <c r="T46" s="60" t="s">
        <v>25</v>
      </c>
      <c r="U46" s="5" t="s">
        <v>28</v>
      </c>
      <c r="V46" s="60">
        <v>0</v>
      </c>
      <c r="W46" s="60">
        <v>0</v>
      </c>
      <c r="X46" s="60">
        <v>0</v>
      </c>
      <c r="Y46" s="60">
        <v>0</v>
      </c>
      <c r="Z46" s="60">
        <v>0</v>
      </c>
      <c r="AA46" s="45">
        <f t="shared" si="3"/>
        <v>0</v>
      </c>
      <c r="AB46" s="115">
        <v>0</v>
      </c>
      <c r="AC46" s="5"/>
    </row>
    <row r="47" spans="1:37">
      <c r="A47" s="5" t="s">
        <v>100</v>
      </c>
      <c r="B47" s="5" t="str">
        <f t="shared" si="4"/>
        <v>nominal</v>
      </c>
      <c r="C47" s="60">
        <v>1</v>
      </c>
      <c r="D47" s="5" t="s">
        <v>25</v>
      </c>
      <c r="E47" s="5" t="str">
        <f>IF(A47="","",'1.1 Input'!$B$20)</f>
        <v>Replacement expenditure</v>
      </c>
      <c r="F47" s="5" t="s">
        <v>101</v>
      </c>
      <c r="G47" s="5">
        <v>64958.979999999981</v>
      </c>
      <c r="H47" s="5">
        <v>0</v>
      </c>
      <c r="I47" s="5">
        <v>0</v>
      </c>
      <c r="J47" s="5">
        <v>0</v>
      </c>
      <c r="K47" s="5">
        <v>0</v>
      </c>
      <c r="L47" s="5">
        <v>0</v>
      </c>
      <c r="M47" s="5">
        <v>0</v>
      </c>
      <c r="N47" s="45">
        <f t="shared" si="5"/>
        <v>0</v>
      </c>
      <c r="O47" s="12"/>
      <c r="P47" s="5" t="s">
        <v>102</v>
      </c>
      <c r="Q47" s="11" t="s">
        <v>14</v>
      </c>
      <c r="R47" s="51">
        <v>1</v>
      </c>
      <c r="S47" s="60" t="s">
        <v>31</v>
      </c>
      <c r="T47" s="60" t="s">
        <v>25</v>
      </c>
      <c r="U47" s="5" t="s">
        <v>28</v>
      </c>
      <c r="V47" s="60">
        <v>165000</v>
      </c>
      <c r="W47" s="60">
        <v>165000</v>
      </c>
      <c r="X47" s="60">
        <v>165000</v>
      </c>
      <c r="Y47" s="60">
        <v>165000</v>
      </c>
      <c r="Z47" s="60">
        <v>165000</v>
      </c>
      <c r="AA47" s="45">
        <f t="shared" si="3"/>
        <v>825000</v>
      </c>
      <c r="AB47" s="115">
        <v>0</v>
      </c>
      <c r="AC47" s="5"/>
    </row>
    <row r="48" spans="1:37">
      <c r="A48" s="5" t="s">
        <v>103</v>
      </c>
      <c r="B48" s="5" t="str">
        <f t="shared" si="4"/>
        <v>nominal</v>
      </c>
      <c r="C48" s="60">
        <v>1</v>
      </c>
      <c r="D48" s="5" t="s">
        <v>104</v>
      </c>
      <c r="E48" s="5" t="str">
        <f>IF(A48="","",'1.1 Input'!$B$20)</f>
        <v>Replacement expenditure</v>
      </c>
      <c r="F48" s="5" t="s">
        <v>105</v>
      </c>
      <c r="G48" s="5">
        <v>216960.78</v>
      </c>
      <c r="H48" s="5">
        <v>133855.97999999998</v>
      </c>
      <c r="I48" s="5">
        <v>0</v>
      </c>
      <c r="J48" s="5">
        <v>0</v>
      </c>
      <c r="K48" s="5">
        <v>0</v>
      </c>
      <c r="L48" s="5">
        <v>0</v>
      </c>
      <c r="M48" s="5">
        <v>0</v>
      </c>
      <c r="N48" s="45">
        <f t="shared" si="5"/>
        <v>0</v>
      </c>
      <c r="O48" s="12"/>
      <c r="P48" s="5" t="s">
        <v>85</v>
      </c>
      <c r="Q48" s="11" t="s">
        <v>14</v>
      </c>
      <c r="R48" s="51">
        <v>1</v>
      </c>
      <c r="S48" s="60" t="s">
        <v>39</v>
      </c>
      <c r="T48" s="60" t="s">
        <v>25</v>
      </c>
      <c r="U48" s="5" t="s">
        <v>28</v>
      </c>
      <c r="V48" s="60">
        <v>89760</v>
      </c>
      <c r="W48" s="60">
        <v>89760</v>
      </c>
      <c r="X48" s="60">
        <v>89760</v>
      </c>
      <c r="Y48" s="60">
        <v>89760</v>
      </c>
      <c r="Z48" s="60">
        <v>0</v>
      </c>
      <c r="AA48" s="45">
        <f t="shared" si="3"/>
        <v>359040</v>
      </c>
      <c r="AB48" s="115">
        <v>0</v>
      </c>
      <c r="AC48" s="5"/>
    </row>
    <row r="49" spans="1:29">
      <c r="A49" s="5" t="s">
        <v>106</v>
      </c>
      <c r="B49" s="5" t="str">
        <f t="shared" si="4"/>
        <v/>
      </c>
      <c r="C49" s="60"/>
      <c r="D49" s="5"/>
      <c r="E49" s="5" t="str">
        <f>IF(A49="","",'1.1 Input'!$B$20)</f>
        <v/>
      </c>
      <c r="F49" s="5"/>
      <c r="G49" s="5">
        <v>0</v>
      </c>
      <c r="H49" s="5">
        <v>0</v>
      </c>
      <c r="I49" s="5">
        <v>0</v>
      </c>
      <c r="J49" s="5">
        <v>0</v>
      </c>
      <c r="K49" s="5">
        <v>0</v>
      </c>
      <c r="L49" s="5">
        <v>0</v>
      </c>
      <c r="M49" s="5">
        <v>0</v>
      </c>
      <c r="N49" s="45">
        <f t="shared" si="5"/>
        <v>0</v>
      </c>
      <c r="O49" s="12"/>
      <c r="P49" s="5" t="s">
        <v>89</v>
      </c>
      <c r="Q49" s="11" t="s">
        <v>14</v>
      </c>
      <c r="R49" s="51">
        <v>1</v>
      </c>
      <c r="S49" s="60" t="s">
        <v>27</v>
      </c>
      <c r="T49" s="60" t="s">
        <v>35</v>
      </c>
      <c r="U49" s="5" t="s">
        <v>28</v>
      </c>
      <c r="V49" s="60">
        <v>609420.53333333333</v>
      </c>
      <c r="W49" s="60">
        <v>367552.53333333338</v>
      </c>
      <c r="X49" s="60">
        <v>57090.000000000007</v>
      </c>
      <c r="Y49" s="60">
        <v>0</v>
      </c>
      <c r="Z49" s="60">
        <v>0</v>
      </c>
      <c r="AA49" s="45">
        <f t="shared" si="3"/>
        <v>1034063.0666666667</v>
      </c>
      <c r="AB49" s="115">
        <v>0.65015384974088641</v>
      </c>
      <c r="AC49" s="5" t="str">
        <f>X8</f>
        <v>2027/28</v>
      </c>
    </row>
    <row r="50" spans="1:29">
      <c r="A50" s="5" t="s">
        <v>106</v>
      </c>
      <c r="B50" s="5" t="str">
        <f t="shared" si="4"/>
        <v/>
      </c>
      <c r="C50" s="60"/>
      <c r="D50" s="5"/>
      <c r="E50" s="5" t="str">
        <f>IF(A50="","",'1.1 Input'!$B$20)</f>
        <v/>
      </c>
      <c r="F50" s="5"/>
      <c r="G50" s="5">
        <v>0</v>
      </c>
      <c r="H50" s="5">
        <v>0</v>
      </c>
      <c r="I50" s="5">
        <v>0</v>
      </c>
      <c r="J50" s="5">
        <v>0</v>
      </c>
      <c r="K50" s="5">
        <v>0</v>
      </c>
      <c r="L50" s="5">
        <v>0</v>
      </c>
      <c r="M50" s="5">
        <v>0</v>
      </c>
      <c r="N50" s="45">
        <f t="shared" si="5"/>
        <v>0</v>
      </c>
      <c r="O50" s="12"/>
      <c r="P50" s="5" t="s">
        <v>91</v>
      </c>
      <c r="Q50" s="11" t="s">
        <v>14</v>
      </c>
      <c r="R50" s="51">
        <v>1</v>
      </c>
      <c r="S50" s="60" t="s">
        <v>27</v>
      </c>
      <c r="T50" s="60" t="s">
        <v>35</v>
      </c>
      <c r="U50" s="5" t="s">
        <v>28</v>
      </c>
      <c r="V50" s="60">
        <v>1423716.8</v>
      </c>
      <c r="W50" s="60">
        <v>670172.80000000005</v>
      </c>
      <c r="X50" s="60">
        <v>0</v>
      </c>
      <c r="Y50" s="60">
        <v>0</v>
      </c>
      <c r="Z50" s="60">
        <v>0</v>
      </c>
      <c r="AA50" s="45">
        <f t="shared" si="3"/>
        <v>2093889.6</v>
      </c>
      <c r="AB50" s="115">
        <v>0.45768024711626842</v>
      </c>
      <c r="AC50" s="5" t="str">
        <f>W8</f>
        <v>2026/27</v>
      </c>
    </row>
    <row r="51" spans="1:29">
      <c r="A51" s="5" t="s">
        <v>106</v>
      </c>
      <c r="B51" s="5" t="str">
        <f t="shared" si="4"/>
        <v/>
      </c>
      <c r="C51" s="60"/>
      <c r="D51" s="5"/>
      <c r="E51" s="5" t="str">
        <f>IF(A51="","",'1.1 Input'!$B$20)</f>
        <v/>
      </c>
      <c r="F51" s="5"/>
      <c r="G51" s="5">
        <v>0</v>
      </c>
      <c r="H51" s="5">
        <v>0</v>
      </c>
      <c r="I51" s="5">
        <v>0</v>
      </c>
      <c r="J51" s="5">
        <v>0</v>
      </c>
      <c r="K51" s="5">
        <v>0</v>
      </c>
      <c r="L51" s="5">
        <v>0</v>
      </c>
      <c r="M51" s="5">
        <v>0</v>
      </c>
      <c r="N51" s="45">
        <f t="shared" si="5"/>
        <v>0</v>
      </c>
      <c r="O51" s="12"/>
      <c r="P51" s="5" t="s">
        <v>93</v>
      </c>
      <c r="Q51" s="11" t="s">
        <v>14</v>
      </c>
      <c r="R51" s="51">
        <v>1</v>
      </c>
      <c r="S51" s="60" t="s">
        <v>31</v>
      </c>
      <c r="T51" s="60" t="s">
        <v>25</v>
      </c>
      <c r="U51" s="5" t="s">
        <v>28</v>
      </c>
      <c r="V51" s="60">
        <v>0</v>
      </c>
      <c r="W51" s="60">
        <v>0</v>
      </c>
      <c r="X51" s="60">
        <v>0</v>
      </c>
      <c r="Y51" s="60">
        <v>0</v>
      </c>
      <c r="Z51" s="60">
        <v>0</v>
      </c>
      <c r="AA51" s="45">
        <f t="shared" si="3"/>
        <v>0</v>
      </c>
      <c r="AB51" s="115">
        <v>0</v>
      </c>
      <c r="AC51" s="5"/>
    </row>
    <row r="52" spans="1:29">
      <c r="A52" s="5" t="s">
        <v>106</v>
      </c>
      <c r="B52" s="5" t="str">
        <f t="shared" si="4"/>
        <v/>
      </c>
      <c r="C52" s="60"/>
      <c r="D52" s="5"/>
      <c r="E52" s="5" t="str">
        <f>IF(A52="","",'1.1 Input'!$B$20)</f>
        <v/>
      </c>
      <c r="F52" s="5"/>
      <c r="G52" s="5">
        <v>0</v>
      </c>
      <c r="H52" s="5">
        <v>0</v>
      </c>
      <c r="I52" s="5">
        <v>0</v>
      </c>
      <c r="J52" s="5">
        <v>0</v>
      </c>
      <c r="K52" s="5">
        <v>0</v>
      </c>
      <c r="L52" s="5">
        <v>0</v>
      </c>
      <c r="M52" s="5">
        <v>0</v>
      </c>
      <c r="N52" s="45">
        <f t="shared" si="5"/>
        <v>0</v>
      </c>
      <c r="O52" s="12"/>
      <c r="P52" s="5" t="s">
        <v>107</v>
      </c>
      <c r="Q52" s="11" t="s">
        <v>14</v>
      </c>
      <c r="R52" s="51">
        <v>1</v>
      </c>
      <c r="S52" s="60" t="s">
        <v>69</v>
      </c>
      <c r="T52" s="60" t="s">
        <v>25</v>
      </c>
      <c r="U52" s="5" t="s">
        <v>28</v>
      </c>
      <c r="V52" s="60">
        <v>0</v>
      </c>
      <c r="W52" s="60">
        <v>0</v>
      </c>
      <c r="X52" s="60">
        <v>0</v>
      </c>
      <c r="Y52" s="60">
        <v>0</v>
      </c>
      <c r="Z52" s="60">
        <v>0</v>
      </c>
      <c r="AA52" s="45">
        <f t="shared" si="3"/>
        <v>0</v>
      </c>
      <c r="AB52" s="115">
        <v>0</v>
      </c>
      <c r="AC52" s="5"/>
    </row>
    <row r="53" spans="1:29">
      <c r="A53" s="5" t="s">
        <v>106</v>
      </c>
      <c r="B53" s="5" t="str">
        <f t="shared" si="4"/>
        <v/>
      </c>
      <c r="C53" s="60"/>
      <c r="D53" s="5"/>
      <c r="E53" s="5" t="str">
        <f>IF(A53="","",'1.1 Input'!$B$20)</f>
        <v/>
      </c>
      <c r="F53" s="5"/>
      <c r="G53" s="5">
        <v>0</v>
      </c>
      <c r="H53" s="5">
        <v>0</v>
      </c>
      <c r="I53" s="5">
        <v>0</v>
      </c>
      <c r="J53" s="5">
        <v>0</v>
      </c>
      <c r="K53" s="5">
        <v>0</v>
      </c>
      <c r="L53" s="5">
        <v>0</v>
      </c>
      <c r="M53" s="5">
        <v>0</v>
      </c>
      <c r="N53" s="45">
        <f t="shared" si="5"/>
        <v>0</v>
      </c>
      <c r="O53" s="12"/>
      <c r="P53" s="5" t="s">
        <v>95</v>
      </c>
      <c r="Q53" s="11" t="s">
        <v>14</v>
      </c>
      <c r="R53" s="51">
        <v>1</v>
      </c>
      <c r="S53" s="60" t="s">
        <v>39</v>
      </c>
      <c r="T53" s="60" t="s">
        <v>25</v>
      </c>
      <c r="U53" s="5" t="s">
        <v>28</v>
      </c>
      <c r="V53" s="60">
        <v>0</v>
      </c>
      <c r="W53" s="60">
        <v>0</v>
      </c>
      <c r="X53" s="60">
        <v>0</v>
      </c>
      <c r="Y53" s="60">
        <v>0</v>
      </c>
      <c r="Z53" s="60">
        <v>0</v>
      </c>
      <c r="AA53" s="45">
        <f t="shared" si="3"/>
        <v>0</v>
      </c>
      <c r="AB53" s="115">
        <v>0</v>
      </c>
      <c r="AC53" s="5"/>
    </row>
    <row r="54" spans="1:29">
      <c r="A54" s="5" t="s">
        <v>106</v>
      </c>
      <c r="B54" s="5" t="str">
        <f t="shared" si="4"/>
        <v/>
      </c>
      <c r="C54" s="60"/>
      <c r="D54" s="5"/>
      <c r="E54" s="5" t="str">
        <f>IF(A54="","",'1.1 Input'!$B$20)</f>
        <v/>
      </c>
      <c r="F54" s="5"/>
      <c r="G54" s="5">
        <v>0</v>
      </c>
      <c r="H54" s="5">
        <v>0</v>
      </c>
      <c r="I54" s="5">
        <v>0</v>
      </c>
      <c r="J54" s="5">
        <v>0</v>
      </c>
      <c r="K54" s="5">
        <v>0</v>
      </c>
      <c r="L54" s="5">
        <v>0</v>
      </c>
      <c r="M54" s="5">
        <v>0</v>
      </c>
      <c r="N54" s="45">
        <f t="shared" si="5"/>
        <v>0</v>
      </c>
      <c r="O54" s="12"/>
      <c r="P54" s="5" t="s">
        <v>108</v>
      </c>
      <c r="Q54" s="11" t="s">
        <v>14</v>
      </c>
      <c r="R54" s="51">
        <v>1</v>
      </c>
      <c r="S54" s="60" t="s">
        <v>69</v>
      </c>
      <c r="T54" s="60" t="s">
        <v>25</v>
      </c>
      <c r="U54" s="5" t="s">
        <v>28</v>
      </c>
      <c r="V54" s="60">
        <v>0</v>
      </c>
      <c r="W54" s="60">
        <v>0</v>
      </c>
      <c r="X54" s="60">
        <v>0</v>
      </c>
      <c r="Y54" s="60">
        <v>0</v>
      </c>
      <c r="Z54" s="60">
        <v>0</v>
      </c>
      <c r="AA54" s="45">
        <f t="shared" si="3"/>
        <v>0</v>
      </c>
      <c r="AB54" s="115">
        <v>0</v>
      </c>
      <c r="AC54" s="5"/>
    </row>
    <row r="55" spans="1:29">
      <c r="A55" s="5" t="s">
        <v>106</v>
      </c>
      <c r="B55" s="5" t="str">
        <f t="shared" si="4"/>
        <v/>
      </c>
      <c r="C55" s="60"/>
      <c r="D55" s="5"/>
      <c r="E55" s="5" t="str">
        <f>IF(A55="","",'1.1 Input'!$B$20)</f>
        <v/>
      </c>
      <c r="F55" s="5"/>
      <c r="G55" s="5">
        <v>0</v>
      </c>
      <c r="H55" s="5">
        <v>0</v>
      </c>
      <c r="I55" s="5">
        <v>0</v>
      </c>
      <c r="J55" s="5">
        <v>0</v>
      </c>
      <c r="K55" s="5">
        <v>0</v>
      </c>
      <c r="L55" s="5">
        <v>0</v>
      </c>
      <c r="M55" s="5">
        <v>0</v>
      </c>
      <c r="N55" s="45">
        <f t="shared" si="5"/>
        <v>0</v>
      </c>
      <c r="O55" s="12"/>
      <c r="P55" s="5" t="s">
        <v>109</v>
      </c>
      <c r="Q55" s="11" t="s">
        <v>14</v>
      </c>
      <c r="R55" s="51">
        <v>1</v>
      </c>
      <c r="S55" s="60" t="s">
        <v>31</v>
      </c>
      <c r="T55" s="60" t="s">
        <v>25</v>
      </c>
      <c r="U55" s="5" t="s">
        <v>28</v>
      </c>
      <c r="V55" s="60">
        <v>344520</v>
      </c>
      <c r="W55" s="60">
        <v>825000.00000000012</v>
      </c>
      <c r="X55" s="60">
        <v>825000.00000000012</v>
      </c>
      <c r="Y55" s="60">
        <v>0</v>
      </c>
      <c r="Z55" s="60">
        <v>0</v>
      </c>
      <c r="AA55" s="45">
        <f t="shared" si="3"/>
        <v>1994520</v>
      </c>
      <c r="AB55" s="115">
        <v>0</v>
      </c>
      <c r="AC55" s="5"/>
    </row>
    <row r="56" spans="1:29">
      <c r="A56" s="5" t="s">
        <v>106</v>
      </c>
      <c r="B56" s="5" t="str">
        <f t="shared" si="4"/>
        <v/>
      </c>
      <c r="C56" s="60"/>
      <c r="D56" s="5"/>
      <c r="E56" s="5" t="str">
        <f>IF(A56="","",'1.1 Input'!$B$20)</f>
        <v/>
      </c>
      <c r="F56" s="5"/>
      <c r="G56" s="5">
        <v>0</v>
      </c>
      <c r="H56" s="5">
        <v>0</v>
      </c>
      <c r="I56" s="5">
        <v>0</v>
      </c>
      <c r="J56" s="5">
        <v>0</v>
      </c>
      <c r="K56" s="5">
        <v>0</v>
      </c>
      <c r="L56" s="5">
        <v>0</v>
      </c>
      <c r="M56" s="5">
        <v>0</v>
      </c>
      <c r="N56" s="45">
        <f t="shared" si="5"/>
        <v>0</v>
      </c>
      <c r="O56" s="12"/>
      <c r="P56" s="5" t="s">
        <v>110</v>
      </c>
      <c r="Q56" s="11" t="s">
        <v>111</v>
      </c>
      <c r="R56" s="51">
        <v>2</v>
      </c>
      <c r="S56" s="60" t="s">
        <v>27</v>
      </c>
      <c r="T56" s="60" t="s">
        <v>25</v>
      </c>
      <c r="U56" s="5" t="s">
        <v>28</v>
      </c>
      <c r="V56" s="60">
        <v>220812.90000000005</v>
      </c>
      <c r="W56" s="60">
        <v>0</v>
      </c>
      <c r="X56" s="60">
        <v>0</v>
      </c>
      <c r="Y56" s="60">
        <v>0</v>
      </c>
      <c r="Z56" s="60">
        <v>0</v>
      </c>
      <c r="AA56" s="45">
        <f t="shared" ref="AA56:AA63" si="6">SUM(V56:Z56)</f>
        <v>220812.90000000005</v>
      </c>
      <c r="AB56" s="115">
        <v>0</v>
      </c>
      <c r="AC56" s="5"/>
    </row>
    <row r="57" spans="1:29">
      <c r="A57" s="5"/>
      <c r="B57" s="5"/>
      <c r="C57" s="60"/>
      <c r="D57" s="5"/>
      <c r="E57" s="5"/>
      <c r="F57" s="5"/>
      <c r="G57" s="5">
        <v>0</v>
      </c>
      <c r="H57" s="5">
        <v>0</v>
      </c>
      <c r="I57" s="5">
        <v>0</v>
      </c>
      <c r="J57" s="5">
        <v>0</v>
      </c>
      <c r="K57" s="5">
        <v>0</v>
      </c>
      <c r="L57" s="5">
        <v>0</v>
      </c>
      <c r="M57" s="5">
        <v>0</v>
      </c>
      <c r="N57" s="45">
        <f t="shared" si="5"/>
        <v>0</v>
      </c>
      <c r="O57" s="12"/>
      <c r="P57" s="5" t="s">
        <v>112</v>
      </c>
      <c r="Q57" s="11" t="s">
        <v>113</v>
      </c>
      <c r="R57" s="51">
        <v>3</v>
      </c>
      <c r="S57" s="60" t="s">
        <v>39</v>
      </c>
      <c r="T57" s="60" t="s">
        <v>25</v>
      </c>
      <c r="U57" s="5" t="s">
        <v>28</v>
      </c>
      <c r="V57" s="60">
        <v>0</v>
      </c>
      <c r="W57" s="60">
        <v>0</v>
      </c>
      <c r="X57" s="60">
        <v>0</v>
      </c>
      <c r="Y57" s="60">
        <v>0</v>
      </c>
      <c r="Z57" s="60">
        <v>0</v>
      </c>
      <c r="AA57" s="45">
        <f t="shared" si="6"/>
        <v>0</v>
      </c>
      <c r="AB57" s="115">
        <v>0</v>
      </c>
      <c r="AC57" s="5"/>
    </row>
    <row r="58" spans="1:29">
      <c r="A58" s="5"/>
      <c r="B58" s="5"/>
      <c r="C58" s="60"/>
      <c r="D58" s="5"/>
      <c r="E58" s="5"/>
      <c r="F58" s="5"/>
      <c r="G58" s="5">
        <v>0</v>
      </c>
      <c r="H58" s="5">
        <v>0</v>
      </c>
      <c r="I58" s="5">
        <v>0</v>
      </c>
      <c r="J58" s="5">
        <v>0</v>
      </c>
      <c r="K58" s="5">
        <v>0</v>
      </c>
      <c r="L58" s="5">
        <v>0</v>
      </c>
      <c r="M58" s="5">
        <v>0</v>
      </c>
      <c r="N58" s="45">
        <f t="shared" si="5"/>
        <v>0</v>
      </c>
      <c r="O58" s="12"/>
      <c r="P58" s="5" t="s">
        <v>114</v>
      </c>
      <c r="Q58" s="11" t="s">
        <v>115</v>
      </c>
      <c r="R58" s="51">
        <v>4</v>
      </c>
      <c r="S58" s="60" t="s">
        <v>39</v>
      </c>
      <c r="T58" s="60" t="s">
        <v>25</v>
      </c>
      <c r="U58" s="5" t="s">
        <v>28</v>
      </c>
      <c r="V58" s="60">
        <v>0</v>
      </c>
      <c r="W58" s="60">
        <v>0</v>
      </c>
      <c r="X58" s="60">
        <v>0</v>
      </c>
      <c r="Y58" s="60">
        <v>0</v>
      </c>
      <c r="Z58" s="60">
        <v>0</v>
      </c>
      <c r="AA58" s="45">
        <f t="shared" si="6"/>
        <v>0</v>
      </c>
      <c r="AB58" s="115">
        <v>0</v>
      </c>
      <c r="AC58" s="5"/>
    </row>
    <row r="59" spans="1:29">
      <c r="A59" s="5"/>
      <c r="B59" s="5"/>
      <c r="C59" s="60"/>
      <c r="D59" s="5"/>
      <c r="E59" s="5"/>
      <c r="F59" s="5"/>
      <c r="G59" s="5">
        <v>0</v>
      </c>
      <c r="H59" s="5">
        <v>0</v>
      </c>
      <c r="I59" s="5">
        <v>0</v>
      </c>
      <c r="J59" s="5">
        <v>0</v>
      </c>
      <c r="K59" s="5">
        <v>0</v>
      </c>
      <c r="L59" s="5">
        <v>0</v>
      </c>
      <c r="M59" s="5">
        <v>0</v>
      </c>
      <c r="N59" s="45">
        <f t="shared" si="5"/>
        <v>0</v>
      </c>
      <c r="O59" s="12"/>
      <c r="P59" s="5" t="s">
        <v>116</v>
      </c>
      <c r="Q59" s="11" t="s">
        <v>117</v>
      </c>
      <c r="R59" s="51">
        <v>5</v>
      </c>
      <c r="S59" s="60" t="s">
        <v>27</v>
      </c>
      <c r="T59" s="60" t="s">
        <v>25</v>
      </c>
      <c r="U59" s="5" t="s">
        <v>28</v>
      </c>
      <c r="V59" s="60">
        <v>0</v>
      </c>
      <c r="W59" s="60">
        <v>0</v>
      </c>
      <c r="X59" s="60">
        <v>61253.830000000009</v>
      </c>
      <c r="Y59" s="60">
        <v>0</v>
      </c>
      <c r="Z59" s="60">
        <v>0</v>
      </c>
      <c r="AA59" s="45">
        <f t="shared" si="6"/>
        <v>61253.830000000009</v>
      </c>
      <c r="AB59" s="115">
        <v>0</v>
      </c>
      <c r="AC59" s="5"/>
    </row>
    <row r="60" spans="1:29">
      <c r="A60" s="5"/>
      <c r="B60" s="5"/>
      <c r="C60" s="60"/>
      <c r="D60" s="5"/>
      <c r="E60" s="5"/>
      <c r="F60" s="5"/>
      <c r="G60" s="5">
        <v>0</v>
      </c>
      <c r="H60" s="5">
        <v>0</v>
      </c>
      <c r="I60" s="5">
        <v>0</v>
      </c>
      <c r="J60" s="5">
        <v>0</v>
      </c>
      <c r="K60" s="5">
        <v>0</v>
      </c>
      <c r="L60" s="5">
        <v>0</v>
      </c>
      <c r="M60" s="5">
        <v>0</v>
      </c>
      <c r="N60" s="45">
        <f t="shared" si="5"/>
        <v>0</v>
      </c>
      <c r="O60" s="12"/>
      <c r="P60" s="5" t="s">
        <v>118</v>
      </c>
      <c r="Q60" s="11" t="s">
        <v>119</v>
      </c>
      <c r="R60" s="51">
        <v>6</v>
      </c>
      <c r="S60" s="60" t="s">
        <v>69</v>
      </c>
      <c r="T60" s="60" t="s">
        <v>25</v>
      </c>
      <c r="U60" s="5" t="s">
        <v>28</v>
      </c>
      <c r="V60" s="60">
        <v>0</v>
      </c>
      <c r="W60" s="60">
        <v>0</v>
      </c>
      <c r="X60" s="60">
        <v>0</v>
      </c>
      <c r="Y60" s="60">
        <v>0</v>
      </c>
      <c r="Z60" s="60">
        <v>0</v>
      </c>
      <c r="AA60" s="45">
        <f t="shared" si="6"/>
        <v>0</v>
      </c>
      <c r="AB60" s="115">
        <v>0</v>
      </c>
      <c r="AC60" s="5"/>
    </row>
    <row r="61" spans="1:29">
      <c r="A61" s="5"/>
      <c r="B61" s="5"/>
      <c r="C61" s="60"/>
      <c r="D61" s="5"/>
      <c r="E61" s="5"/>
      <c r="F61" s="5"/>
      <c r="G61" s="5">
        <v>0</v>
      </c>
      <c r="H61" s="5">
        <v>0</v>
      </c>
      <c r="I61" s="5">
        <v>0</v>
      </c>
      <c r="J61" s="5">
        <v>0</v>
      </c>
      <c r="K61" s="5">
        <v>0</v>
      </c>
      <c r="L61" s="5">
        <v>0</v>
      </c>
      <c r="M61" s="5">
        <v>0</v>
      </c>
      <c r="N61" s="45">
        <f t="shared" si="5"/>
        <v>0</v>
      </c>
      <c r="O61" s="12"/>
      <c r="P61" s="5" t="s">
        <v>120</v>
      </c>
      <c r="Q61" s="11" t="s">
        <v>121</v>
      </c>
      <c r="R61" s="51">
        <v>7</v>
      </c>
      <c r="S61" s="60" t="s">
        <v>39</v>
      </c>
      <c r="T61" s="60" t="s">
        <v>25</v>
      </c>
      <c r="U61" s="5" t="s">
        <v>28</v>
      </c>
      <c r="V61" s="60">
        <v>26664.000000000004</v>
      </c>
      <c r="W61" s="60">
        <v>0</v>
      </c>
      <c r="X61" s="60">
        <v>0</v>
      </c>
      <c r="Y61" s="60">
        <v>0</v>
      </c>
      <c r="Z61" s="60">
        <v>0</v>
      </c>
      <c r="AA61" s="45">
        <f t="shared" si="6"/>
        <v>26664.000000000004</v>
      </c>
      <c r="AB61" s="115">
        <v>0</v>
      </c>
      <c r="AC61" s="5"/>
    </row>
    <row r="62" spans="1:29">
      <c r="A62" s="5"/>
      <c r="B62" s="5"/>
      <c r="C62" s="60"/>
      <c r="D62" s="5"/>
      <c r="E62" s="5"/>
      <c r="F62" s="5"/>
      <c r="G62" s="5">
        <v>0</v>
      </c>
      <c r="H62" s="5">
        <v>0</v>
      </c>
      <c r="I62" s="5">
        <v>0</v>
      </c>
      <c r="J62" s="5">
        <v>0</v>
      </c>
      <c r="K62" s="5">
        <v>0</v>
      </c>
      <c r="L62" s="5">
        <v>0</v>
      </c>
      <c r="M62" s="5">
        <v>0</v>
      </c>
      <c r="N62" s="45">
        <f t="shared" si="5"/>
        <v>0</v>
      </c>
      <c r="O62" s="12"/>
      <c r="P62" s="5" t="s">
        <v>69</v>
      </c>
      <c r="Q62" s="11" t="s">
        <v>122</v>
      </c>
      <c r="R62" s="51">
        <v>8</v>
      </c>
      <c r="S62" s="60" t="s">
        <v>69</v>
      </c>
      <c r="T62" s="60" t="s">
        <v>25</v>
      </c>
      <c r="U62" s="5" t="s">
        <v>28</v>
      </c>
      <c r="V62" s="60">
        <v>1775760.9100000001</v>
      </c>
      <c r="W62" s="60">
        <v>1176544.7100000002</v>
      </c>
      <c r="X62" s="60">
        <v>1642660.9100000001</v>
      </c>
      <c r="Y62" s="60">
        <v>1497460.9100000001</v>
      </c>
      <c r="Z62" s="60">
        <v>6007572.5600000015</v>
      </c>
      <c r="AA62" s="45">
        <f t="shared" si="6"/>
        <v>12100000.000000002</v>
      </c>
      <c r="AB62" s="115">
        <v>0</v>
      </c>
      <c r="AC62" s="5" t="str">
        <f>Z8</f>
        <v>2029/30</v>
      </c>
    </row>
    <row r="63" spans="1:29">
      <c r="A63" s="5"/>
      <c r="B63" s="5"/>
      <c r="C63" s="60"/>
      <c r="D63" s="5"/>
      <c r="E63" s="5"/>
      <c r="F63" s="5"/>
      <c r="G63" s="5">
        <v>0</v>
      </c>
      <c r="H63" s="5">
        <v>0</v>
      </c>
      <c r="I63" s="5">
        <v>0</v>
      </c>
      <c r="J63" s="5">
        <v>0</v>
      </c>
      <c r="K63" s="5">
        <v>0</v>
      </c>
      <c r="L63" s="5">
        <v>0</v>
      </c>
      <c r="M63" s="5">
        <v>0</v>
      </c>
      <c r="N63" s="45">
        <f t="shared" si="5"/>
        <v>0</v>
      </c>
      <c r="O63" s="12"/>
      <c r="P63" s="5" t="s">
        <v>123</v>
      </c>
      <c r="Q63" s="11" t="s">
        <v>124</v>
      </c>
      <c r="R63" s="51">
        <v>9</v>
      </c>
      <c r="S63" s="60" t="s">
        <v>125</v>
      </c>
      <c r="T63" s="60" t="s">
        <v>125</v>
      </c>
      <c r="U63" s="5" t="s">
        <v>28</v>
      </c>
      <c r="V63" s="60">
        <v>0</v>
      </c>
      <c r="W63" s="60">
        <v>0</v>
      </c>
      <c r="X63" s="60">
        <v>0</v>
      </c>
      <c r="Y63" s="60">
        <v>141575</v>
      </c>
      <c r="Z63" s="60">
        <v>141575</v>
      </c>
      <c r="AA63" s="45">
        <f t="shared" si="6"/>
        <v>283150</v>
      </c>
      <c r="AB63" s="115">
        <v>0</v>
      </c>
    </row>
    <row r="64" spans="1:29">
      <c r="A64" s="5"/>
      <c r="B64" s="5"/>
      <c r="C64" s="60"/>
      <c r="D64" s="5"/>
      <c r="E64" s="5"/>
      <c r="F64" s="5"/>
      <c r="G64" s="5">
        <v>0</v>
      </c>
      <c r="H64" s="5">
        <v>0</v>
      </c>
      <c r="I64" s="5">
        <v>0</v>
      </c>
      <c r="J64" s="5">
        <v>0</v>
      </c>
      <c r="K64" s="5">
        <v>0</v>
      </c>
      <c r="L64" s="5">
        <v>0</v>
      </c>
      <c r="M64" s="5">
        <v>0</v>
      </c>
      <c r="N64" s="45">
        <f t="shared" si="5"/>
        <v>0</v>
      </c>
      <c r="O64" s="12"/>
      <c r="P64" s="5"/>
      <c r="Q64" s="11"/>
      <c r="R64" s="51"/>
      <c r="S64" s="60"/>
      <c r="T64" s="60"/>
      <c r="U64" s="5"/>
      <c r="V64" s="60"/>
      <c r="W64" s="60"/>
      <c r="X64" s="60"/>
      <c r="Y64" s="60"/>
      <c r="Z64" s="60"/>
      <c r="AA64" s="45"/>
      <c r="AB64" s="115"/>
    </row>
    <row r="65" spans="1:29">
      <c r="A65" s="5"/>
      <c r="B65" s="5"/>
      <c r="C65" s="60"/>
      <c r="D65" s="5"/>
      <c r="E65" s="5"/>
      <c r="F65" s="5"/>
      <c r="G65" s="5">
        <v>0</v>
      </c>
      <c r="H65" s="5">
        <v>0</v>
      </c>
      <c r="I65" s="5">
        <v>0</v>
      </c>
      <c r="J65" s="5">
        <v>0</v>
      </c>
      <c r="K65" s="5">
        <v>0</v>
      </c>
      <c r="L65" s="5">
        <v>0</v>
      </c>
      <c r="M65" s="5">
        <v>0</v>
      </c>
      <c r="N65" s="45">
        <f t="shared" si="5"/>
        <v>0</v>
      </c>
      <c r="O65" s="12"/>
      <c r="P65" s="5"/>
      <c r="Q65" s="11"/>
      <c r="R65" s="51"/>
      <c r="S65" s="60"/>
      <c r="T65" s="60"/>
      <c r="U65" s="5"/>
      <c r="V65" s="60"/>
      <c r="W65" s="60"/>
      <c r="X65" s="60"/>
      <c r="Y65" s="60"/>
      <c r="Z65" s="60"/>
      <c r="AA65" s="45"/>
      <c r="AB65" s="115"/>
      <c r="AC65" s="5"/>
    </row>
    <row r="66" spans="1:29">
      <c r="P66" s="5"/>
      <c r="Q66" s="11"/>
      <c r="R66" s="51"/>
      <c r="S66" s="60"/>
      <c r="T66" s="60"/>
      <c r="U66" s="5"/>
      <c r="V66" s="60"/>
      <c r="W66" s="60"/>
      <c r="X66" s="60"/>
      <c r="Y66" s="60"/>
      <c r="Z66" s="60"/>
      <c r="AA66" s="45"/>
      <c r="AB66" s="115"/>
      <c r="AC66" s="5"/>
    </row>
    <row r="68" spans="1:29">
      <c r="U68" s="104"/>
      <c r="V68" s="104"/>
    </row>
    <row r="69" spans="1:29">
      <c r="U69" s="104"/>
      <c r="V69" s="104"/>
    </row>
    <row r="70" spans="1:29">
      <c r="U70" s="104"/>
      <c r="V70" s="105"/>
    </row>
  </sheetData>
  <autoFilter ref="A8:AB65" xr:uid="{00000000-0001-0000-0000-000000000000}"/>
  <phoneticPr fontId="15" type="noConversion"/>
  <conditionalFormatting sqref="V4:Z4">
    <cfRule type="cellIs" dxfId="12" priority="1" operator="not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Z35"/>
  <sheetViews>
    <sheetView topLeftCell="A2" zoomScale="145" zoomScaleNormal="145" workbookViewId="0">
      <selection activeCell="E15" sqref="E15"/>
    </sheetView>
  </sheetViews>
  <sheetFormatPr defaultRowHeight="15"/>
  <cols>
    <col min="1" max="1" width="27.375" customWidth="1"/>
    <col min="9" max="9" width="10.875" bestFit="1" customWidth="1"/>
    <col min="12" max="13" width="9" customWidth="1"/>
    <col min="16" max="17" width="10" customWidth="1"/>
    <col min="18" max="20" width="9"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2.5">
      <c r="A3" s="1"/>
      <c r="B3" s="1"/>
      <c r="C3" s="1"/>
      <c r="D3" s="1"/>
      <c r="E3" s="1"/>
      <c r="F3" s="1"/>
      <c r="G3" s="1"/>
      <c r="H3" s="1"/>
      <c r="I3" s="1"/>
      <c r="J3" s="1"/>
      <c r="K3" s="1"/>
      <c r="L3" s="1"/>
      <c r="M3" s="1"/>
      <c r="N3" s="1"/>
      <c r="O3" s="1"/>
      <c r="P3" s="1"/>
      <c r="Q3" s="1"/>
      <c r="R3" s="1"/>
      <c r="S3" s="1"/>
      <c r="T3" s="1"/>
      <c r="U3" s="1"/>
      <c r="V3" s="1"/>
      <c r="W3" s="1"/>
      <c r="X3" s="1"/>
      <c r="Y3" s="1"/>
      <c r="Z3" s="1"/>
    </row>
    <row r="4" spans="1:26" ht="22.5">
      <c r="A4" s="1"/>
      <c r="B4" s="1"/>
      <c r="C4" s="1"/>
      <c r="D4" s="1"/>
      <c r="E4" s="1"/>
      <c r="F4" s="1"/>
      <c r="G4" s="1"/>
      <c r="H4" s="1"/>
      <c r="I4" s="1"/>
      <c r="J4" s="1"/>
      <c r="K4" s="1"/>
      <c r="L4" s="1"/>
      <c r="M4" s="1"/>
      <c r="N4" s="1"/>
      <c r="O4" s="1"/>
      <c r="P4" s="1"/>
      <c r="Q4" s="1"/>
      <c r="R4" s="1"/>
      <c r="S4" s="1"/>
      <c r="T4" s="1"/>
      <c r="U4" s="1"/>
      <c r="V4" s="1"/>
      <c r="W4" s="1"/>
      <c r="X4" s="1"/>
      <c r="Y4" s="1"/>
      <c r="Z4" s="1"/>
    </row>
    <row r="5" spans="1:26" ht="22.5">
      <c r="A5" s="1" t="e">
        <f ca="1">RIGHT(CELL("filename",A1),LEN(CELL("filename",A1))-FIND("]",CELL("filename",A1)))</f>
        <v>#VALUE!</v>
      </c>
      <c r="B5" s="1"/>
      <c r="C5" s="1"/>
      <c r="D5" s="1"/>
      <c r="E5" s="1"/>
      <c r="F5" s="1"/>
      <c r="G5" s="1"/>
      <c r="H5" s="1"/>
      <c r="I5" s="1"/>
      <c r="J5" s="1"/>
      <c r="K5" s="1"/>
      <c r="L5" s="1"/>
      <c r="M5" s="1"/>
      <c r="N5" s="1"/>
      <c r="O5" s="1"/>
      <c r="P5" s="1"/>
      <c r="Q5" s="1"/>
      <c r="R5" s="1"/>
      <c r="S5" s="1"/>
      <c r="T5" s="1"/>
      <c r="U5" s="1"/>
      <c r="V5" s="1"/>
      <c r="W5" s="1"/>
      <c r="X5" s="1"/>
      <c r="Y5" s="1"/>
      <c r="Z5" s="1"/>
    </row>
    <row r="6" spans="1:26" ht="19.5">
      <c r="A6" s="2" t="s">
        <v>126</v>
      </c>
      <c r="B6" s="2"/>
      <c r="C6" s="2"/>
      <c r="D6" s="2"/>
      <c r="E6" s="2"/>
      <c r="F6" s="2"/>
      <c r="G6" s="2"/>
      <c r="H6" s="2"/>
      <c r="I6" s="2"/>
      <c r="J6" s="2"/>
      <c r="K6" s="2"/>
      <c r="L6" s="2"/>
      <c r="M6" s="2"/>
      <c r="N6" s="2"/>
      <c r="O6" s="2"/>
      <c r="P6" s="2"/>
      <c r="Q6" s="2"/>
      <c r="R6" s="2"/>
      <c r="S6" s="2"/>
      <c r="T6" s="2"/>
      <c r="U6" s="2"/>
      <c r="V6" s="2"/>
      <c r="W6" s="2"/>
      <c r="X6" s="2"/>
      <c r="Y6" s="2"/>
      <c r="Z6" s="2"/>
    </row>
    <row r="7" spans="1:26" ht="16.5">
      <c r="A7" s="4" t="s">
        <v>127</v>
      </c>
      <c r="B7" s="4"/>
      <c r="C7" s="4"/>
      <c r="D7" s="4"/>
      <c r="E7" s="4"/>
      <c r="F7" s="4"/>
      <c r="G7" s="4"/>
      <c r="H7" s="4"/>
      <c r="I7" s="4"/>
      <c r="J7" s="4"/>
      <c r="K7" s="4"/>
      <c r="L7" s="4"/>
      <c r="M7" s="4"/>
      <c r="N7" s="4"/>
      <c r="O7" s="4"/>
      <c r="P7" s="4"/>
      <c r="Q7" s="4"/>
      <c r="R7" s="4"/>
      <c r="S7" s="4"/>
      <c r="T7" s="4"/>
      <c r="U7" s="4"/>
      <c r="V7" s="4"/>
      <c r="W7" s="4"/>
      <c r="X7" s="4"/>
      <c r="Y7" s="4"/>
      <c r="Z7" s="4"/>
    </row>
    <row r="8" spans="1:26">
      <c r="A8" s="3" t="s">
        <v>127</v>
      </c>
      <c r="B8" s="21" t="s">
        <v>128</v>
      </c>
      <c r="C8" s="21" t="s">
        <v>9</v>
      </c>
      <c r="D8" s="21" t="s">
        <v>10</v>
      </c>
      <c r="E8" s="9" t="str">
        <f>'2.1 Capex Real Dollars'!E8</f>
        <v>2020/21</v>
      </c>
      <c r="F8" s="9" t="str">
        <f>'2.1 Capex Real Dollars'!F8</f>
        <v>2021/22</v>
      </c>
      <c r="G8" s="9" t="str">
        <f>'2.1 Capex Real Dollars'!G8</f>
        <v>2022/23</v>
      </c>
      <c r="H8" s="9" t="str">
        <f>'2.1 Capex Real Dollars'!H8</f>
        <v>2023/24</v>
      </c>
      <c r="I8" s="9" t="str">
        <f>'2.1 Capex Real Dollars'!I8</f>
        <v>2024/25</v>
      </c>
      <c r="J8" s="9" t="str">
        <f>'2.1 Capex Real Dollars'!Q8</f>
        <v>2025/26</v>
      </c>
      <c r="K8" s="9" t="str">
        <f>'2.1 Capex Real Dollars'!R8</f>
        <v>2026/27</v>
      </c>
      <c r="L8" s="9" t="str">
        <f>'2.1 Capex Real Dollars'!S8</f>
        <v>2027/28</v>
      </c>
      <c r="M8" s="9" t="str">
        <f>'2.1 Capex Real Dollars'!T8</f>
        <v>2028/29</v>
      </c>
      <c r="N8" s="9" t="str">
        <f>'2.1 Capex Real Dollars'!U8</f>
        <v>2029/30</v>
      </c>
      <c r="O8" s="3"/>
      <c r="P8" s="3"/>
      <c r="Q8" s="3"/>
      <c r="R8" s="3"/>
      <c r="S8" s="3"/>
      <c r="T8" s="3"/>
      <c r="U8" s="3"/>
      <c r="V8" s="3"/>
      <c r="W8" s="3"/>
      <c r="X8" s="3"/>
      <c r="Y8" s="3"/>
      <c r="Z8" s="3"/>
    </row>
    <row r="9" spans="1:26">
      <c r="A9" s="5" t="s">
        <v>129</v>
      </c>
      <c r="B9" s="7">
        <v>43070</v>
      </c>
      <c r="C9" s="25">
        <f>DATE(YEAR(B9)+1,MONTH(B9),DAY(B9))</f>
        <v>43435</v>
      </c>
      <c r="D9" s="25">
        <f t="shared" ref="D9:N9" si="0">DATE(YEAR(C9)+1,MONTH(C9),DAY(C9))</f>
        <v>43800</v>
      </c>
      <c r="E9" s="25">
        <f t="shared" si="0"/>
        <v>44166</v>
      </c>
      <c r="F9" s="25">
        <f t="shared" si="0"/>
        <v>44531</v>
      </c>
      <c r="G9" s="25">
        <f t="shared" si="0"/>
        <v>44896</v>
      </c>
      <c r="H9" s="25">
        <f t="shared" si="0"/>
        <v>45261</v>
      </c>
      <c r="I9" s="25">
        <f t="shared" si="0"/>
        <v>45627</v>
      </c>
      <c r="J9" s="25">
        <f t="shared" si="0"/>
        <v>45992</v>
      </c>
      <c r="K9" s="25">
        <f t="shared" si="0"/>
        <v>46357</v>
      </c>
      <c r="L9" s="25">
        <f t="shared" si="0"/>
        <v>46722</v>
      </c>
      <c r="M9" s="25">
        <f t="shared" si="0"/>
        <v>47088</v>
      </c>
      <c r="N9" s="25">
        <f t="shared" si="0"/>
        <v>47453</v>
      </c>
      <c r="O9" s="5"/>
      <c r="P9" s="5"/>
      <c r="Q9" s="5"/>
      <c r="R9" s="5"/>
      <c r="S9" s="5"/>
      <c r="T9" s="5"/>
      <c r="U9" s="5"/>
      <c r="V9" s="5"/>
      <c r="W9" s="5"/>
      <c r="X9" s="5"/>
      <c r="Y9" s="5"/>
      <c r="Z9" s="5"/>
    </row>
    <row r="10" spans="1:26">
      <c r="B10" s="188" t="s">
        <v>130</v>
      </c>
      <c r="C10" s="188"/>
      <c r="D10" s="188"/>
      <c r="E10" s="188"/>
      <c r="F10" s="188"/>
      <c r="G10" s="188"/>
      <c r="H10" s="61"/>
      <c r="I10" s="62"/>
      <c r="J10" s="185" t="s">
        <v>131</v>
      </c>
      <c r="K10" s="186"/>
      <c r="L10" s="186"/>
      <c r="M10" s="186"/>
      <c r="N10" s="187"/>
    </row>
    <row r="11" spans="1:26">
      <c r="A11" s="5" t="s">
        <v>132</v>
      </c>
      <c r="B11" s="5">
        <v>112.1</v>
      </c>
      <c r="C11" s="5">
        <v>114.1</v>
      </c>
      <c r="D11" s="5">
        <v>116.2</v>
      </c>
      <c r="E11" s="5">
        <v>117.2</v>
      </c>
      <c r="F11" s="5">
        <v>121.3</v>
      </c>
      <c r="G11" s="5">
        <v>130.80000000000001</v>
      </c>
      <c r="H11" s="6">
        <f>G11*(1+H12)</f>
        <v>136.29360000000003</v>
      </c>
      <c r="I11" s="6">
        <f>H11*(1+I12)</f>
        <v>140.92758240000003</v>
      </c>
      <c r="J11" s="59" t="s">
        <v>106</v>
      </c>
      <c r="K11" s="59" t="s">
        <v>106</v>
      </c>
      <c r="L11" s="59" t="s">
        <v>106</v>
      </c>
      <c r="M11" s="59" t="s">
        <v>106</v>
      </c>
      <c r="N11" s="59" t="s">
        <v>106</v>
      </c>
      <c r="O11" s="5"/>
      <c r="P11" s="5"/>
      <c r="Q11" s="5"/>
      <c r="R11" s="5"/>
      <c r="S11" s="5"/>
      <c r="T11" s="5"/>
      <c r="U11" s="5"/>
      <c r="V11" s="5"/>
      <c r="W11" s="5"/>
      <c r="X11" s="5"/>
      <c r="Y11" s="5"/>
      <c r="Z11" s="5"/>
    </row>
    <row r="12" spans="1:26">
      <c r="A12" s="5" t="s">
        <v>133</v>
      </c>
      <c r="B12" s="8"/>
      <c r="C12" s="64">
        <f t="shared" ref="C12:G12" si="1">C11/B11-1</f>
        <v>1.7841213202497874E-2</v>
      </c>
      <c r="D12" s="64">
        <f t="shared" ref="D12" si="2">D11/C11-1</f>
        <v>1.8404907975460238E-2</v>
      </c>
      <c r="E12" s="64">
        <f t="shared" ref="E12" si="3">E11/D11-1</f>
        <v>8.6058519793459354E-3</v>
      </c>
      <c r="F12" s="64">
        <f t="shared" ref="F12" si="4">F11/E11-1</f>
        <v>3.4982935153583528E-2</v>
      </c>
      <c r="G12" s="64">
        <f t="shared" si="1"/>
        <v>7.8318219291014124E-2</v>
      </c>
      <c r="H12" s="63">
        <v>4.1999999999999996E-2</v>
      </c>
      <c r="I12" s="63">
        <v>3.4000000000000002E-2</v>
      </c>
      <c r="J12" s="63">
        <v>3.2199999999999999E-2</v>
      </c>
      <c r="K12" s="63">
        <v>3.04E-2</v>
      </c>
      <c r="L12" s="63">
        <v>2.86E-2</v>
      </c>
      <c r="M12" s="63">
        <v>2.6800000000000001E-2</v>
      </c>
      <c r="N12" s="63">
        <v>2.5000000000000001E-2</v>
      </c>
    </row>
    <row r="13" spans="1:26">
      <c r="A13" s="5" t="s">
        <v>134</v>
      </c>
      <c r="B13" s="6">
        <f t="shared" ref="B13:G14" si="5">C13*(1+C$12)</f>
        <v>1.2571595218554865</v>
      </c>
      <c r="C13" s="6">
        <f t="shared" si="5"/>
        <v>1.2351234215600353</v>
      </c>
      <c r="D13" s="6">
        <f t="shared" si="5"/>
        <v>1.2128019139414803</v>
      </c>
      <c r="E13" s="6">
        <f t="shared" si="5"/>
        <v>1.2024537747440274</v>
      </c>
      <c r="F13" s="6">
        <f t="shared" si="5"/>
        <v>1.1618102423742789</v>
      </c>
      <c r="G13" s="6">
        <f t="shared" si="5"/>
        <v>1.0774280000000001</v>
      </c>
      <c r="H13" s="6">
        <f>I13*(1+I$12)</f>
        <v>1.034</v>
      </c>
      <c r="I13" s="5">
        <v>1</v>
      </c>
      <c r="J13" s="6">
        <f t="shared" ref="J13:N14" si="6">I13/(1+J$12)</f>
        <v>0.96880449525285794</v>
      </c>
      <c r="K13" s="6">
        <f t="shared" si="6"/>
        <v>0.94022175393328611</v>
      </c>
      <c r="L13" s="6">
        <f t="shared" si="6"/>
        <v>0.91407909190480863</v>
      </c>
      <c r="M13" s="6">
        <f t="shared" si="6"/>
        <v>0.89022116469108759</v>
      </c>
      <c r="N13" s="6">
        <f t="shared" si="6"/>
        <v>0.86850845335715865</v>
      </c>
    </row>
    <row r="14" spans="1:26">
      <c r="A14" s="5" t="s">
        <v>135</v>
      </c>
      <c r="B14" s="6">
        <f t="shared" si="5"/>
        <v>1.0365744870651206</v>
      </c>
      <c r="C14" s="6">
        <f t="shared" si="5"/>
        <v>1.0184049079754602</v>
      </c>
      <c r="D14" s="5">
        <v>1</v>
      </c>
      <c r="E14" s="6">
        <f>D14/(1+E$12)</f>
        <v>0.99146757679180886</v>
      </c>
      <c r="F14" s="6">
        <f>E14/(1+F$12)</f>
        <v>0.95795548227535043</v>
      </c>
      <c r="G14" s="6">
        <f>F14/(1+G$12)</f>
        <v>0.88837920489296629</v>
      </c>
      <c r="H14" s="6">
        <f>G14/(1+H$12)</f>
        <v>0.85257121390879675</v>
      </c>
      <c r="I14" s="6">
        <f>H14/(1+I$12)</f>
        <v>0.82453695735860422</v>
      </c>
      <c r="J14" s="6">
        <f t="shared" si="6"/>
        <v>0.79881511079112988</v>
      </c>
      <c r="K14" s="6">
        <f t="shared" si="6"/>
        <v>0.77524758423052198</v>
      </c>
      <c r="L14" s="6">
        <f t="shared" si="6"/>
        <v>0.7536919932243068</v>
      </c>
      <c r="M14" s="6">
        <f t="shared" si="6"/>
        <v>0.73402025051062214</v>
      </c>
      <c r="N14" s="6">
        <f t="shared" si="6"/>
        <v>0.71611731757133879</v>
      </c>
    </row>
    <row r="15" spans="1:26">
      <c r="A15" s="5" t="s">
        <v>136</v>
      </c>
      <c r="B15" s="5"/>
      <c r="C15" s="5"/>
      <c r="D15" s="5">
        <v>1</v>
      </c>
      <c r="E15" s="5">
        <f t="shared" ref="E15:N15" si="7">D15*(1+E12)</f>
        <v>1.0086058519793459</v>
      </c>
      <c r="F15" s="5">
        <f t="shared" si="7"/>
        <v>1.0438898450946643</v>
      </c>
      <c r="G15" s="5">
        <f t="shared" si="7"/>
        <v>1.1256454388984509</v>
      </c>
      <c r="H15" s="5">
        <f t="shared" si="7"/>
        <v>1.1729225473321858</v>
      </c>
      <c r="I15" s="5">
        <f t="shared" si="7"/>
        <v>1.2128019139414801</v>
      </c>
      <c r="J15" s="5">
        <f t="shared" si="7"/>
        <v>1.2518541355703958</v>
      </c>
      <c r="K15" s="5">
        <f t="shared" si="7"/>
        <v>1.2899105012917358</v>
      </c>
      <c r="L15" s="5">
        <f t="shared" si="7"/>
        <v>1.3268019416286794</v>
      </c>
      <c r="M15" s="5">
        <f t="shared" si="7"/>
        <v>1.3623602336643279</v>
      </c>
      <c r="N15" s="5">
        <f t="shared" si="7"/>
        <v>1.396419239505936</v>
      </c>
    </row>
    <row r="19" spans="1:14" ht="16.5">
      <c r="A19" s="4" t="s">
        <v>137</v>
      </c>
      <c r="B19" s="4" t="s">
        <v>138</v>
      </c>
      <c r="C19" s="4" t="s">
        <v>139</v>
      </c>
      <c r="D19" s="4"/>
      <c r="E19" s="4"/>
      <c r="F19" s="4"/>
      <c r="G19" s="4"/>
      <c r="H19" s="4"/>
      <c r="I19" s="4"/>
      <c r="J19" s="4"/>
      <c r="K19" s="4"/>
      <c r="L19" s="4"/>
      <c r="M19" s="4"/>
      <c r="N19" s="4"/>
    </row>
    <row r="20" spans="1:14">
      <c r="A20" s="5" t="s">
        <v>25</v>
      </c>
      <c r="B20" s="5" t="s">
        <v>28</v>
      </c>
      <c r="C20" s="5" t="str">
        <f>A20</f>
        <v>Transmission Assets</v>
      </c>
    </row>
    <row r="21" spans="1:14">
      <c r="A21" s="5" t="s">
        <v>125</v>
      </c>
      <c r="B21" s="5" t="s">
        <v>140</v>
      </c>
      <c r="C21" s="5" t="str">
        <f t="shared" ref="C21:C24" si="8">A21</f>
        <v>Transmission Determination Costs</v>
      </c>
    </row>
    <row r="22" spans="1:14">
      <c r="A22" s="5" t="s">
        <v>57</v>
      </c>
      <c r="B22" s="5" t="s">
        <v>141</v>
      </c>
      <c r="C22" s="5" t="str">
        <f t="shared" si="8"/>
        <v>Easements</v>
      </c>
    </row>
    <row r="23" spans="1:14">
      <c r="A23" s="5" t="s">
        <v>142</v>
      </c>
      <c r="B23" s="5" t="s">
        <v>143</v>
      </c>
      <c r="C23" s="5" t="str">
        <f t="shared" si="8"/>
        <v>Land</v>
      </c>
    </row>
    <row r="24" spans="1:14">
      <c r="A24" s="5" t="s">
        <v>35</v>
      </c>
      <c r="C24" s="5" t="str">
        <f t="shared" si="8"/>
        <v>Buildings</v>
      </c>
    </row>
    <row r="27" spans="1:14" ht="16.5">
      <c r="A27" s="4" t="s">
        <v>144</v>
      </c>
      <c r="B27" s="4" t="str">
        <f t="shared" ref="B27:M27" si="9">B8</f>
        <v>2017/18</v>
      </c>
      <c r="C27" s="4" t="str">
        <f t="shared" si="9"/>
        <v>2018/19</v>
      </c>
      <c r="D27" s="4" t="str">
        <f t="shared" si="9"/>
        <v>2019/20</v>
      </c>
      <c r="E27" s="4" t="str">
        <f t="shared" si="9"/>
        <v>2020/21</v>
      </c>
      <c r="F27" s="4" t="str">
        <f t="shared" si="9"/>
        <v>2021/22</v>
      </c>
      <c r="G27" s="4" t="str">
        <f t="shared" si="9"/>
        <v>2022/23</v>
      </c>
      <c r="H27" s="4" t="str">
        <f t="shared" si="9"/>
        <v>2023/24</v>
      </c>
      <c r="I27" s="4" t="str">
        <f t="shared" si="9"/>
        <v>2024/25</v>
      </c>
      <c r="J27" s="4" t="str">
        <f t="shared" si="9"/>
        <v>2025/26</v>
      </c>
      <c r="K27" s="4" t="str">
        <f t="shared" si="9"/>
        <v>2026/27</v>
      </c>
      <c r="L27" s="4" t="str">
        <f t="shared" si="9"/>
        <v>2027/28</v>
      </c>
      <c r="M27" s="4" t="str">
        <f t="shared" si="9"/>
        <v>2028/29</v>
      </c>
      <c r="N27" s="4" t="str">
        <f>N8</f>
        <v>2029/30</v>
      </c>
    </row>
    <row r="29" spans="1:14">
      <c r="A29" t="s">
        <v>145</v>
      </c>
      <c r="H29" s="68">
        <v>-3.0489389896479757E-3</v>
      </c>
      <c r="I29" s="68">
        <v>9.4405713326946028E-3</v>
      </c>
      <c r="J29" s="68">
        <v>1.2900601357892505E-2</v>
      </c>
      <c r="K29" s="68">
        <v>1.0896269689429694E-2</v>
      </c>
      <c r="L29" s="68">
        <v>9.0163946033419151E-3</v>
      </c>
      <c r="M29" s="68">
        <v>1.1794995709093037E-2</v>
      </c>
      <c r="N29" s="68">
        <v>1.3299589817157464E-2</v>
      </c>
    </row>
    <row r="30" spans="1:14">
      <c r="A30" t="s">
        <v>146</v>
      </c>
      <c r="H30">
        <v>1</v>
      </c>
      <c r="I30" s="6">
        <f>H30*(1+I29)</f>
        <v>1.0094405713326946</v>
      </c>
      <c r="J30" s="6">
        <f t="shared" ref="J30:N30" si="10">I30*(1+J29)</f>
        <v>1.022462961737941</v>
      </c>
      <c r="K30" s="6">
        <f t="shared" si="10"/>
        <v>1.0336039939164907</v>
      </c>
      <c r="L30" s="6">
        <f t="shared" si="10"/>
        <v>1.042923375389232</v>
      </c>
      <c r="M30" s="6">
        <f t="shared" si="10"/>
        <v>1.0552246521268607</v>
      </c>
      <c r="N30" s="6">
        <f t="shared" si="10"/>
        <v>1.0692587071651007</v>
      </c>
    </row>
    <row r="32" spans="1:14" ht="16.5">
      <c r="A32" s="4" t="s">
        <v>147</v>
      </c>
      <c r="B32" s="4" t="str">
        <f t="shared" ref="B32:M32" si="11">B27</f>
        <v>2017/18</v>
      </c>
      <c r="C32" s="4" t="str">
        <f t="shared" si="11"/>
        <v>2018/19</v>
      </c>
      <c r="D32" s="4" t="str">
        <f t="shared" si="11"/>
        <v>2019/20</v>
      </c>
      <c r="E32" s="4" t="str">
        <f t="shared" si="11"/>
        <v>2020/21</v>
      </c>
      <c r="F32" s="4" t="str">
        <f t="shared" si="11"/>
        <v>2021/22</v>
      </c>
      <c r="G32" s="4" t="str">
        <f t="shared" si="11"/>
        <v>2022/23</v>
      </c>
      <c r="H32" s="4" t="str">
        <f t="shared" si="11"/>
        <v>2023/24</v>
      </c>
      <c r="I32" s="4" t="str">
        <f t="shared" si="11"/>
        <v>2024/25</v>
      </c>
      <c r="J32" s="4" t="str">
        <f t="shared" si="11"/>
        <v>2025/26</v>
      </c>
      <c r="K32" s="4" t="str">
        <f t="shared" si="11"/>
        <v>2026/27</v>
      </c>
      <c r="L32" s="4" t="str">
        <f t="shared" si="11"/>
        <v>2027/28</v>
      </c>
      <c r="M32" s="4" t="str">
        <f t="shared" si="11"/>
        <v>2028/29</v>
      </c>
      <c r="N32" s="4" t="str">
        <f>N27</f>
        <v>2029/30</v>
      </c>
    </row>
    <row r="34" spans="1:14">
      <c r="A34" t="s">
        <v>148</v>
      </c>
      <c r="B34" s="7">
        <v>43525</v>
      </c>
      <c r="C34" s="7">
        <v>43525</v>
      </c>
      <c r="D34" s="7">
        <v>43525</v>
      </c>
      <c r="E34" s="7">
        <v>43800</v>
      </c>
      <c r="F34" s="7">
        <v>43800</v>
      </c>
      <c r="G34" s="7">
        <v>43800</v>
      </c>
      <c r="H34" s="7">
        <v>43800</v>
      </c>
      <c r="I34" s="7">
        <v>43800</v>
      </c>
      <c r="N34" s="79"/>
    </row>
    <row r="35" spans="1:14">
      <c r="A35" t="s">
        <v>149</v>
      </c>
      <c r="B35" s="5">
        <v>114.1</v>
      </c>
      <c r="C35" s="5">
        <v>114.1</v>
      </c>
      <c r="D35" s="5">
        <v>114.1</v>
      </c>
      <c r="E35" s="33">
        <f>$E$11</f>
        <v>117.2</v>
      </c>
      <c r="F35" s="33">
        <f t="shared" ref="F35:I35" si="12">$E$11</f>
        <v>117.2</v>
      </c>
      <c r="G35" s="33">
        <f t="shared" si="12"/>
        <v>117.2</v>
      </c>
      <c r="H35" s="33">
        <f t="shared" si="12"/>
        <v>117.2</v>
      </c>
      <c r="I35" s="33">
        <f t="shared" si="12"/>
        <v>117.2</v>
      </c>
    </row>
  </sheetData>
  <mergeCells count="2">
    <mergeCell ref="J10:N10"/>
    <mergeCell ref="B10:G10"/>
  </mergeCells>
  <phoneticPr fontId="3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C00000"/>
  </sheetPr>
  <dimension ref="A1:N35"/>
  <sheetViews>
    <sheetView topLeftCell="A5" workbookViewId="0">
      <selection activeCell="G37" sqref="G37"/>
    </sheetView>
  </sheetViews>
  <sheetFormatPr defaultRowHeight="15"/>
  <cols>
    <col min="1" max="1" width="43.875" customWidth="1"/>
    <col min="2" max="2" width="9.875" customWidth="1"/>
    <col min="3" max="6" width="19" customWidth="1"/>
    <col min="7" max="7" width="10.375" customWidth="1"/>
    <col min="8" max="9" width="11.375" customWidth="1"/>
    <col min="10" max="10" width="10.375" customWidth="1"/>
    <col min="11" max="11" width="9.375" customWidth="1"/>
    <col min="12" max="12" width="11.375" customWidth="1"/>
  </cols>
  <sheetData>
    <row r="1" spans="1:14" ht="22.5">
      <c r="A1" s="1"/>
      <c r="B1" s="1"/>
      <c r="C1" s="1"/>
      <c r="D1" s="1"/>
      <c r="E1" s="1"/>
      <c r="F1" s="1"/>
      <c r="G1" s="1"/>
      <c r="H1" s="1"/>
      <c r="I1" s="1"/>
      <c r="J1" s="1"/>
      <c r="K1" s="1"/>
      <c r="L1" s="1"/>
      <c r="M1" s="1"/>
      <c r="N1" s="1"/>
    </row>
    <row r="2" spans="1:14" ht="22.5">
      <c r="A2" s="1"/>
      <c r="B2" s="1"/>
      <c r="C2" s="1"/>
      <c r="D2" s="1"/>
      <c r="E2" s="1"/>
      <c r="F2" s="1"/>
      <c r="G2" s="1"/>
      <c r="H2" s="1"/>
      <c r="I2" s="1"/>
      <c r="J2" s="1"/>
      <c r="K2" s="1"/>
      <c r="L2" s="1"/>
      <c r="M2" s="1"/>
      <c r="N2" s="1"/>
    </row>
    <row r="3" spans="1:14" ht="23.25" thickBot="1">
      <c r="A3" s="1"/>
      <c r="B3" s="1"/>
      <c r="C3" s="1"/>
      <c r="D3" s="1"/>
      <c r="E3" s="1"/>
      <c r="F3" s="1"/>
      <c r="G3" s="1"/>
      <c r="H3" s="1"/>
      <c r="I3" s="1"/>
      <c r="J3" s="1"/>
      <c r="K3" s="1"/>
      <c r="L3" s="1"/>
      <c r="M3" s="1"/>
      <c r="N3" s="1"/>
    </row>
    <row r="4" spans="1:14" ht="24" thickTop="1" thickBot="1">
      <c r="A4" s="1"/>
      <c r="B4" s="1"/>
      <c r="C4" s="1"/>
      <c r="D4" s="1"/>
      <c r="E4" s="1"/>
      <c r="F4" s="1"/>
      <c r="G4" s="37">
        <v>0</v>
      </c>
      <c r="H4" s="37">
        <v>0</v>
      </c>
      <c r="I4" s="37">
        <v>0</v>
      </c>
      <c r="J4" s="37">
        <v>0</v>
      </c>
      <c r="K4" s="37">
        <v>0</v>
      </c>
      <c r="L4" s="1"/>
      <c r="M4" s="1"/>
      <c r="N4" s="1"/>
    </row>
    <row r="5" spans="1:14" ht="23.25" thickTop="1">
      <c r="A5" s="1" t="e">
        <f ca="1">RIGHT(CELL("filename",A1),LEN(CELL("filename",A1))-FIND("]",CELL("filename",A1)))</f>
        <v>#VALUE!</v>
      </c>
      <c r="B5" s="1"/>
      <c r="C5" s="1"/>
      <c r="D5" s="1"/>
      <c r="E5" s="1"/>
      <c r="F5" s="1"/>
      <c r="G5" s="27">
        <f>SUM(G9:G9)</f>
        <v>4.8725651488499748</v>
      </c>
      <c r="H5" s="27">
        <f>SUM(H9:H9)</f>
        <v>6.5732515165121201</v>
      </c>
      <c r="I5" s="27">
        <f>SUM(I9:I9)</f>
        <v>5.4306567974545237</v>
      </c>
      <c r="J5" s="27">
        <f>SUM(J9:J9)</f>
        <v>4.9604388885912227</v>
      </c>
      <c r="K5" s="27">
        <f>SUM(K9:K9)</f>
        <v>3.8963656666381996</v>
      </c>
      <c r="L5" s="1"/>
      <c r="M5" s="1"/>
      <c r="N5" s="1"/>
    </row>
    <row r="6" spans="1:14" ht="19.5">
      <c r="A6" s="2" t="s">
        <v>150</v>
      </c>
      <c r="B6" s="2"/>
      <c r="C6" s="2"/>
      <c r="D6" s="2"/>
      <c r="E6" s="2"/>
      <c r="F6" s="2"/>
      <c r="G6" s="2"/>
      <c r="H6" s="2"/>
      <c r="I6" s="2"/>
      <c r="J6" s="2"/>
      <c r="K6" s="2"/>
      <c r="L6" s="2"/>
      <c r="M6" s="2"/>
      <c r="N6" s="2"/>
    </row>
    <row r="7" spans="1:14" ht="16.5">
      <c r="A7" s="4" t="s">
        <v>151</v>
      </c>
      <c r="B7" s="4"/>
      <c r="C7" s="4"/>
      <c r="D7" s="4"/>
      <c r="E7" s="4"/>
      <c r="F7" s="4"/>
      <c r="G7" s="4"/>
      <c r="H7" s="4"/>
      <c r="I7" s="4"/>
      <c r="J7" s="4"/>
      <c r="K7" s="4"/>
      <c r="L7" s="4"/>
      <c r="M7" s="4"/>
      <c r="N7" s="4"/>
    </row>
    <row r="8" spans="1:14">
      <c r="A8" s="3" t="s">
        <v>3</v>
      </c>
      <c r="B8" s="3" t="s">
        <v>4</v>
      </c>
      <c r="C8" s="3" t="s">
        <v>6</v>
      </c>
      <c r="D8" s="3" t="s">
        <v>7</v>
      </c>
      <c r="E8" s="3" t="str">
        <f>'1.0 Data'!G8</f>
        <v>2018/19</v>
      </c>
      <c r="F8" s="3" t="str">
        <f>'1.0 Data'!H8</f>
        <v>2019/20</v>
      </c>
      <c r="G8" s="3" t="str">
        <f>'1.0 Data'!I8</f>
        <v>2020/21</v>
      </c>
      <c r="H8" s="3" t="str">
        <f>'1.0 Data'!J8</f>
        <v>2021/22</v>
      </c>
      <c r="I8" s="3" t="str">
        <f>'1.0 Data'!K8</f>
        <v>2022/23</v>
      </c>
      <c r="J8" s="3" t="str">
        <f>'1.0 Data'!L8</f>
        <v>2023/24</v>
      </c>
      <c r="K8" s="3" t="str">
        <f>'1.0 Data'!M8</f>
        <v>2024/25</v>
      </c>
      <c r="L8" s="3" t="s">
        <v>16</v>
      </c>
      <c r="M8" s="3"/>
      <c r="N8" s="3"/>
    </row>
    <row r="9" spans="1:14">
      <c r="A9" s="5" t="s">
        <v>152</v>
      </c>
      <c r="B9" s="5" t="s">
        <v>153</v>
      </c>
      <c r="C9" s="5"/>
      <c r="D9" s="5"/>
      <c r="E9" s="5"/>
      <c r="F9" s="5"/>
      <c r="G9" s="5">
        <v>4.8725651488499748</v>
      </c>
      <c r="H9" s="5">
        <v>6.5732515165121201</v>
      </c>
      <c r="I9" s="5">
        <v>5.4306567974545237</v>
      </c>
      <c r="J9" s="5">
        <v>4.9604388885912227</v>
      </c>
      <c r="K9" s="5">
        <v>3.8963656666381996</v>
      </c>
      <c r="L9" s="81">
        <f t="shared" ref="L9" si="0">SUM(G9:K9)</f>
        <v>25.733278018046043</v>
      </c>
    </row>
    <row r="11" spans="1:14">
      <c r="A11" s="5" t="s">
        <v>154</v>
      </c>
      <c r="B11" s="5" t="s">
        <v>155</v>
      </c>
    </row>
    <row r="13" spans="1:14" ht="19.5">
      <c r="A13" s="2" t="s">
        <v>150</v>
      </c>
      <c r="B13" s="2"/>
      <c r="C13" s="2"/>
      <c r="D13" s="2"/>
      <c r="E13" s="2"/>
      <c r="F13" s="2"/>
      <c r="G13" s="2"/>
      <c r="H13" s="2"/>
      <c r="I13" s="2"/>
      <c r="J13" s="2"/>
      <c r="K13" s="2"/>
      <c r="L13" s="2"/>
      <c r="M13" s="2"/>
      <c r="N13" s="2"/>
    </row>
    <row r="14" spans="1:14" ht="16.5">
      <c r="A14" s="4" t="s">
        <v>156</v>
      </c>
      <c r="B14" s="4"/>
      <c r="C14" s="4"/>
      <c r="D14" s="4"/>
      <c r="E14" s="4"/>
      <c r="F14" s="4"/>
      <c r="G14" s="4"/>
      <c r="H14" s="4"/>
      <c r="I14" s="4"/>
      <c r="J14" s="4"/>
      <c r="K14" s="4"/>
      <c r="L14" s="4"/>
      <c r="M14" s="4"/>
      <c r="N14" s="4"/>
    </row>
    <row r="15" spans="1:14">
      <c r="A15" s="3" t="str">
        <f>A8</f>
        <v>Project</v>
      </c>
      <c r="B15" s="3" t="str">
        <f>B8</f>
        <v>$</v>
      </c>
      <c r="C15" s="3" t="str">
        <f>C8</f>
        <v>Asset Class</v>
      </c>
      <c r="D15" s="3" t="str">
        <f>D8</f>
        <v>Asset Driver</v>
      </c>
      <c r="E15" s="3" t="str">
        <f t="shared" ref="E15:F15" si="1">E8</f>
        <v>2018/19</v>
      </c>
      <c r="F15" s="3" t="str">
        <f t="shared" si="1"/>
        <v>2019/20</v>
      </c>
      <c r="G15" s="3" t="str">
        <f>G8</f>
        <v>2020/21</v>
      </c>
      <c r="H15" s="3" t="str">
        <f>H8</f>
        <v>2021/22</v>
      </c>
      <c r="I15" s="3" t="str">
        <f>I8</f>
        <v>2022/23</v>
      </c>
      <c r="J15" s="3" t="str">
        <f>J8</f>
        <v>2023/24</v>
      </c>
      <c r="K15" s="3" t="str">
        <f>K8</f>
        <v>2024/25</v>
      </c>
      <c r="L15" s="3" t="s">
        <v>16</v>
      </c>
    </row>
    <row r="16" spans="1:14">
      <c r="A16" s="5" t="s">
        <v>152</v>
      </c>
      <c r="B16" s="5" t="s">
        <v>157</v>
      </c>
      <c r="C16" s="5"/>
      <c r="D16" s="5"/>
      <c r="E16" s="5">
        <v>2.7</v>
      </c>
      <c r="F16" s="5">
        <v>13.7</v>
      </c>
      <c r="G16" s="5"/>
      <c r="H16" s="5"/>
      <c r="I16" s="5"/>
      <c r="J16" s="5"/>
      <c r="K16" s="5"/>
      <c r="L16" s="45">
        <f t="shared" ref="L16" si="2">SUM(G16:K16)</f>
        <v>0</v>
      </c>
    </row>
    <row r="18" spans="1:14">
      <c r="A18" s="5" t="s">
        <v>158</v>
      </c>
      <c r="B18" s="5" t="s">
        <v>159</v>
      </c>
    </row>
    <row r="21" spans="1:14" ht="19.5">
      <c r="A21" s="2" t="s">
        <v>160</v>
      </c>
      <c r="B21" s="2"/>
      <c r="C21" s="2"/>
      <c r="D21" s="2"/>
      <c r="E21" s="2"/>
      <c r="F21" s="2"/>
      <c r="G21" s="2"/>
      <c r="H21" s="2"/>
      <c r="I21" s="2"/>
      <c r="J21" s="2"/>
      <c r="K21" s="2"/>
      <c r="L21" s="2"/>
      <c r="M21" s="2"/>
      <c r="N21" s="2"/>
    </row>
    <row r="22" spans="1:14" ht="16.5">
      <c r="A22" s="26" t="str">
        <f>B24</f>
        <v>FY 25</v>
      </c>
      <c r="B22" s="4"/>
      <c r="C22" s="4"/>
      <c r="D22" s="4"/>
      <c r="E22" s="4"/>
      <c r="F22" s="4"/>
      <c r="G22" s="4"/>
      <c r="H22" s="4"/>
      <c r="I22" s="4"/>
      <c r="J22" s="4"/>
      <c r="K22" s="4"/>
      <c r="L22" s="4"/>
      <c r="M22" s="4"/>
      <c r="N22" s="4"/>
    </row>
    <row r="23" spans="1:14">
      <c r="A23" s="3" t="str">
        <f>A15</f>
        <v>Project</v>
      </c>
      <c r="B23" s="3" t="str">
        <f t="shared" ref="B23:L23" si="3">B15</f>
        <v>$</v>
      </c>
      <c r="C23" s="3" t="str">
        <f t="shared" si="3"/>
        <v>Asset Class</v>
      </c>
      <c r="D23" s="3" t="str">
        <f t="shared" si="3"/>
        <v>Asset Driver</v>
      </c>
      <c r="E23" s="3" t="str">
        <f t="shared" si="3"/>
        <v>2018/19</v>
      </c>
      <c r="F23" s="3" t="str">
        <f t="shared" si="3"/>
        <v>2019/20</v>
      </c>
      <c r="G23" s="3" t="str">
        <f t="shared" si="3"/>
        <v>2020/21</v>
      </c>
      <c r="H23" s="3" t="str">
        <f t="shared" si="3"/>
        <v>2021/22</v>
      </c>
      <c r="I23" s="3" t="str">
        <f t="shared" si="3"/>
        <v>2022/23</v>
      </c>
      <c r="J23" s="3" t="str">
        <f t="shared" si="3"/>
        <v>2023/24</v>
      </c>
      <c r="K23" s="3" t="str">
        <f t="shared" si="3"/>
        <v>2024/25</v>
      </c>
      <c r="L23" s="3" t="str">
        <f t="shared" si="3"/>
        <v>Total</v>
      </c>
    </row>
    <row r="24" spans="1:14">
      <c r="A24" s="33" t="str">
        <f>A16</f>
        <v>AER Allowance</v>
      </c>
      <c r="B24" s="5" t="s">
        <v>161</v>
      </c>
      <c r="C24" s="33">
        <f>C16</f>
        <v>0</v>
      </c>
      <c r="D24" s="33">
        <f>D16</f>
        <v>0</v>
      </c>
      <c r="E24" s="6">
        <v>3.334833238212096</v>
      </c>
      <c r="F24" s="6">
        <v>16.921190875372485</v>
      </c>
      <c r="G24" s="6">
        <v>6.0182193384217646</v>
      </c>
      <c r="H24" s="6">
        <v>7.9040310983719024</v>
      </c>
      <c r="I24" s="6">
        <v>6.5301137654385037</v>
      </c>
      <c r="J24" s="6">
        <v>5.9646984659735844</v>
      </c>
      <c r="K24" s="6">
        <v>4.6851996036321326</v>
      </c>
      <c r="L24" s="45">
        <f>SUM(G24:K24)</f>
        <v>31.102262271837887</v>
      </c>
    </row>
    <row r="27" spans="1:14" ht="19.5">
      <c r="A27" s="2" t="s">
        <v>162</v>
      </c>
      <c r="B27" s="2"/>
      <c r="C27" s="2"/>
      <c r="D27" s="2"/>
      <c r="E27" s="2"/>
      <c r="F27" s="2"/>
      <c r="G27" s="2"/>
      <c r="H27" s="2"/>
      <c r="I27" s="2"/>
      <c r="J27" s="2"/>
      <c r="K27" s="2"/>
      <c r="L27" s="2"/>
      <c r="M27" s="2"/>
      <c r="N27" s="2"/>
    </row>
    <row r="28" spans="1:14" ht="16.5">
      <c r="A28" s="4" t="s">
        <v>163</v>
      </c>
      <c r="B28" s="4" t="str">
        <f>B23</f>
        <v>$</v>
      </c>
      <c r="C28" s="4" t="str">
        <f t="shared" ref="C28:L28" si="4">C23</f>
        <v>Asset Class</v>
      </c>
      <c r="D28" s="4" t="str">
        <f t="shared" si="4"/>
        <v>Asset Driver</v>
      </c>
      <c r="E28" s="4" t="str">
        <f t="shared" si="4"/>
        <v>2018/19</v>
      </c>
      <c r="F28" s="4" t="str">
        <f t="shared" si="4"/>
        <v>2019/20</v>
      </c>
      <c r="G28" s="4" t="str">
        <f t="shared" si="4"/>
        <v>2020/21</v>
      </c>
      <c r="H28" s="4" t="str">
        <f t="shared" si="4"/>
        <v>2021/22</v>
      </c>
      <c r="I28" s="4" t="str">
        <f t="shared" si="4"/>
        <v>2022/23</v>
      </c>
      <c r="J28" s="4" t="str">
        <f t="shared" si="4"/>
        <v>2023/24</v>
      </c>
      <c r="K28" s="4" t="str">
        <f t="shared" si="4"/>
        <v>2024/25</v>
      </c>
      <c r="L28" s="4" t="str">
        <f t="shared" si="4"/>
        <v>Total</v>
      </c>
      <c r="M28" s="4"/>
      <c r="N28" s="4"/>
    </row>
    <row r="29" spans="1:14">
      <c r="A29" s="5" t="s">
        <v>164</v>
      </c>
      <c r="B29" s="5" t="s">
        <v>153</v>
      </c>
      <c r="C29" s="5"/>
      <c r="D29" s="5"/>
      <c r="E29" s="5"/>
      <c r="F29" s="5"/>
      <c r="G29" s="5">
        <v>1.7280253212189056</v>
      </c>
      <c r="H29" s="5">
        <v>3.4560506424378112</v>
      </c>
      <c r="I29" s="5">
        <v>3.4560506424378112</v>
      </c>
      <c r="J29" s="5">
        <v>3.4560506424378112</v>
      </c>
      <c r="K29" s="5">
        <v>3.4560506424378112</v>
      </c>
      <c r="L29" s="81">
        <f t="shared" ref="L29" si="5">SUM(G29:K29)</f>
        <v>15.552227890970149</v>
      </c>
    </row>
    <row r="31" spans="1:14">
      <c r="A31" s="6" t="s">
        <v>164</v>
      </c>
      <c r="B31" s="6" t="s">
        <v>161</v>
      </c>
      <c r="C31" s="6"/>
      <c r="D31" s="6"/>
      <c r="E31" s="6"/>
      <c r="F31" s="6"/>
      <c r="G31" s="6">
        <v>2.0957524169136299</v>
      </c>
      <c r="H31" s="6">
        <v>4.1915048338272598</v>
      </c>
      <c r="I31" s="6">
        <v>4.1915048338272598</v>
      </c>
      <c r="J31" s="6">
        <v>4.1915048338272598</v>
      </c>
      <c r="K31" s="6">
        <v>4.1915048338272598</v>
      </c>
      <c r="L31" s="81">
        <f>SUM(G31:K31)</f>
        <v>18.861771752222669</v>
      </c>
    </row>
    <row r="34" spans="1:11">
      <c r="A34" s="5" t="s">
        <v>165</v>
      </c>
      <c r="B34" s="5"/>
      <c r="C34" s="5"/>
      <c r="D34" s="5"/>
      <c r="E34" s="5"/>
      <c r="F34" s="82">
        <v>2.3370936398920517E-2</v>
      </c>
      <c r="G34" s="82">
        <v>2.3370936398920517E-2</v>
      </c>
      <c r="H34" s="82">
        <v>2.3370936398920517E-2</v>
      </c>
      <c r="I34" s="82">
        <v>2.3370936398920517E-2</v>
      </c>
      <c r="J34" s="82">
        <v>2.3370936398920517E-2</v>
      </c>
      <c r="K34" s="82">
        <v>2.3370936398920517E-2</v>
      </c>
    </row>
    <row r="35" spans="1:11">
      <c r="E35">
        <v>1</v>
      </c>
      <c r="F35" s="5">
        <v>1.0233709363989205</v>
      </c>
      <c r="G35" s="5">
        <v>1.0472880734660035</v>
      </c>
      <c r="H35" s="5">
        <v>1.0717641764223254</v>
      </c>
      <c r="I35" s="5">
        <v>1.0968123088241331</v>
      </c>
      <c r="J35" s="5">
        <v>1.122445839535215</v>
      </c>
      <c r="K35" s="5">
        <v>1.1486784498622256</v>
      </c>
    </row>
  </sheetData>
  <phoneticPr fontId="30" type="noConversion"/>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A205"/>
  <sheetViews>
    <sheetView topLeftCell="E1" zoomScale="130" zoomScaleNormal="130" workbookViewId="0">
      <selection activeCell="I9" sqref="I9"/>
    </sheetView>
  </sheetViews>
  <sheetFormatPr defaultRowHeight="15"/>
  <cols>
    <col min="1" max="1" width="33.375" customWidth="1"/>
    <col min="3" max="3" width="13" customWidth="1"/>
    <col min="5" max="7" width="12" bestFit="1" customWidth="1"/>
    <col min="8" max="8" width="13.375" bestFit="1" customWidth="1"/>
    <col min="9" max="9" width="12" bestFit="1" customWidth="1"/>
    <col min="10" max="10" width="13.375" bestFit="1" customWidth="1"/>
    <col min="11" max="11" width="7.375" customWidth="1"/>
    <col min="12" max="12" width="38.375" customWidth="1"/>
    <col min="13" max="13" width="7" bestFit="1" customWidth="1"/>
    <col min="14" max="14" width="23.875" customWidth="1"/>
    <col min="15" max="15" width="21.875" bestFit="1" customWidth="1"/>
    <col min="16" max="16" width="20" bestFit="1" customWidth="1"/>
    <col min="17" max="17" width="13.375" bestFit="1" customWidth="1"/>
    <col min="18" max="21" width="12" bestFit="1" customWidth="1"/>
    <col min="22" max="22" width="13.375" bestFit="1"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3.25" thickBot="1">
      <c r="A3" s="1"/>
      <c r="B3" s="1"/>
      <c r="C3" s="1"/>
      <c r="D3" s="1"/>
      <c r="E3" s="1"/>
      <c r="F3" s="1"/>
      <c r="G3" s="1"/>
      <c r="H3" s="1"/>
      <c r="I3" s="1"/>
      <c r="J3" s="1"/>
      <c r="K3" s="1"/>
      <c r="L3" s="1"/>
      <c r="M3" s="1"/>
      <c r="N3" s="1"/>
      <c r="O3" s="1"/>
      <c r="P3" s="1"/>
      <c r="Q3" s="73"/>
      <c r="R3" s="73"/>
      <c r="S3" s="73"/>
      <c r="T3" s="73"/>
      <c r="U3" s="73"/>
      <c r="V3" s="1"/>
      <c r="W3" s="1"/>
      <c r="X3" s="1"/>
      <c r="Y3" s="1"/>
      <c r="Z3" s="1"/>
    </row>
    <row r="4" spans="1:26" ht="24" thickTop="1" thickBot="1">
      <c r="A4" s="1"/>
      <c r="B4" s="1"/>
      <c r="C4" s="1"/>
      <c r="D4" s="1"/>
      <c r="E4" s="38">
        <f>'1.0 Data'!I5*'1.1 Input'!E13-E5</f>
        <v>0</v>
      </c>
      <c r="F4" s="38">
        <f>'1.0 Data'!J5*'1.1 Input'!F13-F5</f>
        <v>0</v>
      </c>
      <c r="G4" s="38">
        <f>'1.0 Data'!K5*'1.1 Input'!G13-G5</f>
        <v>0</v>
      </c>
      <c r="H4" s="38">
        <f>'1.0 Data'!L5*'1.1 Input'!H13-H5</f>
        <v>0</v>
      </c>
      <c r="I4" s="38">
        <f>'1.0 Data'!M5*'1.1 Input'!I13-I5</f>
        <v>0</v>
      </c>
      <c r="J4" s="38">
        <f>SUM(E4:I4)</f>
        <v>0</v>
      </c>
      <c r="K4" s="31"/>
      <c r="L4" s="1"/>
      <c r="M4" s="1"/>
      <c r="N4" s="1"/>
      <c r="O4" s="1"/>
      <c r="P4" s="1"/>
      <c r="Q4" s="72">
        <f>'2.0 Escalation'!AL5*'1.1 Input'!$H$13-Q5</f>
        <v>0</v>
      </c>
      <c r="R4" s="72">
        <f ca="1">('2.0 Escalation'!AM5-'2.0 Escalation'!AM63)*'1.1 Input'!$H$13-R5</f>
        <v>0</v>
      </c>
      <c r="S4" s="72">
        <f ca="1">'2.0 Escalation'!AN5*'1.1 Input'!$H$13-S5</f>
        <v>0</v>
      </c>
      <c r="T4" s="72">
        <f ca="1">'2.0 Escalation'!AO5*'1.1 Input'!$H$13-T5</f>
        <v>0</v>
      </c>
      <c r="U4" s="72">
        <f ca="1">'2.0 Escalation'!AP5*'1.1 Input'!$H$13-U5</f>
        <v>0</v>
      </c>
      <c r="V4" s="1"/>
      <c r="W4" s="1"/>
      <c r="X4" s="1"/>
      <c r="Y4" s="1"/>
      <c r="Z4" s="1"/>
    </row>
    <row r="5" spans="1:26" ht="23.25" thickTop="1">
      <c r="A5" s="1" t="e">
        <f ca="1">RIGHT(CELL("filename",A1),LEN(CELL("filename",A1))-FIND("]",CELL("filename",A1)))</f>
        <v>#VALUE!</v>
      </c>
      <c r="B5" s="1"/>
      <c r="C5" s="1"/>
      <c r="D5" s="1"/>
      <c r="E5" s="32">
        <f>SUM(E9:E66)</f>
        <v>2463006.1766451197</v>
      </c>
      <c r="F5" s="32">
        <f>SUM(F9:F66)</f>
        <v>2984249.617290644</v>
      </c>
      <c r="G5" s="32">
        <f>SUM(G9:G66)</f>
        <v>8138051.2999711204</v>
      </c>
      <c r="H5" s="32">
        <f>SUM(H9:H66)</f>
        <v>12532198.496400001</v>
      </c>
      <c r="I5" s="32">
        <f>SUM(I9:I66)</f>
        <v>4779443.3493066747</v>
      </c>
      <c r="J5" s="32">
        <f>SUM(E5:I5)</f>
        <v>30896948.939613558</v>
      </c>
      <c r="K5" s="31"/>
      <c r="L5" s="75">
        <v>0</v>
      </c>
      <c r="M5" s="1"/>
      <c r="N5" s="1"/>
      <c r="O5" s="1"/>
      <c r="P5" s="1"/>
      <c r="Q5" s="27">
        <f>SUM(Q9:Q66)</f>
        <v>13805901.505692476</v>
      </c>
      <c r="R5" s="27">
        <f ca="1">SUM(R9:R66)</f>
        <v>4533638.6964198416</v>
      </c>
      <c r="S5" s="27">
        <f ca="1">SUM(S9:S66)</f>
        <v>4200392.4382463237</v>
      </c>
      <c r="T5" s="27">
        <f ca="1">SUM(T9:T66)</f>
        <v>3898390.3966009794</v>
      </c>
      <c r="U5" s="27">
        <f ca="1">SUM(U9:U66)</f>
        <v>7363448.1841897136</v>
      </c>
      <c r="V5" s="27">
        <f t="shared" ref="V5" ca="1" si="0">SUM(V9:V66)</f>
        <v>33801771.22114934</v>
      </c>
      <c r="W5" s="1"/>
      <c r="X5" s="1"/>
      <c r="Y5" s="1"/>
      <c r="Z5" s="1"/>
    </row>
    <row r="6" spans="1:26" ht="19.5">
      <c r="A6" s="2" t="s">
        <v>166</v>
      </c>
      <c r="B6" s="2"/>
      <c r="C6" s="2"/>
      <c r="D6" s="2"/>
      <c r="E6" s="2"/>
      <c r="F6" s="2"/>
      <c r="G6" s="2"/>
      <c r="H6" s="2"/>
      <c r="I6" s="2"/>
      <c r="J6" s="2"/>
      <c r="K6" s="2"/>
      <c r="L6" s="2"/>
      <c r="M6" s="2"/>
      <c r="N6" s="2"/>
      <c r="O6" s="2"/>
      <c r="P6" s="2"/>
      <c r="Q6" s="2"/>
      <c r="R6" s="2"/>
      <c r="S6" s="2"/>
      <c r="T6" s="2"/>
      <c r="U6" s="2"/>
      <c r="V6" s="2"/>
      <c r="W6" s="2"/>
      <c r="X6" s="2"/>
      <c r="Y6" s="2"/>
      <c r="Z6" s="2"/>
    </row>
    <row r="7" spans="1:26" ht="16.5">
      <c r="A7" s="4" t="s">
        <v>167</v>
      </c>
      <c r="B7" s="4"/>
      <c r="C7" s="4"/>
      <c r="D7" s="4"/>
      <c r="E7" s="4"/>
      <c r="F7" s="4"/>
      <c r="G7" s="4"/>
      <c r="H7" s="4"/>
      <c r="I7" s="4"/>
      <c r="J7" s="4"/>
      <c r="K7" s="4"/>
      <c r="L7" s="4" t="s">
        <v>168</v>
      </c>
      <c r="M7" s="4"/>
      <c r="N7" s="4"/>
      <c r="O7" s="4"/>
      <c r="P7" s="4"/>
      <c r="Q7" s="4"/>
      <c r="R7" s="4"/>
      <c r="S7" s="4"/>
      <c r="T7" s="4"/>
      <c r="U7" s="4"/>
      <c r="V7" s="4"/>
      <c r="W7" s="4"/>
      <c r="X7" s="4"/>
      <c r="Y7" s="4"/>
      <c r="Z7" s="4"/>
    </row>
    <row r="8" spans="1:26">
      <c r="A8" s="3" t="s">
        <v>3</v>
      </c>
      <c r="B8" s="3" t="s">
        <v>4</v>
      </c>
      <c r="C8" s="3" t="s">
        <v>6</v>
      </c>
      <c r="D8" s="3" t="s">
        <v>7</v>
      </c>
      <c r="E8" s="3" t="str">
        <f>'1.0 Data'!I8</f>
        <v>2020/21</v>
      </c>
      <c r="F8" s="3" t="str">
        <f>'1.0 Data'!J8</f>
        <v>2021/22</v>
      </c>
      <c r="G8" s="3" t="str">
        <f>'1.0 Data'!K8</f>
        <v>2022/23</v>
      </c>
      <c r="H8" s="3" t="str">
        <f>'1.0 Data'!L8</f>
        <v>2023/24</v>
      </c>
      <c r="I8" s="3" t="str">
        <f>'1.0 Data'!M8</f>
        <v>2024/25</v>
      </c>
      <c r="J8" s="3" t="str">
        <f>'1.0 Data'!N8</f>
        <v>Total</v>
      </c>
      <c r="K8" s="3"/>
      <c r="L8" s="3" t="s">
        <v>3</v>
      </c>
      <c r="M8" s="3" t="s">
        <v>169</v>
      </c>
      <c r="N8" s="3" t="str">
        <f>C8</f>
        <v>Asset Class</v>
      </c>
      <c r="O8" s="3" t="str">
        <f>D8</f>
        <v>Asset Driver</v>
      </c>
      <c r="P8" s="3" t="s">
        <v>8</v>
      </c>
      <c r="Q8" s="3" t="str">
        <f>'1.0 Data'!V8</f>
        <v>2025/26</v>
      </c>
      <c r="R8" s="3" t="str">
        <f>'1.0 Data'!W8</f>
        <v>2026/27</v>
      </c>
      <c r="S8" s="3" t="str">
        <f>'1.0 Data'!X8</f>
        <v>2027/28</v>
      </c>
      <c r="T8" s="3" t="str">
        <f>'1.0 Data'!Y8</f>
        <v>2028/29</v>
      </c>
      <c r="U8" s="3" t="str">
        <f>'1.0 Data'!Z8</f>
        <v>2029/30</v>
      </c>
      <c r="V8" s="3" t="str">
        <f>'1.0 Data'!AA8</f>
        <v>Total</v>
      </c>
      <c r="W8" s="3"/>
      <c r="X8" s="3"/>
      <c r="Y8" s="3"/>
      <c r="Z8" s="3"/>
    </row>
    <row r="9" spans="1:26">
      <c r="A9" s="6" t="str">
        <f>'1.0 Data'!A9</f>
        <v>Arc Flash Study and Mitigation</v>
      </c>
      <c r="B9" s="14" t="str">
        <f t="shared" ref="B9:B27" si="1">IF(A9="","",$I$8)</f>
        <v>2024/25</v>
      </c>
      <c r="C9" s="6" t="str" cm="1">
        <f t="array" ref="C9">_xlfn.IFNA(INDEX('1.0 Data'!$D$9:$D$61,MATCH(A9,'1.0 Data'!$A$9:$A$61,0),0),"")</f>
        <v>Transmission Assets</v>
      </c>
      <c r="D9" s="6" t="str">
        <f>'1.0 Data'!E9</f>
        <v>Replacement expenditure</v>
      </c>
      <c r="E9" s="65">
        <f>'2.2 Capex Nominal Dollars'!E9*'1.1 Input'!E$13</f>
        <v>0</v>
      </c>
      <c r="F9" s="65">
        <f>'2.2 Capex Nominal Dollars'!F9*'1.1 Input'!F$13</f>
        <v>0</v>
      </c>
      <c r="G9" s="65">
        <f>'2.2 Capex Nominal Dollars'!G9*'1.1 Input'!G$13</f>
        <v>0</v>
      </c>
      <c r="H9" s="65">
        <f>'2.2 Capex Nominal Dollars'!H9*'1.1 Input'!H$13</f>
        <v>0</v>
      </c>
      <c r="I9" s="65">
        <f>'2.2 Capex Nominal Dollars'!I9*'1.1 Input'!I$13</f>
        <v>47868.306851725865</v>
      </c>
      <c r="J9" s="45">
        <f>SUM(E9:I9)</f>
        <v>47868.306851725865</v>
      </c>
      <c r="L9" s="6" t="str" cm="1">
        <f t="array" ref="L9">_xlfn.IFNA(INDEX('2.0 Escalation'!$AH$9:$AH$65,MATCH(0,COUNTIF($L$1:L8,'2.0 Escalation'!$AH$9:$AH$65),0)),"")</f>
        <v>AC Isolators / Earth Switches</v>
      </c>
      <c r="M9" s="14" t="str">
        <f>IF(L9="","",$I$8)</f>
        <v>2024/25</v>
      </c>
      <c r="N9" s="6" t="str" cm="1">
        <f t="array" ref="N9">_xlfn.IFNA(INDEX('2.0 Escalation'!$AK$9:$AK$66,MATCH($L9,'1.0 Data'!$P$9:$P$66,0),0),"")</f>
        <v>Transmission Assets</v>
      </c>
      <c r="O9" s="6" t="str" cm="1">
        <f t="array" ref="O9">_xlfn.IFNA(INDEX('1.0 Data'!$U$9:$U$66,MATCH($L9,'1.0 Data'!$P$9:$P$66,0),0),"")</f>
        <v>Replacement expenditure</v>
      </c>
      <c r="P9" s="6" t="str" cm="1">
        <f t="array" ref="P9">_xlfn.IFNA(INDEX('2.0 Escalation'!$AJ$9:$AJ$66,MATCH($L9,'1.0 Data'!$P$9:$P$66,0),0),"")</f>
        <v>Safety and Protection</v>
      </c>
      <c r="Q9" s="6">
        <f>SUMIF('2.0 Escalation'!$AH$9:$AH$65,$L9,'2.0 Escalation'!AL$9:AL$65)*'1.1 Input'!$H$13</f>
        <v>280755.81600000005</v>
      </c>
      <c r="R9" s="6">
        <f>SUMIF('2.0 Escalation'!$AH$9:$AH$65,$L9,'2.0 Escalation'!AM$9:AM$65)*'1.1 Input'!$H$13</f>
        <v>0</v>
      </c>
      <c r="S9" s="6">
        <f>SUMIF('2.0 Escalation'!$AH$9:$AH$65,$L9,'2.0 Escalation'!AN$9:AN$65)*'1.1 Input'!$H$13</f>
        <v>0</v>
      </c>
      <c r="T9" s="6">
        <f>SUMIF('2.0 Escalation'!$AH$9:$AH$65,$L9,'2.0 Escalation'!AO$9:AO$65)*'1.1 Input'!$H$13</f>
        <v>0</v>
      </c>
      <c r="U9" s="6">
        <f>SUMIF('2.0 Escalation'!$AH$9:$AH$65,$L9,'2.0 Escalation'!AP$9:AP$65)*'1.1 Input'!$H$13</f>
        <v>0</v>
      </c>
      <c r="V9" s="45">
        <f>SUM(Q9:U9)</f>
        <v>280755.81600000005</v>
      </c>
    </row>
    <row r="10" spans="1:26">
      <c r="A10" s="6" t="str">
        <f>'1.0 Data'!A10</f>
        <v>Asset Integration - AI3 (Placeholder)</v>
      </c>
      <c r="B10" s="14" t="str">
        <f t="shared" si="1"/>
        <v>2024/25</v>
      </c>
      <c r="C10" s="6" t="str" cm="1">
        <f t="array" ref="C10">_xlfn.IFNA(INDEX('1.0 Data'!$D$9:$D$61,MATCH(A10,'1.0 Data'!$A$9:$A$61,0),0),"")</f>
        <v>Transmission Assets</v>
      </c>
      <c r="D10" s="6" t="str">
        <f>'1.0 Data'!E10</f>
        <v>Replacement expenditure</v>
      </c>
      <c r="E10" s="65">
        <f>'2.2 Capex Nominal Dollars'!E10*'1.1 Input'!E$13</f>
        <v>0</v>
      </c>
      <c r="F10" s="65">
        <f>'2.2 Capex Nominal Dollars'!F10*'1.1 Input'!F$13</f>
        <v>0</v>
      </c>
      <c r="G10" s="65">
        <f>'2.2 Capex Nominal Dollars'!G10*'1.1 Input'!G$13</f>
        <v>0</v>
      </c>
      <c r="H10" s="65">
        <f>'2.2 Capex Nominal Dollars'!H10*'1.1 Input'!H$13</f>
        <v>39809</v>
      </c>
      <c r="I10" s="65">
        <f>'2.2 Capex Nominal Dollars'!I10*'1.1 Input'!I$13</f>
        <v>66200.849901323003</v>
      </c>
      <c r="J10" s="45">
        <f t="shared" ref="J10:J27" si="2">SUM(E10:I10)</f>
        <v>106009.849901323</v>
      </c>
      <c r="L10" s="6" t="str" cm="1">
        <f t="array" ref="L10">_xlfn.IFNA(INDEX('2.0 Escalation'!$AH$9:$AH$65,MATCH(0,COUNTIF($L$1:L9,'2.0 Escalation'!$AH$9:$AH$65),0)),"")</f>
        <v>Air Inlet Sound &amp; Proofing Replacement</v>
      </c>
      <c r="M10" s="14" t="str">
        <f t="shared" ref="M10:M18" si="3">IF(L10="","",$I$8)</f>
        <v>2024/25</v>
      </c>
      <c r="N10" s="6" t="str" cm="1">
        <f t="array" ref="N10">_xlfn.IFNA(INDEX('2.0 Escalation'!$AK$9:$AK$66,MATCH($L10,'1.0 Data'!$P$9:$P$66,0),0),"")</f>
        <v>Transmission Assets</v>
      </c>
      <c r="O10" s="6" t="str" cm="1">
        <f t="array" ref="O10">_xlfn.IFNA(INDEX('1.0 Data'!$U$9:$U$66,MATCH($L10,'1.0 Data'!$P$9:$P$66,0),0),"")</f>
        <v>Replacement expenditure</v>
      </c>
      <c r="P10" s="6" t="str" cm="1">
        <f t="array" ref="P10">_xlfn.IFNA(INDEX('2.0 Escalation'!$AJ$9:$AJ$66,MATCH($L10,'1.0 Data'!$P$9:$P$66,0),0),"")</f>
        <v>Major Maintenance</v>
      </c>
      <c r="Q10" s="6">
        <f>SUMIF('2.0 Escalation'!$AH$9:$AH$65,$L10,'2.0 Escalation'!AL$9:AL$65)*'1.1 Input'!$H$13</f>
        <v>0</v>
      </c>
      <c r="R10" s="6">
        <f>SUMIF('2.0 Escalation'!$AH$9:$AH$65,$L10,'2.0 Escalation'!AM$9:AM$65)*'1.1 Input'!$H$13</f>
        <v>0</v>
      </c>
      <c r="S10" s="6">
        <f>SUMIF('2.0 Escalation'!$AH$9:$AH$65,$L10,'2.0 Escalation'!AN$9:AN$65)*'1.1 Input'!$H$13</f>
        <v>0</v>
      </c>
      <c r="T10" s="6">
        <f>SUMIF('2.0 Escalation'!$AH$9:$AH$65,$L10,'2.0 Escalation'!AO$9:AO$65)*'1.1 Input'!$H$13</f>
        <v>0</v>
      </c>
      <c r="U10" s="6">
        <f>SUMIF('2.0 Escalation'!$AH$9:$AH$65,$L10,'2.0 Escalation'!AP$9:AP$65)*'1.1 Input'!$H$13</f>
        <v>0</v>
      </c>
      <c r="V10" s="45">
        <f t="shared" ref="V10:V18" si="4">SUM(Q10:U10)</f>
        <v>0</v>
      </c>
    </row>
    <row r="11" spans="1:26">
      <c r="A11" s="6" t="str">
        <f>'1.0 Data'!A11</f>
        <v>Asset Integration - CMMS Uplift (Placeholder)</v>
      </c>
      <c r="B11" s="14" t="str">
        <f t="shared" si="1"/>
        <v>2024/25</v>
      </c>
      <c r="C11" s="6" t="str" cm="1">
        <f t="array" ref="C11">_xlfn.IFNA(INDEX('1.0 Data'!$D$9:$D$61,MATCH(A11,'1.0 Data'!$A$9:$A$61,0),0),"")</f>
        <v>Transmission Assets</v>
      </c>
      <c r="D11" s="6" t="str">
        <f>'1.0 Data'!E11</f>
        <v>Replacement expenditure</v>
      </c>
      <c r="E11" s="65">
        <f>'2.2 Capex Nominal Dollars'!E11*'1.1 Input'!E$13</f>
        <v>0</v>
      </c>
      <c r="F11" s="65">
        <f>'2.2 Capex Nominal Dollars'!F11*'1.1 Input'!F$13</f>
        <v>0</v>
      </c>
      <c r="G11" s="65">
        <f>'2.2 Capex Nominal Dollars'!G11*'1.1 Input'!G$13</f>
        <v>0</v>
      </c>
      <c r="H11" s="65">
        <f>'2.2 Capex Nominal Dollars'!H11*'1.1 Input'!H$13</f>
        <v>0</v>
      </c>
      <c r="I11" s="65">
        <f>'2.2 Capex Nominal Dollars'!I11*'1.1 Input'!I$13</f>
        <v>244433.90732796188</v>
      </c>
      <c r="J11" s="45">
        <f t="shared" si="2"/>
        <v>244433.90732796188</v>
      </c>
      <c r="L11" s="6" t="str" cm="1">
        <f t="array" ref="L11">_xlfn.IFNA(INDEX('2.0 Escalation'!$AH$9:$AH$65,MATCH(0,COUNTIF($L$1:L10,'2.0 Escalation'!$AH$9:$AH$65),0)),"")</f>
        <v>Annual Spraying for Corrosion</v>
      </c>
      <c r="M11" s="14" t="str">
        <f t="shared" si="3"/>
        <v>2024/25</v>
      </c>
      <c r="N11" s="6" t="str" cm="1">
        <f t="array" ref="N11">_xlfn.IFNA(INDEX('2.0 Escalation'!$AK$9:$AK$66,MATCH($L11,'1.0 Data'!$P$9:$P$66,0),0),"")</f>
        <v>Buildings</v>
      </c>
      <c r="O11" s="6" t="str" cm="1">
        <f t="array" ref="O11">_xlfn.IFNA(INDEX('1.0 Data'!$U$9:$U$66,MATCH($L11,'1.0 Data'!$P$9:$P$66,0),0),"")</f>
        <v>Replacement expenditure</v>
      </c>
      <c r="P11" s="6" t="str" cm="1">
        <f t="array" ref="P11">_xlfn.IFNA(INDEX('2.0 Escalation'!$AJ$9:$AJ$66,MATCH($L11,'1.0 Data'!$P$9:$P$66,0),0),"")</f>
        <v>Corrosion Management</v>
      </c>
      <c r="Q11" s="6">
        <f>SUMIF('2.0 Escalation'!$AH$9:$AH$65,$L11,'2.0 Escalation'!AL$9:AL$65)*'1.1 Input'!$H$13</f>
        <v>0</v>
      </c>
      <c r="R11" s="6">
        <f>SUMIF('2.0 Escalation'!$AH$9:$AH$65,$L11,'2.0 Escalation'!AM$9:AM$65)*'1.1 Input'!$H$13</f>
        <v>0</v>
      </c>
      <c r="S11" s="6">
        <f>SUMIF('2.0 Escalation'!$AH$9:$AH$65,$L11,'2.0 Escalation'!AN$9:AN$65)*'1.1 Input'!$H$13</f>
        <v>0</v>
      </c>
      <c r="T11" s="6">
        <f>SUMIF('2.0 Escalation'!$AH$9:$AH$65,$L11,'2.0 Escalation'!AO$9:AO$65)*'1.1 Input'!$H$13</f>
        <v>0</v>
      </c>
      <c r="U11" s="6">
        <f>SUMIF('2.0 Escalation'!$AH$9:$AH$65,$L11,'2.0 Escalation'!AP$9:AP$65)*'1.1 Input'!$H$13</f>
        <v>0</v>
      </c>
      <c r="V11" s="45">
        <f t="shared" si="4"/>
        <v>0</v>
      </c>
    </row>
    <row r="12" spans="1:26">
      <c r="A12" s="6" t="str">
        <f>'1.0 Data'!A12</f>
        <v>Asset Integration - Maintenance Strategy (Placeholder)</v>
      </c>
      <c r="B12" s="14" t="str">
        <f t="shared" si="1"/>
        <v>2024/25</v>
      </c>
      <c r="C12" s="6" t="str" cm="1">
        <f t="array" ref="C12">_xlfn.IFNA(INDEX('1.0 Data'!$D$9:$D$61,MATCH(A12,'1.0 Data'!$A$9:$A$61,0),0),"")</f>
        <v>Transmission Assets</v>
      </c>
      <c r="D12" s="6" t="str">
        <f>'1.0 Data'!E12</f>
        <v>Replacement expenditure</v>
      </c>
      <c r="E12" s="65">
        <f>'2.2 Capex Nominal Dollars'!E12*'1.1 Input'!E$13</f>
        <v>0</v>
      </c>
      <c r="F12" s="65">
        <f>'2.2 Capex Nominal Dollars'!F12*'1.1 Input'!F$13</f>
        <v>0</v>
      </c>
      <c r="G12" s="65">
        <f>'2.2 Capex Nominal Dollars'!G12*'1.1 Input'!G$13</f>
        <v>0</v>
      </c>
      <c r="H12" s="65">
        <f>'2.2 Capex Nominal Dollars'!H12*'1.1 Input'!H$13</f>
        <v>0</v>
      </c>
      <c r="I12" s="65">
        <f>'2.2 Capex Nominal Dollars'!I12*'1.1 Input'!I$13</f>
        <v>42164.849014073421</v>
      </c>
      <c r="J12" s="45">
        <f t="shared" si="2"/>
        <v>42164.849014073421</v>
      </c>
      <c r="L12" s="6" t="str" cm="1">
        <f t="array" ref="L12">_xlfn.IFNA(INDEX('2.0 Escalation'!$AH$9:$AH$65,MATCH(0,COUNTIF($L$1:L11,'2.0 Escalation'!$AH$9:$AH$65),0)),"")</f>
        <v>Arc Flash Study and Mitigation</v>
      </c>
      <c r="M12" s="14" t="str">
        <f t="shared" si="3"/>
        <v>2024/25</v>
      </c>
      <c r="N12" s="6" t="str" cm="1">
        <f t="array" ref="N12">_xlfn.IFNA(INDEX('2.0 Escalation'!$AK$9:$AK$66,MATCH($L12,'1.0 Data'!$P$9:$P$66,0),0),"")</f>
        <v>Transmission Assets</v>
      </c>
      <c r="O12" s="6" t="str" cm="1">
        <f t="array" ref="O12">_xlfn.IFNA(INDEX('1.0 Data'!$U$9:$U$66,MATCH($L12,'1.0 Data'!$P$9:$P$66,0),0),"")</f>
        <v>Replacement expenditure</v>
      </c>
      <c r="P12" s="6" t="str" cm="1">
        <f t="array" ref="P12">_xlfn.IFNA(INDEX('2.0 Escalation'!$AJ$9:$AJ$66,MATCH($L12,'1.0 Data'!$P$9:$P$66,0),0),"")</f>
        <v>Safety and protection</v>
      </c>
      <c r="Q12" s="6">
        <f>SUMIF('2.0 Escalation'!$AH$9:$AH$65,$L12,'2.0 Escalation'!AL$9:AL$65)*'1.1 Input'!$H$13</f>
        <v>0</v>
      </c>
      <c r="R12" s="6">
        <f>SUMIF('2.0 Escalation'!$AH$9:$AH$65,$L12,'2.0 Escalation'!AM$9:AM$65)*'1.1 Input'!$H$13</f>
        <v>0</v>
      </c>
      <c r="S12" s="6">
        <f>SUMIF('2.0 Escalation'!$AH$9:$AH$65,$L12,'2.0 Escalation'!AN$9:AN$65)*'1.1 Input'!$H$13</f>
        <v>0</v>
      </c>
      <c r="T12" s="6">
        <f>SUMIF('2.0 Escalation'!$AH$9:$AH$65,$L12,'2.0 Escalation'!AO$9:AO$65)*'1.1 Input'!$H$13</f>
        <v>0</v>
      </c>
      <c r="U12" s="6">
        <f>SUMIF('2.0 Escalation'!$AH$9:$AH$65,$L12,'2.0 Escalation'!AP$9:AP$65)*'1.1 Input'!$H$13</f>
        <v>0</v>
      </c>
      <c r="V12" s="45">
        <f t="shared" si="4"/>
        <v>0</v>
      </c>
    </row>
    <row r="13" spans="1:26">
      <c r="A13" s="6" t="str">
        <f>'1.0 Data'!A13</f>
        <v>Barn Door Replacement</v>
      </c>
      <c r="B13" s="14" t="str">
        <f t="shared" si="1"/>
        <v>2024/25</v>
      </c>
      <c r="C13" s="6" t="str" cm="1">
        <f t="array" ref="C13">_xlfn.IFNA(INDEX('1.0 Data'!$D$9:$D$61,MATCH(A13,'1.0 Data'!$A$9:$A$61,0),0),"")</f>
        <v>Buildings</v>
      </c>
      <c r="D13" s="6" t="str">
        <f>'1.0 Data'!E13</f>
        <v>Replacement expenditure</v>
      </c>
      <c r="E13" s="65">
        <f>'2.2 Capex Nominal Dollars'!E13*'1.1 Input'!E$13</f>
        <v>0</v>
      </c>
      <c r="F13" s="65">
        <f>'2.2 Capex Nominal Dollars'!F13*'1.1 Input'!F$13</f>
        <v>0</v>
      </c>
      <c r="G13" s="65">
        <f>'2.2 Capex Nominal Dollars'!G13*'1.1 Input'!G$13</f>
        <v>0</v>
      </c>
      <c r="H13" s="65">
        <f>'2.2 Capex Nominal Dollars'!H13*'1.1 Input'!H$13</f>
        <v>0</v>
      </c>
      <c r="I13" s="65">
        <f>'2.2 Capex Nominal Dollars'!I13*'1.1 Input'!I$13</f>
        <v>201657.97354556853</v>
      </c>
      <c r="J13" s="45">
        <f t="shared" si="2"/>
        <v>201657.97354556853</v>
      </c>
      <c r="L13" s="6" t="str" cm="1">
        <f t="array" ref="L13">_xlfn.IFNA(INDEX('2.0 Escalation'!$AH$9:$AH$65,MATCH(0,COUNTIF($L$1:L12,'2.0 Escalation'!$AH$9:$AH$65),0)),"")</f>
        <v>Asset Integration - AI3 (Placeholder)</v>
      </c>
      <c r="M13" s="14" t="str">
        <f t="shared" si="3"/>
        <v>2024/25</v>
      </c>
      <c r="N13" s="6" t="str" cm="1">
        <f t="array" ref="N13">_xlfn.IFNA(INDEX('2.0 Escalation'!$AK$9:$AK$66,MATCH($L13,'1.0 Data'!$P$9:$P$66,0),0),"")</f>
        <v>Transmission Assets</v>
      </c>
      <c r="O13" s="6" t="str" cm="1">
        <f t="array" ref="O13">_xlfn.IFNA(INDEX('1.0 Data'!$U$9:$U$66,MATCH($L13,'1.0 Data'!$P$9:$P$66,0),0),"")</f>
        <v>Replacement expenditure</v>
      </c>
      <c r="P13" s="6" t="str" cm="1">
        <f t="array" ref="P13">_xlfn.IFNA(INDEX('2.0 Escalation'!$AJ$9:$AJ$66,MATCH($L13,'1.0 Data'!$P$9:$P$66,0),0),"")</f>
        <v>Asset Monitoring</v>
      </c>
      <c r="Q13" s="6">
        <f>SUMIF('2.0 Escalation'!$AH$9:$AH$65,$L13,'2.0 Escalation'!AL$9:AL$65)*'1.1 Input'!$H$13</f>
        <v>0</v>
      </c>
      <c r="R13" s="6">
        <f>SUMIF('2.0 Escalation'!$AH$9:$AH$65,$L13,'2.0 Escalation'!AM$9:AM$65)*'1.1 Input'!$H$13</f>
        <v>0</v>
      </c>
      <c r="S13" s="6">
        <f>SUMIF('2.0 Escalation'!$AH$9:$AH$65,$L13,'2.0 Escalation'!AN$9:AN$65)*'1.1 Input'!$H$13</f>
        <v>0</v>
      </c>
      <c r="T13" s="6">
        <f>SUMIF('2.0 Escalation'!$AH$9:$AH$65,$L13,'2.0 Escalation'!AO$9:AO$65)*'1.1 Input'!$H$13</f>
        <v>0</v>
      </c>
      <c r="U13" s="6">
        <f>SUMIF('2.0 Escalation'!$AH$9:$AH$65,$L13,'2.0 Escalation'!AP$9:AP$65)*'1.1 Input'!$H$13</f>
        <v>0</v>
      </c>
      <c r="V13" s="45">
        <f t="shared" si="4"/>
        <v>0</v>
      </c>
    </row>
    <row r="14" spans="1:26">
      <c r="A14" s="6" t="str">
        <f>'1.0 Data'!A14</f>
        <v>Cable Modification (Transitions) (21-25)</v>
      </c>
      <c r="B14" s="14" t="str">
        <f t="shared" si="1"/>
        <v>2024/25</v>
      </c>
      <c r="C14" s="6" t="str" cm="1">
        <f t="array" ref="C14">_xlfn.IFNA(INDEX('1.0 Data'!$D$9:$D$61,MATCH(A14,'1.0 Data'!$A$9:$A$61,0),0),"")</f>
        <v>Transmission Assets</v>
      </c>
      <c r="D14" s="6" t="str">
        <f>'1.0 Data'!E14</f>
        <v>Replacement expenditure</v>
      </c>
      <c r="E14" s="65">
        <f>'2.2 Capex Nominal Dollars'!E14*'1.1 Input'!E$13</f>
        <v>0</v>
      </c>
      <c r="F14" s="65">
        <f>'2.2 Capex Nominal Dollars'!F14*'1.1 Input'!F$13</f>
        <v>0</v>
      </c>
      <c r="G14" s="65">
        <f>'2.2 Capex Nominal Dollars'!G14*'1.1 Input'!G$13</f>
        <v>0</v>
      </c>
      <c r="H14" s="65">
        <f>'2.2 Capex Nominal Dollars'!H14*'1.1 Input'!H$13</f>
        <v>0</v>
      </c>
      <c r="I14" s="65">
        <f>'2.2 Capex Nominal Dollars'!I14*'1.1 Input'!I$13</f>
        <v>407389.84554660309</v>
      </c>
      <c r="J14" s="45">
        <f t="shared" si="2"/>
        <v>407389.84554660309</v>
      </c>
      <c r="L14" s="6" t="str" cm="1">
        <f t="array" ref="L14">_xlfn.IFNA(INDEX('2.0 Escalation'!$AH$9:$AH$65,MATCH(0,COUNTIF($L$1:L13,'2.0 Escalation'!$AH$9:$AH$65),0)),"")</f>
        <v>Asset Integration - Asset Information (Placeholder)</v>
      </c>
      <c r="M14" s="14" t="str">
        <f t="shared" si="3"/>
        <v>2024/25</v>
      </c>
      <c r="N14" s="6" t="str" cm="1">
        <f t="array" ref="N14">_xlfn.IFNA(INDEX('2.0 Escalation'!$AK$9:$AK$66,MATCH($L14,'1.0 Data'!$P$9:$P$66,0),0),"")</f>
        <v>Transmission Assets</v>
      </c>
      <c r="O14" s="6" t="str" cm="1">
        <f t="array" ref="O14">_xlfn.IFNA(INDEX('1.0 Data'!$U$9:$U$66,MATCH($L14,'1.0 Data'!$P$9:$P$66,0),0),"")</f>
        <v>Replacement expenditure</v>
      </c>
      <c r="P14" s="6" t="str" cm="1">
        <f t="array" ref="P14">_xlfn.IFNA(INDEX('2.0 Escalation'!$AJ$9:$AJ$66,MATCH($L14,'1.0 Data'!$P$9:$P$66,0),0),"")</f>
        <v>Asset Monitoring</v>
      </c>
      <c r="Q14" s="6">
        <f>SUMIF('2.0 Escalation'!$AH$9:$AH$65,$L14,'2.0 Escalation'!AL$9:AL$65)*'1.1 Input'!$H$13</f>
        <v>250228.00000000003</v>
      </c>
      <c r="R14" s="6">
        <f>SUMIF('2.0 Escalation'!$AH$9:$AH$65,$L14,'2.0 Escalation'!AM$9:AM$65)*'1.1 Input'!$H$13</f>
        <v>0</v>
      </c>
      <c r="S14" s="6">
        <f>SUMIF('2.0 Escalation'!$AH$9:$AH$65,$L14,'2.0 Escalation'!AN$9:AN$65)*'1.1 Input'!$H$13</f>
        <v>0</v>
      </c>
      <c r="T14" s="6">
        <f>SUMIF('2.0 Escalation'!$AH$9:$AH$65,$L14,'2.0 Escalation'!AO$9:AO$65)*'1.1 Input'!$H$13</f>
        <v>0</v>
      </c>
      <c r="U14" s="6">
        <f>SUMIF('2.0 Escalation'!$AH$9:$AH$65,$L14,'2.0 Escalation'!AP$9:AP$65)*'1.1 Input'!$H$13</f>
        <v>0</v>
      </c>
      <c r="V14" s="45">
        <f t="shared" si="4"/>
        <v>250228.00000000003</v>
      </c>
    </row>
    <row r="15" spans="1:26">
      <c r="A15" s="6" t="str">
        <f>'1.0 Data'!A15</f>
        <v xml:space="preserve">Cable Modification Program
</v>
      </c>
      <c r="B15" s="14" t="str">
        <f t="shared" si="1"/>
        <v>2024/25</v>
      </c>
      <c r="C15" s="6" t="str" cm="1">
        <f t="array" ref="C15">_xlfn.IFNA(INDEX('1.0 Data'!$D$9:$D$61,MATCH(A15,'1.0 Data'!$A$9:$A$61,0),0),"")</f>
        <v>Transmission Assets</v>
      </c>
      <c r="D15" s="6" t="str">
        <f>'1.0 Data'!E15</f>
        <v>Replacement expenditure</v>
      </c>
      <c r="E15" s="65">
        <f>'2.2 Capex Nominal Dollars'!E15*'1.1 Input'!E$13</f>
        <v>0</v>
      </c>
      <c r="F15" s="65">
        <f>'2.2 Capex Nominal Dollars'!F15*'1.1 Input'!F$13</f>
        <v>56880.509987485973</v>
      </c>
      <c r="G15" s="65">
        <f>'2.2 Capex Nominal Dollars'!G15*'1.1 Input'!G$13</f>
        <v>72040.984177800012</v>
      </c>
      <c r="H15" s="65">
        <f>'2.2 Capex Nominal Dollars'!H15*'1.1 Input'!H$13</f>
        <v>0</v>
      </c>
      <c r="I15" s="65">
        <f>'2.2 Capex Nominal Dollars'!I15*'1.1 Input'!I$13</f>
        <v>0</v>
      </c>
      <c r="J15" s="45">
        <f t="shared" si="2"/>
        <v>128921.49416528599</v>
      </c>
      <c r="L15" s="6" t="str" cm="1">
        <f t="array" ref="L15">_xlfn.IFNA(INDEX('2.0 Escalation'!$AH$9:$AH$65,MATCH(0,COUNTIF($L$1:L14,'2.0 Escalation'!$AH$9:$AH$65),0)),"")</f>
        <v>Asset Integration - CMMS Uplift (Placeholder)</v>
      </c>
      <c r="M15" s="14" t="str">
        <f t="shared" si="3"/>
        <v>2024/25</v>
      </c>
      <c r="N15" s="6" t="str" cm="1">
        <f t="array" ref="N15">_xlfn.IFNA(INDEX('2.0 Escalation'!$AK$9:$AK$66,MATCH($L15,'1.0 Data'!$P$9:$P$66,0),0),"")</f>
        <v>Transmission Assets</v>
      </c>
      <c r="O15" s="6" t="str" cm="1">
        <f t="array" ref="O15">_xlfn.IFNA(INDEX('1.0 Data'!$U$9:$U$66,MATCH($L15,'1.0 Data'!$P$9:$P$66,0),0),"")</f>
        <v>Replacement expenditure</v>
      </c>
      <c r="P15" s="6" t="str" cm="1">
        <f t="array" ref="P15">_xlfn.IFNA(INDEX('2.0 Escalation'!$AJ$9:$AJ$66,MATCH($L15,'1.0 Data'!$P$9:$P$66,0),0),"")</f>
        <v>Asset Monitoring</v>
      </c>
      <c r="Q15" s="6">
        <f>SUMIF('2.0 Escalation'!$AH$9:$AH$65,$L15,'2.0 Escalation'!AL$9:AL$65)*'1.1 Input'!$H$13</f>
        <v>272976</v>
      </c>
      <c r="R15" s="6">
        <f>SUMIF('2.0 Escalation'!$AH$9:$AH$65,$L15,'2.0 Escalation'!AM$9:AM$65)*'1.1 Input'!$H$13</f>
        <v>136488</v>
      </c>
      <c r="S15" s="6">
        <f>SUMIF('2.0 Escalation'!$AH$9:$AH$65,$L15,'2.0 Escalation'!AN$9:AN$65)*'1.1 Input'!$H$13</f>
        <v>0</v>
      </c>
      <c r="T15" s="6">
        <f>SUMIF('2.0 Escalation'!$AH$9:$AH$65,$L15,'2.0 Escalation'!AO$9:AO$65)*'1.1 Input'!$H$13</f>
        <v>0</v>
      </c>
      <c r="U15" s="6">
        <f>SUMIF('2.0 Escalation'!$AH$9:$AH$65,$L15,'2.0 Escalation'!AP$9:AP$65)*'1.1 Input'!$H$13</f>
        <v>0</v>
      </c>
      <c r="V15" s="45">
        <f t="shared" si="4"/>
        <v>409464</v>
      </c>
    </row>
    <row r="16" spans="1:26">
      <c r="A16" s="6" t="str">
        <f>'1.0 Data'!A16</f>
        <v>Cable Route Risk Mitigation (Signs)</v>
      </c>
      <c r="B16" s="14" t="str">
        <f t="shared" si="1"/>
        <v>2024/25</v>
      </c>
      <c r="C16" s="6" t="str" cm="1">
        <f t="array" ref="C16">_xlfn.IFNA(INDEX('1.0 Data'!$D$9:$D$61,MATCH(A16,'1.0 Data'!$A$9:$A$61,0),0),"")</f>
        <v>Transmission Assets</v>
      </c>
      <c r="D16" s="6" t="str">
        <f>'1.0 Data'!E16</f>
        <v>Replacement expenditure</v>
      </c>
      <c r="E16" s="65">
        <f>'2.2 Capex Nominal Dollars'!E16*'1.1 Input'!E$13</f>
        <v>50201.85589321352</v>
      </c>
      <c r="F16" s="65">
        <f>'2.2 Capex Nominal Dollars'!F16*'1.1 Input'!F$13</f>
        <v>0</v>
      </c>
      <c r="G16" s="65">
        <f>'2.2 Capex Nominal Dollars'!G16*'1.1 Input'!G$13</f>
        <v>22309.137973760004</v>
      </c>
      <c r="H16" s="65">
        <f>'2.2 Capex Nominal Dollars'!H16*'1.1 Input'!H$13</f>
        <v>0</v>
      </c>
      <c r="I16" s="65">
        <f>'2.2 Capex Nominal Dollars'!I16*'1.1 Input'!I$13</f>
        <v>0</v>
      </c>
      <c r="J16" s="45">
        <f t="shared" si="2"/>
        <v>72510.993866973527</v>
      </c>
      <c r="L16" s="6" t="str" cm="1">
        <f t="array" ref="L16">_xlfn.IFNA(INDEX('2.0 Escalation'!$AH$9:$AH$65,MATCH(0,COUNTIF($L$1:L15,'2.0 Escalation'!$AH$9:$AH$65),0)),"")</f>
        <v>Asset Integration - Maintenance Strategy (Placeholder)</v>
      </c>
      <c r="M16" s="14" t="str">
        <f t="shared" si="3"/>
        <v>2024/25</v>
      </c>
      <c r="N16" s="6" t="str" cm="1">
        <f t="array" ref="N16">_xlfn.IFNA(INDEX('2.0 Escalation'!$AK$9:$AK$66,MATCH($L16,'1.0 Data'!$P$9:$P$66,0),0),"")</f>
        <v>Transmission Assets</v>
      </c>
      <c r="O16" s="6" t="str" cm="1">
        <f t="array" ref="O16">_xlfn.IFNA(INDEX('1.0 Data'!$U$9:$U$66,MATCH($L16,'1.0 Data'!$P$9:$P$66,0),0),"")</f>
        <v>Replacement expenditure</v>
      </c>
      <c r="P16" s="6" t="str" cm="1">
        <f t="array" ref="P16">_xlfn.IFNA(INDEX('2.0 Escalation'!$AJ$9:$AJ$66,MATCH($L16,'1.0 Data'!$P$9:$P$66,0),0),"")</f>
        <v>Asset Monitoring</v>
      </c>
      <c r="Q16" s="6">
        <f>SUMIF('2.0 Escalation'!$AH$9:$AH$65,$L16,'2.0 Escalation'!AL$9:AL$65)*'1.1 Input'!$H$13</f>
        <v>113740.00000000001</v>
      </c>
      <c r="R16" s="6">
        <f>SUMIF('2.0 Escalation'!$AH$9:$AH$65,$L16,'2.0 Escalation'!AM$9:AM$65)*'1.1 Input'!$H$13</f>
        <v>0</v>
      </c>
      <c r="S16" s="6">
        <f>SUMIF('2.0 Escalation'!$AH$9:$AH$65,$L16,'2.0 Escalation'!AN$9:AN$65)*'1.1 Input'!$H$13</f>
        <v>0</v>
      </c>
      <c r="T16" s="6">
        <f>SUMIF('2.0 Escalation'!$AH$9:$AH$65,$L16,'2.0 Escalation'!AO$9:AO$65)*'1.1 Input'!$H$13</f>
        <v>0</v>
      </c>
      <c r="U16" s="6">
        <f>SUMIF('2.0 Escalation'!$AH$9:$AH$65,$L16,'2.0 Escalation'!AP$9:AP$65)*'1.1 Input'!$H$13</f>
        <v>0</v>
      </c>
      <c r="V16" s="45">
        <f t="shared" si="4"/>
        <v>113740.00000000001</v>
      </c>
    </row>
    <row r="17" spans="1:22">
      <c r="A17" s="6" t="str">
        <f>'1.0 Data'!A17</f>
        <v xml:space="preserve">Capacitors </v>
      </c>
      <c r="B17" s="14" t="str">
        <f t="shared" si="1"/>
        <v>2024/25</v>
      </c>
      <c r="C17" s="6" t="str" cm="1">
        <f t="array" ref="C17">_xlfn.IFNA(INDEX('1.0 Data'!$D$9:$D$61,MATCH(A17,'1.0 Data'!$A$9:$A$61,0),0),"")</f>
        <v>Transmission Assets</v>
      </c>
      <c r="D17" s="6" t="str">
        <f>'1.0 Data'!E17</f>
        <v>Replacement expenditure</v>
      </c>
      <c r="E17" s="65">
        <f>'2.2 Capex Nominal Dollars'!E17*'1.1 Input'!E$13</f>
        <v>161218.38741946433</v>
      </c>
      <c r="F17" s="65">
        <f>'2.2 Capex Nominal Dollars'!F17*'1.1 Input'!F$13</f>
        <v>-4426.3111338072313</v>
      </c>
      <c r="G17" s="65">
        <f>'2.2 Capex Nominal Dollars'!G17*'1.1 Input'!G$13</f>
        <v>0</v>
      </c>
      <c r="H17" s="65">
        <f>'2.2 Capex Nominal Dollars'!H17*'1.1 Input'!H$13</f>
        <v>0</v>
      </c>
      <c r="I17" s="65">
        <f>'2.2 Capex Nominal Dollars'!I17*'1.1 Input'!I$13</f>
        <v>0</v>
      </c>
      <c r="J17" s="45">
        <f t="shared" si="2"/>
        <v>156792.07628565709</v>
      </c>
      <c r="L17" s="6" t="str" cm="1">
        <f t="array" ref="L17">_xlfn.IFNA(INDEX('2.0 Escalation'!$AH$9:$AH$65,MATCH(0,COUNTIF($L$1:L16,'2.0 Escalation'!$AH$9:$AH$65),0)),"")</f>
        <v>Barn Door Replacement</v>
      </c>
      <c r="M17" s="14" t="str">
        <f t="shared" si="3"/>
        <v>2024/25</v>
      </c>
      <c r="N17" s="6" t="str" cm="1">
        <f t="array" ref="N17">_xlfn.IFNA(INDEX('2.0 Escalation'!$AK$9:$AK$66,MATCH($L17,'1.0 Data'!$P$9:$P$66,0),0),"")</f>
        <v>Buildings</v>
      </c>
      <c r="O17" s="6" t="str" cm="1">
        <f t="array" ref="O17">_xlfn.IFNA(INDEX('1.0 Data'!$U$9:$U$66,MATCH($L17,'1.0 Data'!$P$9:$P$66,0),0),"")</f>
        <v>Replacement expenditure</v>
      </c>
      <c r="P17" s="6" t="str" cm="1">
        <f t="array" ref="P17">_xlfn.IFNA(INDEX('2.0 Escalation'!$AJ$9:$AJ$66,MATCH($L17,'1.0 Data'!$P$9:$P$66,0),0),"")</f>
        <v>Corrosion Management</v>
      </c>
      <c r="Q17" s="6">
        <f>SUMIF('2.0 Escalation'!$AH$9:$AH$65,$L17,'2.0 Escalation'!AL$9:AL$65)*'1.1 Input'!$H$13</f>
        <v>0</v>
      </c>
      <c r="R17" s="6">
        <f>SUMIF('2.0 Escalation'!$AH$9:$AH$65,$L17,'2.0 Escalation'!AM$9:AM$65)*'1.1 Input'!$H$13</f>
        <v>0</v>
      </c>
      <c r="S17" s="6">
        <f>SUMIF('2.0 Escalation'!$AH$9:$AH$65,$L17,'2.0 Escalation'!AN$9:AN$65)*'1.1 Input'!$H$13</f>
        <v>0</v>
      </c>
      <c r="T17" s="6">
        <f>SUMIF('2.0 Escalation'!$AH$9:$AH$65,$L17,'2.0 Escalation'!AO$9:AO$65)*'1.1 Input'!$H$13</f>
        <v>0</v>
      </c>
      <c r="U17" s="6">
        <f>SUMIF('2.0 Escalation'!$AH$9:$AH$65,$L17,'2.0 Escalation'!AP$9:AP$65)*'1.1 Input'!$H$13</f>
        <v>0</v>
      </c>
      <c r="V17" s="45">
        <f t="shared" si="4"/>
        <v>0</v>
      </c>
    </row>
    <row r="18" spans="1:22">
      <c r="A18" s="6" t="str">
        <f>'1.0 Data'!A18</f>
        <v>Cooling tower sound enclosure panel replacement</v>
      </c>
      <c r="B18" s="14" t="str">
        <f t="shared" si="1"/>
        <v>2024/25</v>
      </c>
      <c r="C18" s="6" t="str" cm="1">
        <f t="array" ref="C18">_xlfn.IFNA(INDEX('1.0 Data'!$D$9:$D$61,MATCH(A18,'1.0 Data'!$A$9:$A$61,0),0),"")</f>
        <v>Transmission Assets</v>
      </c>
      <c r="D18" s="6" t="str">
        <f>'1.0 Data'!E18</f>
        <v>Replacement expenditure</v>
      </c>
      <c r="E18" s="65">
        <f>'2.2 Capex Nominal Dollars'!E18*'1.1 Input'!E$13</f>
        <v>833309.67669352551</v>
      </c>
      <c r="F18" s="65">
        <f>'2.2 Capex Nominal Dollars'!F18*'1.1 Input'!F$13</f>
        <v>186315.58165094384</v>
      </c>
      <c r="G18" s="65">
        <f>'2.2 Capex Nominal Dollars'!G18*'1.1 Input'!G$13</f>
        <v>222735.64533484005</v>
      </c>
      <c r="H18" s="65">
        <f>'2.2 Capex Nominal Dollars'!H18*'1.1 Input'!H$13</f>
        <v>0</v>
      </c>
      <c r="I18" s="65">
        <f>'2.2 Capex Nominal Dollars'!I18*'1.1 Input'!I$13</f>
        <v>0</v>
      </c>
      <c r="J18" s="45">
        <f t="shared" si="2"/>
        <v>1242360.9036793094</v>
      </c>
      <c r="L18" s="6" t="str" cm="1">
        <f t="array" ref="L18">_xlfn.IFNA(INDEX('2.0 Escalation'!$AH$9:$AH$65,MATCH(0,COUNTIF($L$1:L17,'2.0 Escalation'!$AH$9:$AH$65),0)),"")</f>
        <v>Bungalora Facilities Improvements</v>
      </c>
      <c r="M18" s="14" t="str">
        <f t="shared" si="3"/>
        <v>2024/25</v>
      </c>
      <c r="N18" s="6" t="str" cm="1">
        <f t="array" ref="N18">_xlfn.IFNA(INDEX('2.0 Escalation'!$AK$9:$AK$66,MATCH($L18,'1.0 Data'!$P$9:$P$66,0),0),"")</f>
        <v>Buildings</v>
      </c>
      <c r="O18" s="6" t="str" cm="1">
        <f t="array" ref="O18">_xlfn.IFNA(INDEX('1.0 Data'!$U$9:$U$66,MATCH($L18,'1.0 Data'!$P$9:$P$66,0),0),"")</f>
        <v>Replacement expenditure</v>
      </c>
      <c r="P18" s="6" t="str" cm="1">
        <f t="array" ref="P18">_xlfn.IFNA(INDEX('2.0 Escalation'!$AJ$9:$AJ$66,MATCH($L18,'1.0 Data'!$P$9:$P$66,0),0),"")</f>
        <v>Safety and Protection</v>
      </c>
      <c r="Q18" s="6">
        <f>SUMIF('2.0 Escalation'!$AH$9:$AH$65,$L18,'2.0 Escalation'!AL$9:AL$65)*'1.1 Input'!$H$13</f>
        <v>125315.43354000001</v>
      </c>
      <c r="R18" s="6">
        <f>SUMIF('2.0 Escalation'!$AH$9:$AH$65,$L18,'2.0 Escalation'!AM$9:AM$65)*'1.1 Input'!$H$13</f>
        <v>0</v>
      </c>
      <c r="S18" s="6">
        <f>SUMIF('2.0 Escalation'!$AH$9:$AH$65,$L18,'2.0 Escalation'!AN$9:AN$65)*'1.1 Input'!$H$13</f>
        <v>0</v>
      </c>
      <c r="T18" s="6">
        <f>SUMIF('2.0 Escalation'!$AH$9:$AH$65,$L18,'2.0 Escalation'!AO$9:AO$65)*'1.1 Input'!$H$13</f>
        <v>0</v>
      </c>
      <c r="U18" s="6">
        <f>SUMIF('2.0 Escalation'!$AH$9:$AH$65,$L18,'2.0 Escalation'!AP$9:AP$65)*'1.1 Input'!$H$13</f>
        <v>0</v>
      </c>
      <c r="V18" s="45">
        <f t="shared" si="4"/>
        <v>125315.43354000001</v>
      </c>
    </row>
    <row r="19" spans="1:22">
      <c r="A19" s="6" t="str">
        <f>'1.0 Data'!A19</f>
        <v xml:space="preserve">Cyber Security 
</v>
      </c>
      <c r="B19" s="14" t="str">
        <f t="shared" si="1"/>
        <v>2024/25</v>
      </c>
      <c r="C19" s="6" t="str" cm="1">
        <f t="array" ref="C19">_xlfn.IFNA(INDEX('1.0 Data'!$D$9:$D$61,MATCH(A19,'1.0 Data'!$A$9:$A$61,0),0),"")</f>
        <v>Transmission Assets</v>
      </c>
      <c r="D19" s="6" t="str">
        <f>'1.0 Data'!E19</f>
        <v>Replacement expenditure</v>
      </c>
      <c r="E19" s="65">
        <f>'2.2 Capex Nominal Dollars'!E19*'1.1 Input'!E$13</f>
        <v>97637.623196619112</v>
      </c>
      <c r="F19" s="65">
        <f>'2.2 Capex Nominal Dollars'!F19*'1.1 Input'!F$13</f>
        <v>314217.14512118464</v>
      </c>
      <c r="G19" s="65">
        <f>'2.2 Capex Nominal Dollars'!G19*'1.1 Input'!G$13</f>
        <v>0</v>
      </c>
      <c r="H19" s="65">
        <f>'2.2 Capex Nominal Dollars'!H19*'1.1 Input'!H$13</f>
        <v>0</v>
      </c>
      <c r="I19" s="65">
        <f>'2.2 Capex Nominal Dollars'!I19*'1.1 Input'!I$13</f>
        <v>0</v>
      </c>
      <c r="J19" s="45">
        <f t="shared" si="2"/>
        <v>411854.76831780374</v>
      </c>
      <c r="L19" s="6" t="str" cm="1">
        <f t="array" ref="L19">_xlfn.IFNA(INDEX('2.0 Escalation'!$AH$9:$AH$65,MATCH(0,COUNTIF($L$1:L18,'2.0 Escalation'!$AH$9:$AH$65),0)),"")</f>
        <v>Bungalora Storage Facilities</v>
      </c>
      <c r="M19" s="14" t="str">
        <f t="shared" ref="M19:M24" si="5">IF(L19="","",$I$8)</f>
        <v>2024/25</v>
      </c>
      <c r="N19" s="6" t="str" cm="1">
        <f t="array" ref="N19">_xlfn.IFNA(INDEX('2.0 Escalation'!$AK$9:$AK$66,MATCH($L19,'1.0 Data'!$P$9:$P$66,0),0),"")</f>
        <v>Buildings</v>
      </c>
      <c r="O19" s="6" t="str" cm="1">
        <f t="array" ref="O19">_xlfn.IFNA(INDEX('1.0 Data'!$U$9:$U$66,MATCH($L19,'1.0 Data'!$P$9:$P$66,0),0),"")</f>
        <v>Replacement expenditure</v>
      </c>
      <c r="P19" s="6" t="str" cm="1">
        <f t="array" ref="P19">_xlfn.IFNA(INDEX('2.0 Escalation'!$AJ$9:$AJ$66,MATCH($L19,'1.0 Data'!$P$9:$P$66,0),0),"")</f>
        <v>Safety and Protection</v>
      </c>
      <c r="Q19" s="6">
        <f>SUMIF('2.0 Escalation'!$AH$9:$AH$65,$L19,'2.0 Escalation'!AL$9:AL$65)*'1.1 Input'!$H$13</f>
        <v>337807.8</v>
      </c>
      <c r="R19" s="6">
        <f>SUMIF('2.0 Escalation'!$AH$9:$AH$65,$L19,'2.0 Escalation'!AM$9:AM$65)*'1.1 Input'!$H$13</f>
        <v>0</v>
      </c>
      <c r="S19" s="6">
        <f>SUMIF('2.0 Escalation'!$AH$9:$AH$65,$L19,'2.0 Escalation'!AN$9:AN$65)*'1.1 Input'!$H$13</f>
        <v>0</v>
      </c>
      <c r="T19" s="6">
        <f>SUMIF('2.0 Escalation'!$AH$9:$AH$65,$L19,'2.0 Escalation'!AO$9:AO$65)*'1.1 Input'!$H$13</f>
        <v>0</v>
      </c>
      <c r="U19" s="6">
        <f>SUMIF('2.0 Escalation'!$AH$9:$AH$65,$L19,'2.0 Escalation'!AP$9:AP$65)*'1.1 Input'!$H$13</f>
        <v>0</v>
      </c>
      <c r="V19" s="45">
        <f t="shared" ref="V19:V60" si="6">SUM(Q19:U19)</f>
        <v>337807.8</v>
      </c>
    </row>
    <row r="20" spans="1:22">
      <c r="A20" s="6" t="str">
        <f>'1.0 Data'!A20</f>
        <v>Directlink SCADA Upgrade</v>
      </c>
      <c r="B20" s="14" t="str">
        <f t="shared" si="1"/>
        <v>2024/25</v>
      </c>
      <c r="C20" s="6" t="str" cm="1">
        <f t="array" ref="C20">_xlfn.IFNA(INDEX('1.0 Data'!$D$9:$D$61,MATCH(A20,'1.0 Data'!$A$9:$A$61,0),0),"")</f>
        <v>Transmission Assets</v>
      </c>
      <c r="D20" s="6" t="str">
        <f>'1.0 Data'!E20</f>
        <v>Replacement expenditure</v>
      </c>
      <c r="E20" s="65">
        <f>'2.2 Capex Nominal Dollars'!E20*'1.1 Input'!E$13</f>
        <v>0</v>
      </c>
      <c r="F20" s="65">
        <f>'2.2 Capex Nominal Dollars'!F20*'1.1 Input'!F$13</f>
        <v>0</v>
      </c>
      <c r="G20" s="65">
        <f>'2.2 Capex Nominal Dollars'!G20*'1.1 Input'!G$13</f>
        <v>306662.94450000004</v>
      </c>
      <c r="H20" s="65">
        <f>'2.2 Capex Nominal Dollars'!H20*'1.1 Input'!H$13</f>
        <v>0</v>
      </c>
      <c r="I20" s="65">
        <f>'2.2 Capex Nominal Dollars'!I20*'1.1 Input'!I$13</f>
        <v>0</v>
      </c>
      <c r="J20" s="45">
        <f t="shared" si="2"/>
        <v>306662.94450000004</v>
      </c>
      <c r="L20" s="6" t="str" cm="1">
        <f t="array" ref="L20">_xlfn.IFNA(INDEX('2.0 Escalation'!$AH$9:$AH$65,MATCH(0,COUNTIF($L$1:L19,'2.0 Escalation'!$AH$9:$AH$65),0)),"")</f>
        <v>Cable Modification (Transitions) (21-25)</v>
      </c>
      <c r="M20" s="14" t="str">
        <f t="shared" si="5"/>
        <v>2024/25</v>
      </c>
      <c r="N20" s="6" t="str" cm="1">
        <f t="array" ref="N20">_xlfn.IFNA(INDEX('2.0 Escalation'!$AK$9:$AK$66,MATCH($L20,'1.0 Data'!$P$9:$P$66,0),0),"")</f>
        <v>Transmission Assets</v>
      </c>
      <c r="O20" s="6" t="str" cm="1">
        <f t="array" ref="O20">_xlfn.IFNA(INDEX('1.0 Data'!$U$9:$U$66,MATCH($L20,'1.0 Data'!$P$9:$P$66,0),0),"")</f>
        <v>Replacement expenditure</v>
      </c>
      <c r="P20" s="6" t="str" cm="1">
        <f t="array" ref="P20">_xlfn.IFNA(INDEX('2.0 Escalation'!$AJ$9:$AJ$66,MATCH($L20,'1.0 Data'!$P$9:$P$66,0),0),"")</f>
        <v>Major Maintenance</v>
      </c>
      <c r="Q20" s="6">
        <f>SUMIF('2.0 Escalation'!$AH$9:$AH$65,$L20,'2.0 Escalation'!AL$9:AL$65)*'1.1 Input'!$H$13</f>
        <v>0</v>
      </c>
      <c r="R20" s="6">
        <f>SUMIF('2.0 Escalation'!$AH$9:$AH$65,$L20,'2.0 Escalation'!AM$9:AM$65)*'1.1 Input'!$H$13</f>
        <v>0</v>
      </c>
      <c r="S20" s="6">
        <f>SUMIF('2.0 Escalation'!$AH$9:$AH$65,$L20,'2.0 Escalation'!AN$9:AN$65)*'1.1 Input'!$H$13</f>
        <v>0</v>
      </c>
      <c r="T20" s="6">
        <f>SUMIF('2.0 Escalation'!$AH$9:$AH$65,$L20,'2.0 Escalation'!AO$9:AO$65)*'1.1 Input'!$H$13</f>
        <v>0</v>
      </c>
      <c r="U20" s="6">
        <f>SUMIF('2.0 Escalation'!$AH$9:$AH$65,$L20,'2.0 Escalation'!AP$9:AP$65)*'1.1 Input'!$H$13</f>
        <v>0</v>
      </c>
      <c r="V20" s="45">
        <f t="shared" si="6"/>
        <v>0</v>
      </c>
    </row>
    <row r="21" spans="1:22">
      <c r="A21" s="6" t="str">
        <f>'1.0 Data'!A21</f>
        <v>DL Mullumbimby Facilities Impr</v>
      </c>
      <c r="B21" s="14" t="str">
        <f t="shared" si="1"/>
        <v>2024/25</v>
      </c>
      <c r="C21" s="6" t="str" cm="1">
        <f t="array" ref="C21">_xlfn.IFNA(INDEX('1.0 Data'!$D$9:$D$61,MATCH(A21,'1.0 Data'!$A$9:$A$61,0),0),"")</f>
        <v>Buildings</v>
      </c>
      <c r="D21" s="6" t="str">
        <f>'1.0 Data'!E21</f>
        <v>Replacement expenditure</v>
      </c>
      <c r="E21" s="65">
        <f>'2.2 Capex Nominal Dollars'!E21*'1.1 Input'!E$13</f>
        <v>0</v>
      </c>
      <c r="F21" s="65">
        <f>'2.2 Capex Nominal Dollars'!F21*'1.1 Input'!F$13</f>
        <v>0</v>
      </c>
      <c r="G21" s="65">
        <f>'2.2 Capex Nominal Dollars'!G21*'1.1 Input'!G$13</f>
        <v>126782.27799644001</v>
      </c>
      <c r="H21" s="65">
        <f>'2.2 Capex Nominal Dollars'!H21*'1.1 Input'!H$13</f>
        <v>0</v>
      </c>
      <c r="I21" s="65">
        <f>'2.2 Capex Nominal Dollars'!I21*'1.1 Input'!I$13</f>
        <v>0</v>
      </c>
      <c r="J21" s="45">
        <f t="shared" si="2"/>
        <v>126782.27799644001</v>
      </c>
      <c r="L21" s="6" t="str" cm="1">
        <f t="array" ref="L21">_xlfn.IFNA(INDEX('2.0 Escalation'!$AH$9:$AH$65,MATCH(0,COUNTIF($L$1:L20,'2.0 Escalation'!$AH$9:$AH$65),0)),"")</f>
        <v>Cable Modification (Transitions) (26-30)</v>
      </c>
      <c r="M21" s="14" t="str">
        <f t="shared" si="5"/>
        <v>2024/25</v>
      </c>
      <c r="N21" s="6" t="str" cm="1">
        <f t="array" ref="N21">_xlfn.IFNA(INDEX('2.0 Escalation'!$AK$9:$AK$66,MATCH($L21,'1.0 Data'!$P$9:$P$66,0),0),"")</f>
        <v>Transmission Assets</v>
      </c>
      <c r="O21" s="6" t="str" cm="1">
        <f t="array" ref="O21">_xlfn.IFNA(INDEX('1.0 Data'!$U$9:$U$66,MATCH($L21,'1.0 Data'!$P$9:$P$66,0),0),"")</f>
        <v>Replacement expenditure</v>
      </c>
      <c r="P21" s="6" t="str" cm="1">
        <f t="array" ref="P21">_xlfn.IFNA(INDEX('2.0 Escalation'!$AJ$9:$AJ$66,MATCH($L21,'1.0 Data'!$P$9:$P$66,0),0),"")</f>
        <v>Major Maintenance</v>
      </c>
      <c r="Q21" s="6">
        <f>SUMIF('2.0 Escalation'!$AH$9:$AH$65,$L21,'2.0 Escalation'!AL$9:AL$65)*'1.1 Input'!$H$13</f>
        <v>545952</v>
      </c>
      <c r="R21" s="6">
        <f>SUMIF('2.0 Escalation'!$AH$9:$AH$65,$L21,'2.0 Escalation'!AM$9:AM$65)*'1.1 Input'!$H$13</f>
        <v>0</v>
      </c>
      <c r="S21" s="6">
        <f>SUMIF('2.0 Escalation'!$AH$9:$AH$65,$L21,'2.0 Escalation'!AN$9:AN$65)*'1.1 Input'!$H$13</f>
        <v>0</v>
      </c>
      <c r="T21" s="6">
        <f>SUMIF('2.0 Escalation'!$AH$9:$AH$65,$L21,'2.0 Escalation'!AO$9:AO$65)*'1.1 Input'!$H$13</f>
        <v>0</v>
      </c>
      <c r="U21" s="6">
        <f>SUMIF('2.0 Escalation'!$AH$9:$AH$65,$L21,'2.0 Escalation'!AP$9:AP$65)*'1.1 Input'!$H$13</f>
        <v>0</v>
      </c>
      <c r="V21" s="45">
        <f t="shared" si="6"/>
        <v>545952</v>
      </c>
    </row>
    <row r="22" spans="1:22">
      <c r="A22" s="6" t="str">
        <f>'1.0 Data'!A22</f>
        <v>DL Satellite/Microwave Upgrade</v>
      </c>
      <c r="B22" s="14" t="str">
        <f t="shared" si="1"/>
        <v>2024/25</v>
      </c>
      <c r="C22" s="6" t="str" cm="1">
        <f t="array" ref="C22">_xlfn.IFNA(INDEX('1.0 Data'!$D$9:$D$61,MATCH(A22,'1.0 Data'!$A$9:$A$61,0),0),"")</f>
        <v>Transmission Assets</v>
      </c>
      <c r="D22" s="6" t="str">
        <f>'1.0 Data'!E22</f>
        <v>Replacement expenditure</v>
      </c>
      <c r="E22" s="65">
        <f>'2.2 Capex Nominal Dollars'!E22*'1.1 Input'!E$13</f>
        <v>0</v>
      </c>
      <c r="F22" s="65">
        <f>'2.2 Capex Nominal Dollars'!F22*'1.1 Input'!F$13</f>
        <v>0</v>
      </c>
      <c r="G22" s="65">
        <f>'2.2 Capex Nominal Dollars'!G22*'1.1 Input'!G$13</f>
        <v>94017.229222400012</v>
      </c>
      <c r="H22" s="65">
        <f>'2.2 Capex Nominal Dollars'!H22*'1.1 Input'!H$13</f>
        <v>0</v>
      </c>
      <c r="I22" s="65">
        <f>'2.2 Capex Nominal Dollars'!I22*'1.1 Input'!I$13</f>
        <v>0</v>
      </c>
      <c r="J22" s="45">
        <f t="shared" si="2"/>
        <v>94017.229222400012</v>
      </c>
      <c r="L22" s="6" t="str" cm="1">
        <f t="array" ref="L22">_xlfn.IFNA(INDEX('2.0 Escalation'!$AH$9:$AH$65,MATCH(0,COUNTIF($L$1:L21,'2.0 Escalation'!$AH$9:$AH$65),0)),"")</f>
        <v>Cable Tray Install and Cable Relocation</v>
      </c>
      <c r="M22" s="14" t="str">
        <f t="shared" si="5"/>
        <v>2024/25</v>
      </c>
      <c r="N22" s="6" t="str" cm="1">
        <f t="array" ref="N22">_xlfn.IFNA(INDEX('2.0 Escalation'!$AK$9:$AK$66,MATCH($L22,'1.0 Data'!$P$9:$P$66,0),0),"")</f>
        <v>Transmission Assets</v>
      </c>
      <c r="O22" s="6" t="str" cm="1">
        <f t="array" ref="O22">_xlfn.IFNA(INDEX('1.0 Data'!$U$9:$U$66,MATCH($L22,'1.0 Data'!$P$9:$P$66,0),0),"")</f>
        <v>Replacement expenditure</v>
      </c>
      <c r="P22" s="6" t="str" cm="1">
        <f t="array" ref="P22">_xlfn.IFNA(INDEX('2.0 Escalation'!$AJ$9:$AJ$66,MATCH($L22,'1.0 Data'!$P$9:$P$66,0),0),"")</f>
        <v>Major Maintenance</v>
      </c>
      <c r="Q22" s="6">
        <f>SUMIF('2.0 Escalation'!$AH$9:$AH$65,$L22,'2.0 Escalation'!AL$9:AL$65)*'1.1 Input'!$H$13</f>
        <v>0</v>
      </c>
      <c r="R22" s="6">
        <f>SUMIF('2.0 Escalation'!$AH$9:$AH$65,$L22,'2.0 Escalation'!AM$9:AM$65)*'1.1 Input'!$H$13</f>
        <v>341220</v>
      </c>
      <c r="S22" s="6">
        <f>SUMIF('2.0 Escalation'!$AH$9:$AH$65,$L22,'2.0 Escalation'!AN$9:AN$65)*'1.1 Input'!$H$13</f>
        <v>0</v>
      </c>
      <c r="T22" s="6">
        <f>SUMIF('2.0 Escalation'!$AH$9:$AH$65,$L22,'2.0 Escalation'!AO$9:AO$65)*'1.1 Input'!$H$13</f>
        <v>0</v>
      </c>
      <c r="U22" s="6">
        <f>SUMIF('2.0 Escalation'!$AH$9:$AH$65,$L22,'2.0 Escalation'!AP$9:AP$65)*'1.1 Input'!$H$13</f>
        <v>0</v>
      </c>
      <c r="V22" s="45">
        <f t="shared" si="6"/>
        <v>341220</v>
      </c>
    </row>
    <row r="23" spans="1:22">
      <c r="A23" s="6" t="str">
        <f>'1.0 Data'!A23</f>
        <v>DL Sound Encl Panel Rep</v>
      </c>
      <c r="B23" s="14" t="str">
        <f t="shared" si="1"/>
        <v>2024/25</v>
      </c>
      <c r="C23" s="6" t="str" cm="1">
        <f t="array" ref="C23">_xlfn.IFNA(INDEX('1.0 Data'!$D$9:$D$61,MATCH(A23,'1.0 Data'!$A$9:$A$61,0),0),"")</f>
        <v>Transmission Assets</v>
      </c>
      <c r="D23" s="6" t="str">
        <f>'1.0 Data'!E23</f>
        <v>Replacement expenditure</v>
      </c>
      <c r="E23" s="65">
        <f>'2.2 Capex Nominal Dollars'!E23*'1.1 Input'!E$13</f>
        <v>0</v>
      </c>
      <c r="F23" s="65">
        <f>'2.2 Capex Nominal Dollars'!F23*'1.1 Input'!F$13</f>
        <v>0</v>
      </c>
      <c r="G23" s="65">
        <f>'2.2 Capex Nominal Dollars'!G23*'1.1 Input'!G$13</f>
        <v>7788.6300434800005</v>
      </c>
      <c r="H23" s="65">
        <f>'2.2 Capex Nominal Dollars'!H23*'1.1 Input'!H$13</f>
        <v>0</v>
      </c>
      <c r="I23" s="65">
        <f>'2.2 Capex Nominal Dollars'!I23*'1.1 Input'!I$13</f>
        <v>0</v>
      </c>
      <c r="J23" s="45">
        <f t="shared" si="2"/>
        <v>7788.6300434800005</v>
      </c>
      <c r="L23" s="6" t="str" cm="1">
        <f t="array" ref="L23">_xlfn.IFNA(INDEX('2.0 Escalation'!$AH$9:$AH$65,MATCH(0,COUNTIF($L$1:L22,'2.0 Escalation'!$AH$9:$AH$65),0)),"")</f>
        <v>Cameras for Inspections</v>
      </c>
      <c r="M23" s="14" t="str">
        <f t="shared" si="5"/>
        <v>2024/25</v>
      </c>
      <c r="N23" s="6" t="str" cm="1">
        <f t="array" ref="N23">_xlfn.IFNA(INDEX('2.0 Escalation'!$AK$9:$AK$66,MATCH($L23,'1.0 Data'!$P$9:$P$66,0),0),"")</f>
        <v>Buildings</v>
      </c>
      <c r="O23" s="6" t="str" cm="1">
        <f t="array" ref="O23">_xlfn.IFNA(INDEX('1.0 Data'!$U$9:$U$66,MATCH($L23,'1.0 Data'!$P$9:$P$66,0),0),"")</f>
        <v>Replacement expenditure</v>
      </c>
      <c r="P23" s="6" t="str" cm="1">
        <f t="array" ref="P23">_xlfn.IFNA(INDEX('2.0 Escalation'!$AJ$9:$AJ$66,MATCH($L23,'1.0 Data'!$P$9:$P$66,0),0),"")</f>
        <v>Safety and Protection</v>
      </c>
      <c r="Q23" s="6">
        <f>SUMIF('2.0 Escalation'!$AH$9:$AH$65,$L23,'2.0 Escalation'!AL$9:AL$65)*'1.1 Input'!$H$13</f>
        <v>0</v>
      </c>
      <c r="R23" s="6">
        <f>SUMIF('2.0 Escalation'!$AH$9:$AH$65,$L23,'2.0 Escalation'!AM$9:AM$65)*'1.1 Input'!$H$13</f>
        <v>0</v>
      </c>
      <c r="S23" s="6">
        <f>SUMIF('2.0 Escalation'!$AH$9:$AH$65,$L23,'2.0 Escalation'!AN$9:AN$65)*'1.1 Input'!$H$13</f>
        <v>88190.356320000006</v>
      </c>
      <c r="T23" s="6">
        <f>SUMIF('2.0 Escalation'!$AH$9:$AH$65,$L23,'2.0 Escalation'!AO$9:AO$65)*'1.1 Input'!$H$13</f>
        <v>0</v>
      </c>
      <c r="U23" s="6">
        <f>SUMIF('2.0 Escalation'!$AH$9:$AH$65,$L23,'2.0 Escalation'!AP$9:AP$65)*'1.1 Input'!$H$13</f>
        <v>0</v>
      </c>
      <c r="V23" s="45">
        <f t="shared" si="6"/>
        <v>88190.356320000006</v>
      </c>
    </row>
    <row r="24" spans="1:22">
      <c r="A24" s="6" t="str">
        <f>'1.0 Data'!A24</f>
        <v>DL_Landslip Remediation</v>
      </c>
      <c r="B24" s="14" t="str">
        <f t="shared" si="1"/>
        <v>2024/25</v>
      </c>
      <c r="C24" s="6" t="str" cm="1">
        <f t="array" ref="C24">_xlfn.IFNA(INDEX('1.0 Data'!$D$9:$D$61,MATCH(A24,'1.0 Data'!$A$9:$A$61,0),0),"")</f>
        <v>Easements</v>
      </c>
      <c r="D24" s="6" t="str">
        <f>'1.0 Data'!E24</f>
        <v>Replacement expenditure</v>
      </c>
      <c r="E24" s="65">
        <f>'2.2 Capex Nominal Dollars'!E24*'1.1 Input'!E$13</f>
        <v>0</v>
      </c>
      <c r="F24" s="65">
        <f>'2.2 Capex Nominal Dollars'!F24*'1.1 Input'!F$13</f>
        <v>0</v>
      </c>
      <c r="G24" s="65">
        <f>'2.2 Capex Nominal Dollars'!G24*'1.1 Input'!G$13</f>
        <v>8560.1977828399995</v>
      </c>
      <c r="H24" s="65">
        <f>'2.2 Capex Nominal Dollars'!H24*'1.1 Input'!H$13</f>
        <v>0</v>
      </c>
      <c r="I24" s="65">
        <f>'2.2 Capex Nominal Dollars'!I24*'1.1 Input'!I$13</f>
        <v>0</v>
      </c>
      <c r="J24" s="45">
        <f t="shared" si="2"/>
        <v>8560.1977828399995</v>
      </c>
      <c r="L24" s="6" t="str" cm="1">
        <f t="array" ref="L24">_xlfn.IFNA(INDEX('2.0 Escalation'!$AH$9:$AH$65,MATCH(0,COUNTIF($L$1:L23,'2.0 Escalation'!$AH$9:$AH$65),0)),"")</f>
        <v>Circuit Breakers</v>
      </c>
      <c r="M24" s="14" t="str">
        <f t="shared" si="5"/>
        <v>2024/25</v>
      </c>
      <c r="N24" s="6" t="str" cm="1">
        <f t="array" ref="N24">_xlfn.IFNA(INDEX('2.0 Escalation'!$AK$9:$AK$66,MATCH($L24,'1.0 Data'!$P$9:$P$66,0),0),"")</f>
        <v>Transmission Assets</v>
      </c>
      <c r="O24" s="6" t="str" cm="1">
        <f t="array" ref="O24">_xlfn.IFNA(INDEX('1.0 Data'!$U$9:$U$66,MATCH($L24,'1.0 Data'!$P$9:$P$66,0),0),"")</f>
        <v>Replacement expenditure</v>
      </c>
      <c r="P24" s="6" t="str" cm="1">
        <f t="array" ref="P24">_xlfn.IFNA(INDEX('2.0 Escalation'!$AJ$9:$AJ$66,MATCH($L24,'1.0 Data'!$P$9:$P$66,0),0),"")</f>
        <v>Major Maintenance</v>
      </c>
      <c r="Q24" s="6">
        <f>SUMIF('2.0 Escalation'!$AH$9:$AH$65,$L24,'2.0 Escalation'!AL$9:AL$65)*'1.1 Input'!$H$13</f>
        <v>136488</v>
      </c>
      <c r="R24" s="6">
        <f>SUMIF('2.0 Escalation'!$AH$9:$AH$65,$L24,'2.0 Escalation'!AM$9:AM$65)*'1.1 Input'!$H$13</f>
        <v>409464.00000000006</v>
      </c>
      <c r="S24" s="6">
        <f>SUMIF('2.0 Escalation'!$AH$9:$AH$65,$L24,'2.0 Escalation'!AN$9:AN$65)*'1.1 Input'!$H$13</f>
        <v>682440</v>
      </c>
      <c r="T24" s="6">
        <f>SUMIF('2.0 Escalation'!$AH$9:$AH$65,$L24,'2.0 Escalation'!AO$9:AO$65)*'1.1 Input'!$H$13</f>
        <v>136488</v>
      </c>
      <c r="U24" s="6">
        <f>SUMIF('2.0 Escalation'!$AH$9:$AH$65,$L24,'2.0 Escalation'!AP$9:AP$65)*'1.1 Input'!$H$13</f>
        <v>290285.40815999999</v>
      </c>
      <c r="V24" s="45">
        <f t="shared" si="6"/>
        <v>1655165.4081600001</v>
      </c>
    </row>
    <row r="25" spans="1:22">
      <c r="A25" s="6" t="str">
        <f>'1.0 Data'!A25</f>
        <v>DL_Security Audits Site Design</v>
      </c>
      <c r="B25" s="14" t="str">
        <f t="shared" si="1"/>
        <v>2024/25</v>
      </c>
      <c r="C25" s="6" t="str" cm="1">
        <f t="array" ref="C25">_xlfn.IFNA(INDEX('1.0 Data'!$D$9:$D$61,MATCH(A25,'1.0 Data'!$A$9:$A$61,0),0),"")</f>
        <v>Transmission Assets</v>
      </c>
      <c r="D25" s="6" t="str">
        <f>'1.0 Data'!E25</f>
        <v>Replacement expenditure</v>
      </c>
      <c r="E25" s="65">
        <f>'2.2 Capex Nominal Dollars'!E25*'1.1 Input'!E$13</f>
        <v>0</v>
      </c>
      <c r="F25" s="65">
        <f>'2.2 Capex Nominal Dollars'!F25*'1.1 Input'!F$13</f>
        <v>0</v>
      </c>
      <c r="G25" s="65">
        <f>'2.2 Capex Nominal Dollars'!G25*'1.1 Input'!G$13</f>
        <v>26607.084460000002</v>
      </c>
      <c r="H25" s="65">
        <f>'2.2 Capex Nominal Dollars'!H25*'1.1 Input'!H$13</f>
        <v>0</v>
      </c>
      <c r="I25" s="65">
        <f>'2.2 Capex Nominal Dollars'!I25*'1.1 Input'!I$13</f>
        <v>0</v>
      </c>
      <c r="J25" s="45">
        <f t="shared" si="2"/>
        <v>26607.084460000002</v>
      </c>
      <c r="L25" s="6" t="str" cm="1">
        <f t="array" ref="L25">_xlfn.IFNA(INDEX('2.0 Escalation'!$AH$9:$AH$65,MATCH(0,COUNTIF($L$1:L24,'2.0 Escalation'!$AH$9:$AH$65),0)),"")</f>
        <v>Cooling Tower Fans</v>
      </c>
      <c r="M25" s="14" t="str">
        <f t="shared" ref="M25:M60" si="7">IF(L25="","",$I$8)</f>
        <v>2024/25</v>
      </c>
      <c r="N25" s="6" t="str" cm="1">
        <f t="array" ref="N25">_xlfn.IFNA(INDEX('2.0 Escalation'!$AK$9:$AK$66,MATCH($L25,'1.0 Data'!$P$9:$P$66,0),0),"")</f>
        <v>Transmission Assets</v>
      </c>
      <c r="O25" s="6" t="str" cm="1">
        <f t="array" ref="O25">_xlfn.IFNA(INDEX('1.0 Data'!$U$9:$U$66,MATCH($L25,'1.0 Data'!$P$9:$P$66,0),0),"")</f>
        <v>Replacement expenditure</v>
      </c>
      <c r="P25" s="6" t="str" cm="1">
        <f t="array" ref="P25">_xlfn.IFNA(INDEX('2.0 Escalation'!$AJ$9:$AJ$66,MATCH($L25,'1.0 Data'!$P$9:$P$66,0),0),"")</f>
        <v>Major Maintenance</v>
      </c>
      <c r="Q25" s="6">
        <f>SUMIF('2.0 Escalation'!$AH$9:$AH$65,$L25,'2.0 Escalation'!AL$9:AL$65)*'1.1 Input'!$H$13</f>
        <v>119179.05171232164</v>
      </c>
      <c r="R25" s="6">
        <f>SUMIF('2.0 Escalation'!$AH$9:$AH$65,$L25,'2.0 Escalation'!AM$9:AM$65)*'1.1 Input'!$H$13</f>
        <v>120477.6588011096</v>
      </c>
      <c r="S25" s="6">
        <f>SUMIF('2.0 Escalation'!$AH$9:$AH$65,$L25,'2.0 Escalation'!AN$9:AN$65)*'1.1 Input'!$H$13</f>
        <v>121563.93291374719</v>
      </c>
      <c r="T25" s="6">
        <f>SUMIF('2.0 Escalation'!$AH$9:$AH$65,$L25,'2.0 Escalation'!AO$9:AO$65)*'1.1 Input'!$H$13</f>
        <v>122997.77898084531</v>
      </c>
      <c r="U25" s="6">
        <f>SUMIF('2.0 Escalation'!$AH$9:$AH$65,$L25,'2.0 Escalation'!AP$9:AP$65)*'1.1 Input'!$H$13</f>
        <v>124633.59898971194</v>
      </c>
      <c r="V25" s="45">
        <f t="shared" si="6"/>
        <v>608852.02139773569</v>
      </c>
    </row>
    <row r="26" spans="1:22">
      <c r="A26" s="6" t="str">
        <f>'1.0 Data'!A26</f>
        <v>DL_Specialised testing equipme</v>
      </c>
      <c r="B26" s="14" t="str">
        <f t="shared" si="1"/>
        <v>2024/25</v>
      </c>
      <c r="C26" s="6" t="str" cm="1">
        <f t="array" ref="C26">_xlfn.IFNA(INDEX('1.0 Data'!$D$9:$D$61,MATCH(A26,'1.0 Data'!$A$9:$A$61,0),0),"")</f>
        <v>Transmission Assets</v>
      </c>
      <c r="D26" s="6" t="str">
        <f>'1.0 Data'!E26</f>
        <v>Replacement expenditure</v>
      </c>
      <c r="E26" s="65">
        <f>'2.2 Capex Nominal Dollars'!E26*'1.1 Input'!E$13</f>
        <v>0</v>
      </c>
      <c r="F26" s="65">
        <f>'2.2 Capex Nominal Dollars'!F26*'1.1 Input'!F$13</f>
        <v>0</v>
      </c>
      <c r="G26" s="65">
        <f>'2.2 Capex Nominal Dollars'!G26*'1.1 Input'!G$13</f>
        <v>5165.68544888</v>
      </c>
      <c r="H26" s="65">
        <f>'2.2 Capex Nominal Dollars'!H26*'1.1 Input'!H$13</f>
        <v>0</v>
      </c>
      <c r="I26" s="65">
        <f>'2.2 Capex Nominal Dollars'!I26*'1.1 Input'!I$13</f>
        <v>0</v>
      </c>
      <c r="J26" s="45">
        <f t="shared" si="2"/>
        <v>5165.68544888</v>
      </c>
      <c r="L26" s="6" t="str" cm="1">
        <f t="array" ref="L26">_xlfn.IFNA(INDEX('2.0 Escalation'!$AH$9:$AH$65,MATCH(0,COUNTIF($L$1:L25,'2.0 Escalation'!$AH$9:$AH$65),0)),"")</f>
        <v>Cooling Tower Sound Enclosure and Roofing Corrosion Management</v>
      </c>
      <c r="M26" s="14" t="str">
        <f t="shared" si="7"/>
        <v>2024/25</v>
      </c>
      <c r="N26" s="6" t="str" cm="1">
        <f t="array" ref="N26">_xlfn.IFNA(INDEX('2.0 Escalation'!$AK$9:$AK$66,MATCH($L26,'1.0 Data'!$P$9:$P$66,0),0),"")</f>
        <v>Buildings</v>
      </c>
      <c r="O26" s="6" t="str" cm="1">
        <f t="array" ref="O26">_xlfn.IFNA(INDEX('1.0 Data'!$U$9:$U$66,MATCH($L26,'1.0 Data'!$P$9:$P$66,0),0),"")</f>
        <v>Replacement expenditure</v>
      </c>
      <c r="P26" s="6" t="str" cm="1">
        <f t="array" ref="P26">_xlfn.IFNA(INDEX('2.0 Escalation'!$AJ$9:$AJ$66,MATCH($L26,'1.0 Data'!$P$9:$P$66,0),0),"")</f>
        <v>Major Maintenance</v>
      </c>
      <c r="Q26" s="6">
        <f>SUMIF('2.0 Escalation'!$AH$9:$AH$65,$L26,'2.0 Escalation'!AL$9:AL$65)*'1.1 Input'!$H$13</f>
        <v>0</v>
      </c>
      <c r="R26" s="6">
        <f>SUMIF('2.0 Escalation'!$AH$9:$AH$65,$L26,'2.0 Escalation'!AM$9:AM$65)*'1.1 Input'!$H$13</f>
        <v>0</v>
      </c>
      <c r="S26" s="6">
        <f>SUMIF('2.0 Escalation'!$AH$9:$AH$65,$L26,'2.0 Escalation'!AN$9:AN$65)*'1.1 Input'!$H$13</f>
        <v>0</v>
      </c>
      <c r="T26" s="6">
        <f>SUMIF('2.0 Escalation'!$AH$9:$AH$65,$L26,'2.0 Escalation'!AO$9:AO$65)*'1.1 Input'!$H$13</f>
        <v>988043.04668013402</v>
      </c>
      <c r="U26" s="6">
        <f>SUMIF('2.0 Escalation'!$AH$9:$AH$65,$L26,'2.0 Escalation'!AP$9:AP$65)*'1.1 Input'!$H$13</f>
        <v>0</v>
      </c>
      <c r="V26" s="45">
        <f t="shared" si="6"/>
        <v>988043.04668013402</v>
      </c>
    </row>
    <row r="27" spans="1:22">
      <c r="A27" s="6" t="str">
        <f>'1.0 Data'!A27</f>
        <v>Dlink UPS system upgrade work</v>
      </c>
      <c r="B27" s="14" t="str">
        <f t="shared" si="1"/>
        <v>2024/25</v>
      </c>
      <c r="C27" s="6" t="str" cm="1">
        <f t="array" ref="C27">_xlfn.IFNA(INDEX('1.0 Data'!$D$9:$D$61,MATCH(A27,'1.0 Data'!$A$9:$A$61,0),0),"")</f>
        <v>Transmission Assets</v>
      </c>
      <c r="D27" s="6" t="str">
        <f>'1.0 Data'!E27</f>
        <v>Replacement expenditure</v>
      </c>
      <c r="E27" s="65">
        <f>'2.2 Capex Nominal Dollars'!E27*'1.1 Input'!E$13</f>
        <v>27627.12099608437</v>
      </c>
      <c r="F27" s="65">
        <f>'2.2 Capex Nominal Dollars'!F27*'1.1 Input'!F$13</f>
        <v>156338.00772638881</v>
      </c>
      <c r="G27" s="65">
        <f>'2.2 Capex Nominal Dollars'!G27*'1.1 Input'!G$13</f>
        <v>247816.3590958</v>
      </c>
      <c r="H27" s="65">
        <f>'2.2 Capex Nominal Dollars'!H27*'1.1 Input'!H$13</f>
        <v>0</v>
      </c>
      <c r="I27" s="65">
        <f>'2.2 Capex Nominal Dollars'!I27*'1.1 Input'!I$13</f>
        <v>0</v>
      </c>
      <c r="J27" s="45">
        <f t="shared" si="2"/>
        <v>431781.48781827313</v>
      </c>
      <c r="L27" s="6" t="str" cm="1">
        <f t="array" ref="L27">_xlfn.IFNA(INDEX('2.0 Escalation'!$AH$9:$AH$65,MATCH(0,COUNTIF($L$1:L26,'2.0 Escalation'!$AH$9:$AH$65),0)),"")</f>
        <v>Corporate Upgrade of Telstra Network</v>
      </c>
      <c r="M27" s="14" t="str">
        <f t="shared" si="7"/>
        <v>2024/25</v>
      </c>
      <c r="N27" s="6" t="str" cm="1">
        <f t="array" ref="N27">_xlfn.IFNA(INDEX('2.0 Escalation'!$AK$9:$AK$66,MATCH($L27,'1.0 Data'!$P$9:$P$66,0),0),"")</f>
        <v>Buildings</v>
      </c>
      <c r="O27" s="6" t="str" cm="1">
        <f t="array" ref="O27">_xlfn.IFNA(INDEX('1.0 Data'!$U$9:$U$66,MATCH($L27,'1.0 Data'!$P$9:$P$66,0),0),"")</f>
        <v>Replacement expenditure</v>
      </c>
      <c r="P27" s="6" t="str" cm="1">
        <f t="array" ref="P27">_xlfn.IFNA(INDEX('2.0 Escalation'!$AJ$9:$AJ$66,MATCH($L27,'1.0 Data'!$P$9:$P$66,0),0),"")</f>
        <v>Asset Monitoring</v>
      </c>
      <c r="Q27" s="6">
        <f>SUMIF('2.0 Escalation'!$AH$9:$AH$65,$L27,'2.0 Escalation'!AL$9:AL$65)*'1.1 Input'!$H$13</f>
        <v>0</v>
      </c>
      <c r="R27" s="6">
        <f>SUMIF('2.0 Escalation'!$AH$9:$AH$65,$L27,'2.0 Escalation'!AM$9:AM$65)*'1.1 Input'!$H$13</f>
        <v>0</v>
      </c>
      <c r="S27" s="6">
        <f>SUMIF('2.0 Escalation'!$AH$9:$AH$65,$L27,'2.0 Escalation'!AN$9:AN$65)*'1.1 Input'!$H$13</f>
        <v>0</v>
      </c>
      <c r="T27" s="6">
        <f>SUMIF('2.0 Escalation'!$AH$9:$AH$65,$L27,'2.0 Escalation'!AO$9:AO$65)*'1.1 Input'!$H$13</f>
        <v>0</v>
      </c>
      <c r="U27" s="6">
        <f>SUMIF('2.0 Escalation'!$AH$9:$AH$65,$L27,'2.0 Escalation'!AP$9:AP$65)*'1.1 Input'!$H$13</f>
        <v>0</v>
      </c>
      <c r="V27" s="45">
        <f t="shared" si="6"/>
        <v>0</v>
      </c>
    </row>
    <row r="28" spans="1:22">
      <c r="A28" s="6" t="str">
        <f>'1.0 Data'!A28</f>
        <v>Environmental Damage from Landslips</v>
      </c>
      <c r="B28" s="14" t="str">
        <f>IF(A28="","",$I$8)</f>
        <v>2024/25</v>
      </c>
      <c r="C28" s="6" t="str" cm="1">
        <f t="array" ref="C28">_xlfn.IFNA(INDEX('1.0 Data'!$D$9:$D$61,MATCH(A28,'1.0 Data'!$A$9:$A$61,0),0),"")</f>
        <v>Easements</v>
      </c>
      <c r="D28" s="6" t="str">
        <f>'1.0 Data'!E28</f>
        <v>Replacement expenditure</v>
      </c>
      <c r="E28" s="65">
        <f>'2.2 Capex Nominal Dollars'!E28*'1.1 Input'!E$13</f>
        <v>0</v>
      </c>
      <c r="F28" s="65">
        <f>'2.2 Capex Nominal Dollars'!F28*'1.1 Input'!F$13</f>
        <v>0</v>
      </c>
      <c r="G28" s="65">
        <f>'2.2 Capex Nominal Dollars'!G28*'1.1 Input'!G$13</f>
        <v>0</v>
      </c>
      <c r="H28" s="65">
        <f>'2.2 Capex Nominal Dollars'!H28*'1.1 Input'!H$13</f>
        <v>170610</v>
      </c>
      <c r="I28" s="65">
        <f>'2.2 Capex Nominal Dollars'!I28*'1.1 Input'!I$13</f>
        <v>282015.62057963602</v>
      </c>
      <c r="J28" s="45">
        <f>SUM(E28:I28)</f>
        <v>452625.62057963602</v>
      </c>
      <c r="L28" s="6" t="str" cm="1">
        <f t="array" ref="L28">_xlfn.IFNA(INDEX('2.0 Escalation'!$AH$9:$AH$65,MATCH(0,COUNTIF($L$1:L27,'2.0 Escalation'!$AH$9:$AH$65),0)),"")</f>
        <v>DC disconnectors</v>
      </c>
      <c r="M28" s="14" t="str">
        <f t="shared" si="7"/>
        <v>2024/25</v>
      </c>
      <c r="N28" s="6" t="str" cm="1">
        <f t="array" ref="N28">_xlfn.IFNA(INDEX('2.0 Escalation'!$AK$9:$AK$66,MATCH($L28,'1.0 Data'!$P$9:$P$66,0),0),"")</f>
        <v>Transmission Assets</v>
      </c>
      <c r="O28" s="6" t="str" cm="1">
        <f t="array" ref="O28">_xlfn.IFNA(INDEX('1.0 Data'!$U$9:$U$66,MATCH($L28,'1.0 Data'!$P$9:$P$66,0),0),"")</f>
        <v>Replacement expenditure</v>
      </c>
      <c r="P28" s="6" t="str" cm="1">
        <f t="array" ref="P28">_xlfn.IFNA(INDEX('2.0 Escalation'!$AJ$9:$AJ$66,MATCH($L28,'1.0 Data'!$P$9:$P$66,0),0),"")</f>
        <v>Safety and Protection</v>
      </c>
      <c r="Q28" s="6">
        <f>SUMIF('2.0 Escalation'!$AH$9:$AH$65,$L28,'2.0 Escalation'!AL$9:AL$65)*'1.1 Input'!$H$13</f>
        <v>446656.98000000016</v>
      </c>
      <c r="R28" s="6">
        <f>SUMIF('2.0 Escalation'!$AH$9:$AH$65,$L28,'2.0 Escalation'!AM$9:AM$65)*'1.1 Input'!$H$13</f>
        <v>0</v>
      </c>
      <c r="S28" s="6">
        <f>SUMIF('2.0 Escalation'!$AH$9:$AH$65,$L28,'2.0 Escalation'!AN$9:AN$65)*'1.1 Input'!$H$13</f>
        <v>0</v>
      </c>
      <c r="T28" s="6">
        <f>SUMIF('2.0 Escalation'!$AH$9:$AH$65,$L28,'2.0 Escalation'!AO$9:AO$65)*'1.1 Input'!$H$13</f>
        <v>0</v>
      </c>
      <c r="U28" s="6">
        <f>SUMIF('2.0 Escalation'!$AH$9:$AH$65,$L28,'2.0 Escalation'!AP$9:AP$65)*'1.1 Input'!$H$13</f>
        <v>0</v>
      </c>
      <c r="V28" s="45">
        <f t="shared" si="6"/>
        <v>446656.98000000016</v>
      </c>
    </row>
    <row r="29" spans="1:22">
      <c r="A29" s="6" t="str">
        <f>'1.0 Data'!A29</f>
        <v>Environmental Damage from Landslips (Emergency Works)</v>
      </c>
      <c r="B29" s="14" t="str">
        <f>IF(A29="","",$I$8)</f>
        <v>2024/25</v>
      </c>
      <c r="C29" s="6" t="str" cm="1">
        <f t="array" ref="C29">_xlfn.IFNA(INDEX('1.0 Data'!$D$9:$D$61,MATCH(A29,'1.0 Data'!$A$9:$A$61,0),0),"")</f>
        <v>Easements</v>
      </c>
      <c r="D29" s="6" t="str">
        <f>'1.0 Data'!E29</f>
        <v>Replacement expenditure</v>
      </c>
      <c r="E29" s="65">
        <f>'2.2 Capex Nominal Dollars'!E29*'1.1 Input'!E$13</f>
        <v>0</v>
      </c>
      <c r="F29" s="65">
        <f>'2.2 Capex Nominal Dollars'!F29*'1.1 Input'!F$13</f>
        <v>0</v>
      </c>
      <c r="G29" s="65">
        <f>'2.2 Capex Nominal Dollars'!G29*'1.1 Input'!G$13</f>
        <v>0</v>
      </c>
      <c r="H29" s="65">
        <f>'2.2 Capex Nominal Dollars'!H29*'1.1 Input'!H$13</f>
        <v>181756.52000000002</v>
      </c>
      <c r="I29" s="65">
        <f>'2.2 Capex Nominal Dollars'!I29*'1.1 Input'!I$13</f>
        <v>0</v>
      </c>
      <c r="J29" s="45">
        <f>SUM(E29:I29)</f>
        <v>181756.52000000002</v>
      </c>
      <c r="L29" s="6" t="str" cm="1">
        <f t="array" ref="L29">_xlfn.IFNA(INDEX('2.0 Escalation'!$AH$9:$AH$65,MATCH(0,COUNTIF($L$1:L28,'2.0 Escalation'!$AH$9:$AH$65),0)),"")</f>
        <v>Dehumidifier Spares in VCU</v>
      </c>
      <c r="M29" s="14" t="str">
        <f t="shared" si="7"/>
        <v>2024/25</v>
      </c>
      <c r="N29" s="6" t="str" cm="1">
        <f t="array" ref="N29">_xlfn.IFNA(INDEX('2.0 Escalation'!$AK$9:$AK$66,MATCH($L29,'1.0 Data'!$P$9:$P$66,0),0),"")</f>
        <v>Transmission Assets</v>
      </c>
      <c r="O29" s="6" t="str" cm="1">
        <f t="array" ref="O29">_xlfn.IFNA(INDEX('1.0 Data'!$U$9:$U$66,MATCH($L29,'1.0 Data'!$P$9:$P$66,0),0),"")</f>
        <v>Replacement expenditure</v>
      </c>
      <c r="P29" s="6" t="str" cm="1">
        <f t="array" ref="P29">_xlfn.IFNA(INDEX('2.0 Escalation'!$AJ$9:$AJ$66,MATCH($L29,'1.0 Data'!$P$9:$P$66,0),0),"")</f>
        <v>Spares Management</v>
      </c>
      <c r="Q29" s="6">
        <f>SUMIF('2.0 Escalation'!$AH$9:$AH$65,$L29,'2.0 Escalation'!AL$9:AL$65)*'1.1 Input'!$H$13</f>
        <v>0</v>
      </c>
      <c r="R29" s="6">
        <f>SUMIF('2.0 Escalation'!$AH$9:$AH$65,$L29,'2.0 Escalation'!AM$9:AM$65)*'1.1 Input'!$H$13</f>
        <v>0</v>
      </c>
      <c r="S29" s="6">
        <f>SUMIF('2.0 Escalation'!$AH$9:$AH$65,$L29,'2.0 Escalation'!AN$9:AN$65)*'1.1 Input'!$H$13</f>
        <v>0</v>
      </c>
      <c r="T29" s="6">
        <f>SUMIF('2.0 Escalation'!$AH$9:$AH$65,$L29,'2.0 Escalation'!AO$9:AO$65)*'1.1 Input'!$H$13</f>
        <v>0</v>
      </c>
      <c r="U29" s="6">
        <f>SUMIF('2.0 Escalation'!$AH$9:$AH$65,$L29,'2.0 Escalation'!AP$9:AP$65)*'1.1 Input'!$H$13</f>
        <v>0</v>
      </c>
      <c r="V29" s="45">
        <f t="shared" si="6"/>
        <v>0</v>
      </c>
    </row>
    <row r="30" spans="1:22">
      <c r="A30" s="6" t="str">
        <f>'1.0 Data'!A30</f>
        <v>Fire System Upgrades (2020-25)</v>
      </c>
      <c r="B30" s="14" t="str">
        <f>IF(A30="","",$I$8)</f>
        <v>2024/25</v>
      </c>
      <c r="C30" s="6" t="str" cm="1">
        <f t="array" ref="C30">_xlfn.IFNA(INDEX('1.0 Data'!$D$9:$D$61,MATCH(A30,'1.0 Data'!$A$9:$A$61,0),0),"")</f>
        <v>Transmission Assets</v>
      </c>
      <c r="D30" s="6" t="str">
        <f>'1.0 Data'!E30</f>
        <v>Replacement expenditure</v>
      </c>
      <c r="E30" s="65">
        <f>'2.2 Capex Nominal Dollars'!E30*'1.1 Input'!E$13</f>
        <v>0</v>
      </c>
      <c r="F30" s="65">
        <f>'2.2 Capex Nominal Dollars'!F30*'1.1 Input'!F$13</f>
        <v>0</v>
      </c>
      <c r="G30" s="65">
        <f>'2.2 Capex Nominal Dollars'!G30*'1.1 Input'!G$13</f>
        <v>0</v>
      </c>
      <c r="H30" s="65">
        <f>'2.2 Capex Nominal Dollars'!H30*'1.1 Input'!H$13</f>
        <v>602822</v>
      </c>
      <c r="I30" s="65">
        <f>'2.2 Capex Nominal Dollars'!I30*'1.1 Input'!I$13</f>
        <v>0</v>
      </c>
      <c r="J30" s="45">
        <f>SUM(E30:I30)</f>
        <v>602822</v>
      </c>
      <c r="L30" s="6" t="str" cm="1">
        <f t="array" ref="L30">_xlfn.IFNA(INDEX('2.0 Escalation'!$AH$9:$AH$65,MATCH(0,COUNTIF($L$1:L29,'2.0 Escalation'!$AH$9:$AH$65),0)),"")</f>
        <v>Environmental Damage from Landslips</v>
      </c>
      <c r="M30" s="14" t="str">
        <f t="shared" si="7"/>
        <v>2024/25</v>
      </c>
      <c r="N30" s="6" t="str" cm="1">
        <f t="array" ref="N30">_xlfn.IFNA(INDEX('2.0 Escalation'!$AK$9:$AK$66,MATCH($L30,'1.0 Data'!$P$9:$P$66,0),0),"")</f>
        <v>Easements</v>
      </c>
      <c r="O30" s="6" t="str" cm="1">
        <f t="array" ref="O30">_xlfn.IFNA(INDEX('1.0 Data'!$U$9:$U$66,MATCH($L30,'1.0 Data'!$P$9:$P$66,0),0),"")</f>
        <v>Replacement expenditure</v>
      </c>
      <c r="P30" s="6" t="str" cm="1">
        <f t="array" ref="P30">_xlfn.IFNA(INDEX('2.0 Escalation'!$AJ$9:$AJ$66,MATCH($L30,'1.0 Data'!$P$9:$P$66,0),0),"")</f>
        <v>Safety and Protection</v>
      </c>
      <c r="Q30" s="6">
        <f>SUMIF('2.0 Escalation'!$AH$9:$AH$65,$L30,'2.0 Escalation'!AL$9:AL$65)*'1.1 Input'!$H$13</f>
        <v>179367.98</v>
      </c>
      <c r="R30" s="6">
        <f>SUMIF('2.0 Escalation'!$AH$9:$AH$65,$L30,'2.0 Escalation'!AM$9:AM$65)*'1.1 Input'!$H$13</f>
        <v>0</v>
      </c>
      <c r="S30" s="6">
        <f>SUMIF('2.0 Escalation'!$AH$9:$AH$65,$L30,'2.0 Escalation'!AN$9:AN$65)*'1.1 Input'!$H$13</f>
        <v>0</v>
      </c>
      <c r="T30" s="6">
        <f>SUMIF('2.0 Escalation'!$AH$9:$AH$65,$L30,'2.0 Escalation'!AO$9:AO$65)*'1.1 Input'!$H$13</f>
        <v>0</v>
      </c>
      <c r="U30" s="6">
        <f>SUMIF('2.0 Escalation'!$AH$9:$AH$65,$L30,'2.0 Escalation'!AP$9:AP$65)*'1.1 Input'!$H$13</f>
        <v>0</v>
      </c>
      <c r="V30" s="45">
        <f t="shared" si="6"/>
        <v>179367.98</v>
      </c>
    </row>
    <row r="31" spans="1:22">
      <c r="A31" s="6" t="str">
        <f>'1.0 Data'!A31</f>
        <v>Hi Pot Tester / Thumper Replacement</v>
      </c>
      <c r="B31" s="14" t="str">
        <f>IF(A31="","",$I$8)</f>
        <v>2024/25</v>
      </c>
      <c r="C31" s="6" t="str" cm="1">
        <f t="array" ref="C31">_xlfn.IFNA(INDEX('1.0 Data'!$D$9:$D$61,MATCH(A31,'1.0 Data'!$A$9:$A$61,0),0),"")</f>
        <v>Transmission Assets</v>
      </c>
      <c r="D31" s="6" t="str">
        <f>'1.0 Data'!E31</f>
        <v>Replacement expenditure</v>
      </c>
      <c r="E31" s="65">
        <f>'2.2 Capex Nominal Dollars'!E31*'1.1 Input'!E$13</f>
        <v>0</v>
      </c>
      <c r="F31" s="65">
        <f>'2.2 Capex Nominal Dollars'!F31*'1.1 Input'!F$13</f>
        <v>175001.73409347408</v>
      </c>
      <c r="G31" s="65">
        <f>'2.2 Capex Nominal Dollars'!G31*'1.1 Input'!G$13</f>
        <v>0</v>
      </c>
      <c r="H31" s="65">
        <f>'2.2 Capex Nominal Dollars'!H31*'1.1 Input'!H$13</f>
        <v>0</v>
      </c>
      <c r="I31" s="65">
        <f>'2.2 Capex Nominal Dollars'!I31*'1.1 Input'!I$13</f>
        <v>0</v>
      </c>
      <c r="J31" s="45">
        <f>SUM(E31:I31)</f>
        <v>175001.73409347408</v>
      </c>
      <c r="L31" s="6" t="str" cm="1">
        <f t="array" ref="L31">_xlfn.IFNA(INDEX('2.0 Escalation'!$AH$9:$AH$65,MATCH(0,COUNTIF($L$1:L30,'2.0 Escalation'!$AH$9:$AH$65),0)),"")</f>
        <v>Environmental Damage from Landslips (Emergency Works)</v>
      </c>
      <c r="M31" s="14" t="str">
        <f t="shared" si="7"/>
        <v>2024/25</v>
      </c>
      <c r="N31" s="6" t="str" cm="1">
        <f t="array" ref="N31">_xlfn.IFNA(INDEX('2.0 Escalation'!$AK$9:$AK$66,MATCH($L31,'1.0 Data'!$P$9:$P$66,0),0),"")</f>
        <v>Easements</v>
      </c>
      <c r="O31" s="6" t="str" cm="1">
        <f t="array" ref="O31">_xlfn.IFNA(INDEX('1.0 Data'!$U$9:$U$66,MATCH($L31,'1.0 Data'!$P$9:$P$66,0),0),"")</f>
        <v>Replacement expenditure</v>
      </c>
      <c r="P31" s="6" t="str" cm="1">
        <f t="array" ref="P31">_xlfn.IFNA(INDEX('2.0 Escalation'!$AJ$9:$AJ$66,MATCH($L31,'1.0 Data'!$P$9:$P$66,0),0),"")</f>
        <v>Safety and Protection</v>
      </c>
      <c r="Q31" s="6">
        <f>SUMIF('2.0 Escalation'!$AH$9:$AH$65,$L31,'2.0 Escalation'!AL$9:AL$65)*'1.1 Input'!$H$13</f>
        <v>0</v>
      </c>
      <c r="R31" s="6">
        <f>SUMIF('2.0 Escalation'!$AH$9:$AH$65,$L31,'2.0 Escalation'!AM$9:AM$65)*'1.1 Input'!$H$13</f>
        <v>0</v>
      </c>
      <c r="S31" s="6">
        <f>SUMIF('2.0 Escalation'!$AH$9:$AH$65,$L31,'2.0 Escalation'!AN$9:AN$65)*'1.1 Input'!$H$13</f>
        <v>0</v>
      </c>
      <c r="T31" s="6">
        <f>SUMIF('2.0 Escalation'!$AH$9:$AH$65,$L31,'2.0 Escalation'!AO$9:AO$65)*'1.1 Input'!$H$13</f>
        <v>0</v>
      </c>
      <c r="U31" s="6">
        <f>SUMIF('2.0 Escalation'!$AH$9:$AH$65,$L31,'2.0 Escalation'!AP$9:AP$65)*'1.1 Input'!$H$13</f>
        <v>0</v>
      </c>
      <c r="V31" s="45">
        <f t="shared" si="6"/>
        <v>0</v>
      </c>
    </row>
    <row r="32" spans="1:22">
      <c r="A32" s="6" t="str">
        <f>'1.0 Data'!A32</f>
        <v>HVDC Spare Cable Order</v>
      </c>
      <c r="B32" s="14" t="str">
        <f t="shared" ref="B32:B37" si="8">IF(A32="","",$I$8)</f>
        <v>2024/25</v>
      </c>
      <c r="C32" s="6" t="str" cm="1">
        <f t="array" ref="C32">_xlfn.IFNA(INDEX('1.0 Data'!$D$9:$D$61,MATCH(A32,'1.0 Data'!$A$9:$A$61,0),0),"")</f>
        <v>Transmission Assets</v>
      </c>
      <c r="D32" s="6" t="str">
        <f>'1.0 Data'!E32</f>
        <v>Replacement expenditure</v>
      </c>
      <c r="E32" s="65">
        <f>'2.2 Capex Nominal Dollars'!E32*'1.1 Input'!E$13</f>
        <v>0</v>
      </c>
      <c r="F32" s="65">
        <f>'2.2 Capex Nominal Dollars'!F32*'1.1 Input'!F$13</f>
        <v>0</v>
      </c>
      <c r="G32" s="65">
        <f>'2.2 Capex Nominal Dollars'!G32*'1.1 Input'!G$13</f>
        <v>0</v>
      </c>
      <c r="H32" s="65">
        <f>'2.2 Capex Nominal Dollars'!H32*'1.1 Input'!H$13</f>
        <v>796180.00000000012</v>
      </c>
      <c r="I32" s="65">
        <f>'2.2 Capex Nominal Dollars'!I32*'1.1 Input'!I$13</f>
        <v>712932.22970655549</v>
      </c>
      <c r="J32" s="45">
        <f t="shared" ref="J32:J37" si="9">SUM(E32:I32)</f>
        <v>1509112.2297065556</v>
      </c>
      <c r="L32" s="6" t="str" cm="1">
        <f t="array" ref="L32">_xlfn.IFNA(INDEX('2.0 Escalation'!$AH$9:$AH$65,MATCH(0,COUNTIF($L$1:L31,'2.0 Escalation'!$AH$9:$AH$65),0)),"")</f>
        <v>Fibre Cables</v>
      </c>
      <c r="M32" s="14" t="str">
        <f t="shared" si="7"/>
        <v>2024/25</v>
      </c>
      <c r="N32" s="6" t="str" cm="1">
        <f t="array" ref="N32">_xlfn.IFNA(INDEX('2.0 Escalation'!$AK$9:$AK$66,MATCH($L32,'1.0 Data'!$P$9:$P$66,0),0),"")</f>
        <v>Transmission Assets</v>
      </c>
      <c r="O32" s="6" t="str" cm="1">
        <f t="array" ref="O32">_xlfn.IFNA(INDEX('1.0 Data'!$U$9:$U$66,MATCH($L32,'1.0 Data'!$P$9:$P$66,0),0),"")</f>
        <v>Replacement expenditure</v>
      </c>
      <c r="P32" s="6" t="str" cm="1">
        <f t="array" ref="P32">_xlfn.IFNA(INDEX('2.0 Escalation'!$AJ$9:$AJ$66,MATCH($L32,'1.0 Data'!$P$9:$P$66,0),0),"")</f>
        <v>Asset Monitoring</v>
      </c>
      <c r="Q32" s="6">
        <f>SUMIF('2.0 Escalation'!$AH$9:$AH$65,$L32,'2.0 Escalation'!AL$9:AL$65)*'1.1 Input'!$H$13</f>
        <v>0</v>
      </c>
      <c r="R32" s="6">
        <f>SUMIF('2.0 Escalation'!$AH$9:$AH$65,$L32,'2.0 Escalation'!AM$9:AM$65)*'1.1 Input'!$H$13</f>
        <v>0</v>
      </c>
      <c r="S32" s="6">
        <f>SUMIF('2.0 Escalation'!$AH$9:$AH$65,$L32,'2.0 Escalation'!AN$9:AN$65)*'1.1 Input'!$H$13</f>
        <v>0</v>
      </c>
      <c r="T32" s="6">
        <f>SUMIF('2.0 Escalation'!$AH$9:$AH$65,$L32,'2.0 Escalation'!AO$9:AO$65)*'1.1 Input'!$H$13</f>
        <v>0</v>
      </c>
      <c r="U32" s="6">
        <f>SUMIF('2.0 Escalation'!$AH$9:$AH$65,$L32,'2.0 Escalation'!AP$9:AP$65)*'1.1 Input'!$H$13</f>
        <v>0</v>
      </c>
      <c r="V32" s="45">
        <f t="shared" si="6"/>
        <v>0</v>
      </c>
    </row>
    <row r="33" spans="1:22">
      <c r="A33" s="6" t="str">
        <f>'1.0 Data'!A33</f>
        <v>IGBT Spares -  Mullumbimby 1 Gen 3</v>
      </c>
      <c r="B33" s="14" t="str">
        <f t="shared" si="8"/>
        <v>2024/25</v>
      </c>
      <c r="C33" s="6" t="str" cm="1">
        <f t="array" ref="C33">_xlfn.IFNA(INDEX('1.0 Data'!$D$9:$D$61,MATCH(A33,'1.0 Data'!$A$9:$A$61,0),0),"")</f>
        <v>Transmission Assets</v>
      </c>
      <c r="D33" s="6" t="str">
        <f>'1.0 Data'!E33</f>
        <v>Replacement expenditure</v>
      </c>
      <c r="E33" s="65">
        <f>'2.2 Capex Nominal Dollars'!E33*'1.1 Input'!E$13</f>
        <v>0</v>
      </c>
      <c r="F33" s="65">
        <f>'2.2 Capex Nominal Dollars'!F33*'1.1 Input'!F$13</f>
        <v>38321.102562063519</v>
      </c>
      <c r="G33" s="65">
        <f>'2.2 Capex Nominal Dollars'!G33*'1.1 Input'!G$13</f>
        <v>0</v>
      </c>
      <c r="H33" s="65">
        <f>'2.2 Capex Nominal Dollars'!H33*'1.1 Input'!H$13</f>
        <v>0</v>
      </c>
      <c r="I33" s="65">
        <f>'2.2 Capex Nominal Dollars'!I33*'1.1 Input'!I$13</f>
        <v>0</v>
      </c>
      <c r="J33" s="45">
        <f t="shared" si="9"/>
        <v>38321.102562063519</v>
      </c>
      <c r="L33" s="6" t="str" cm="1">
        <f t="array" ref="L33">_xlfn.IFNA(INDEX('2.0 Escalation'!$AH$9:$AH$65,MATCH(0,COUNTIF($L$1:L32,'2.0 Escalation'!$AH$9:$AH$65),0)),"")</f>
        <v>Fire System Upgrades (2020-25)</v>
      </c>
      <c r="M33" s="14" t="str">
        <f t="shared" si="7"/>
        <v>2024/25</v>
      </c>
      <c r="N33" s="6" t="str" cm="1">
        <f t="array" ref="N33">_xlfn.IFNA(INDEX('2.0 Escalation'!$AK$9:$AK$66,MATCH($L33,'1.0 Data'!$P$9:$P$66,0),0),"")</f>
        <v>Transmission Assets</v>
      </c>
      <c r="O33" s="6" t="str" cm="1">
        <f t="array" ref="O33">_xlfn.IFNA(INDEX('1.0 Data'!$U$9:$U$66,MATCH($L33,'1.0 Data'!$P$9:$P$66,0),0),"")</f>
        <v>Replacement expenditure</v>
      </c>
      <c r="P33" s="6" t="str" cm="1">
        <f t="array" ref="P33">_xlfn.IFNA(INDEX('2.0 Escalation'!$AJ$9:$AJ$66,MATCH($L33,'1.0 Data'!$P$9:$P$66,0),0),"")</f>
        <v>Major Maintenance</v>
      </c>
      <c r="Q33" s="6">
        <f>SUMIF('2.0 Escalation'!$AH$9:$AH$65,$L33,'2.0 Escalation'!AL$9:AL$65)*'1.1 Input'!$H$13</f>
        <v>0</v>
      </c>
      <c r="R33" s="6">
        <f>SUMIF('2.0 Escalation'!$AH$9:$AH$65,$L33,'2.0 Escalation'!AM$9:AM$65)*'1.1 Input'!$H$13</f>
        <v>0</v>
      </c>
      <c r="S33" s="6">
        <f>SUMIF('2.0 Escalation'!$AH$9:$AH$65,$L33,'2.0 Escalation'!AN$9:AN$65)*'1.1 Input'!$H$13</f>
        <v>0</v>
      </c>
      <c r="T33" s="6">
        <f>SUMIF('2.0 Escalation'!$AH$9:$AH$65,$L33,'2.0 Escalation'!AO$9:AO$65)*'1.1 Input'!$H$13</f>
        <v>0</v>
      </c>
      <c r="U33" s="6">
        <f>SUMIF('2.0 Escalation'!$AH$9:$AH$65,$L33,'2.0 Escalation'!AP$9:AP$65)*'1.1 Input'!$H$13</f>
        <v>0</v>
      </c>
      <c r="V33" s="45">
        <f t="shared" si="6"/>
        <v>0</v>
      </c>
    </row>
    <row r="34" spans="1:22">
      <c r="A34" s="6" t="str">
        <f>'1.0 Data'!A34</f>
        <v>Industrial computer control system upgrade</v>
      </c>
      <c r="B34" s="14" t="str">
        <f t="shared" si="8"/>
        <v>2024/25</v>
      </c>
      <c r="C34" s="6" t="str" cm="1">
        <f t="array" ref="C34">_xlfn.IFNA(INDEX('1.0 Data'!$D$9:$D$61,MATCH(A34,'1.0 Data'!$A$9:$A$61,0),0),"")</f>
        <v>Transmission Assets</v>
      </c>
      <c r="D34" s="6" t="str">
        <f>'1.0 Data'!E34</f>
        <v>Replacement expenditure</v>
      </c>
      <c r="E34" s="65">
        <f>'2.2 Capex Nominal Dollars'!E34*'1.1 Input'!E$13</f>
        <v>4874.5431856705818</v>
      </c>
      <c r="F34" s="65">
        <f>'2.2 Capex Nominal Dollars'!F34*'1.1 Input'!F$13</f>
        <v>21930.330135056887</v>
      </c>
      <c r="G34" s="65">
        <f>'2.2 Capex Nominal Dollars'!G34*'1.1 Input'!G$13</f>
        <v>0</v>
      </c>
      <c r="H34" s="65">
        <f>'2.2 Capex Nominal Dollars'!H34*'1.1 Input'!H$13</f>
        <v>0</v>
      </c>
      <c r="I34" s="65">
        <f>'2.2 Capex Nominal Dollars'!I34*'1.1 Input'!I$13</f>
        <v>0</v>
      </c>
      <c r="J34" s="45">
        <f t="shared" si="9"/>
        <v>26804.873320727471</v>
      </c>
      <c r="L34" s="6" t="str" cm="1">
        <f t="array" ref="L34">_xlfn.IFNA(INDEX('2.0 Escalation'!$AH$9:$AH$65,MATCH(0,COUNTIF($L$1:L33,'2.0 Escalation'!$AH$9:$AH$65),0)),"")</f>
        <v>Fire System Upgrades (2026-30)</v>
      </c>
      <c r="M34" s="14" t="str">
        <f t="shared" si="7"/>
        <v>2024/25</v>
      </c>
      <c r="N34" s="6" t="str" cm="1">
        <f t="array" ref="N34">_xlfn.IFNA(INDEX('2.0 Escalation'!$AK$9:$AK$66,MATCH($L34,'1.0 Data'!$P$9:$P$66,0),0),"")</f>
        <v>Transmission Assets</v>
      </c>
      <c r="O34" s="6" t="str" cm="1">
        <f t="array" ref="O34">_xlfn.IFNA(INDEX('1.0 Data'!$U$9:$U$66,MATCH($L34,'1.0 Data'!$P$9:$P$66,0),0),"")</f>
        <v>Replacement expenditure</v>
      </c>
      <c r="P34" s="6" t="str" cm="1">
        <f t="array" ref="P34">_xlfn.IFNA(INDEX('2.0 Escalation'!$AJ$9:$AJ$66,MATCH($L34,'1.0 Data'!$P$9:$P$66,0),0),"")</f>
        <v>Major Maintenance</v>
      </c>
      <c r="Q34" s="6">
        <f>SUMIF('2.0 Escalation'!$AH$9:$AH$65,$L34,'2.0 Escalation'!AL$9:AL$65)*'1.1 Input'!$H$13</f>
        <v>0</v>
      </c>
      <c r="R34" s="6">
        <f>SUMIF('2.0 Escalation'!$AH$9:$AH$65,$L34,'2.0 Escalation'!AM$9:AM$65)*'1.1 Input'!$H$13</f>
        <v>0</v>
      </c>
      <c r="S34" s="6">
        <f>SUMIF('2.0 Escalation'!$AH$9:$AH$65,$L34,'2.0 Escalation'!AN$9:AN$65)*'1.1 Input'!$H$13</f>
        <v>214968.60000000003</v>
      </c>
      <c r="T34" s="6">
        <f>SUMIF('2.0 Escalation'!$AH$9:$AH$65,$L34,'2.0 Escalation'!AO$9:AO$65)*'1.1 Input'!$H$13</f>
        <v>214968.60000000003</v>
      </c>
      <c r="U34" s="6">
        <f>SUMIF('2.0 Escalation'!$AH$9:$AH$65,$L34,'2.0 Escalation'!AP$9:AP$65)*'1.1 Input'!$H$13</f>
        <v>214968.60000000003</v>
      </c>
      <c r="V34" s="45">
        <f t="shared" si="6"/>
        <v>644905.80000000005</v>
      </c>
    </row>
    <row r="35" spans="1:22">
      <c r="A35" s="6" t="str">
        <f>'1.0 Data'!A35</f>
        <v>IT equiptment</v>
      </c>
      <c r="B35" s="14" t="str">
        <f t="shared" si="8"/>
        <v>2024/25</v>
      </c>
      <c r="C35" s="6" t="str" cm="1">
        <f t="array" ref="C35">_xlfn.IFNA(INDEX('1.0 Data'!$D$9:$D$61,MATCH(A35,'1.0 Data'!$A$9:$A$61,0),0),"")</f>
        <v>Transmission Assets</v>
      </c>
      <c r="D35" s="6" t="str">
        <f>'1.0 Data'!E35</f>
        <v>Replacement expenditure</v>
      </c>
      <c r="E35" s="65">
        <f>'2.2 Capex Nominal Dollars'!E35*'1.1 Input'!E$13</f>
        <v>1490.0867299316722</v>
      </c>
      <c r="F35" s="65">
        <f>'2.2 Capex Nominal Dollars'!F35*'1.1 Input'!F$13</f>
        <v>0</v>
      </c>
      <c r="G35" s="65">
        <f>'2.2 Capex Nominal Dollars'!G35*'1.1 Input'!G$13</f>
        <v>0</v>
      </c>
      <c r="H35" s="65">
        <f>'2.2 Capex Nominal Dollars'!H35*'1.1 Input'!H$13</f>
        <v>0</v>
      </c>
      <c r="I35" s="65">
        <f>'2.2 Capex Nominal Dollars'!I35*'1.1 Input'!I$13</f>
        <v>0</v>
      </c>
      <c r="J35" s="45">
        <f t="shared" si="9"/>
        <v>1490.0867299316722</v>
      </c>
      <c r="L35" s="6" t="str" cm="1">
        <f t="array" ref="L35">_xlfn.IFNA(INDEX('2.0 Escalation'!$AH$9:$AH$65,MATCH(0,COUNTIF($L$1:L34,'2.0 Escalation'!$AH$9:$AH$65),0)),"")</f>
        <v>HV circuit breakers crank housing</v>
      </c>
      <c r="M35" s="14" t="str">
        <f t="shared" si="7"/>
        <v>2024/25</v>
      </c>
      <c r="N35" s="6" t="str" cm="1">
        <f t="array" ref="N35">_xlfn.IFNA(INDEX('2.0 Escalation'!$AK$9:$AK$66,MATCH($L35,'1.0 Data'!$P$9:$P$66,0),0),"")</f>
        <v>Transmission Assets</v>
      </c>
      <c r="O35" s="6" t="str" cm="1">
        <f t="array" ref="O35">_xlfn.IFNA(INDEX('1.0 Data'!$U$9:$U$66,MATCH($L35,'1.0 Data'!$P$9:$P$66,0),0),"")</f>
        <v>Replacement expenditure</v>
      </c>
      <c r="P35" s="6" t="str" cm="1">
        <f t="array" ref="P35">_xlfn.IFNA(INDEX('2.0 Escalation'!$AJ$9:$AJ$66,MATCH($L35,'1.0 Data'!$P$9:$P$66,0),0),"")</f>
        <v>Spares Management</v>
      </c>
      <c r="Q35" s="6">
        <f>SUMIF('2.0 Escalation'!$AH$9:$AH$65,$L35,'2.0 Escalation'!AL$9:AL$65)*'1.1 Input'!$H$13</f>
        <v>0</v>
      </c>
      <c r="R35" s="6">
        <f>SUMIF('2.0 Escalation'!$AH$9:$AH$65,$L35,'2.0 Escalation'!AM$9:AM$65)*'1.1 Input'!$H$13</f>
        <v>0</v>
      </c>
      <c r="S35" s="6">
        <f>SUMIF('2.0 Escalation'!$AH$9:$AH$65,$L35,'2.0 Escalation'!AN$9:AN$65)*'1.1 Input'!$H$13</f>
        <v>0</v>
      </c>
      <c r="T35" s="6">
        <f>SUMIF('2.0 Escalation'!$AH$9:$AH$65,$L35,'2.0 Escalation'!AO$9:AO$65)*'1.1 Input'!$H$13</f>
        <v>0</v>
      </c>
      <c r="U35" s="6">
        <f>SUMIF('2.0 Escalation'!$AH$9:$AH$65,$L35,'2.0 Escalation'!AP$9:AP$65)*'1.1 Input'!$H$13</f>
        <v>0</v>
      </c>
      <c r="V35" s="45">
        <f t="shared" si="6"/>
        <v>0</v>
      </c>
    </row>
    <row r="36" spans="1:22">
      <c r="A36" s="6" t="str">
        <f>'1.0 Data'!A36</f>
        <v>Mid-Life Criticality Assessment</v>
      </c>
      <c r="B36" s="14" t="str">
        <f t="shared" si="8"/>
        <v>2024/25</v>
      </c>
      <c r="C36" s="6" t="str" cm="1">
        <f t="array" ref="C36">_xlfn.IFNA(INDEX('1.0 Data'!$D$9:$D$61,MATCH(A36,'1.0 Data'!$A$9:$A$61,0),0),"")</f>
        <v>Transmission Assets</v>
      </c>
      <c r="D36" s="6" t="str">
        <f>'1.0 Data'!E36</f>
        <v>Replacement expenditure</v>
      </c>
      <c r="E36" s="65">
        <f>'2.2 Capex Nominal Dollars'!E36*'1.1 Input'!E$13</f>
        <v>0</v>
      </c>
      <c r="F36" s="65">
        <f>'2.2 Capex Nominal Dollars'!F36*'1.1 Input'!F$13</f>
        <v>0</v>
      </c>
      <c r="G36" s="65">
        <f>'2.2 Capex Nominal Dollars'!G36*'1.1 Input'!G$13</f>
        <v>0</v>
      </c>
      <c r="H36" s="65">
        <f>'2.2 Capex Nominal Dollars'!H36*'1.1 Input'!H$13</f>
        <v>113740.00000000001</v>
      </c>
      <c r="I36" s="65">
        <f>'2.2 Capex Nominal Dollars'!I36*'1.1 Input'!I$13</f>
        <v>0</v>
      </c>
      <c r="J36" s="45">
        <f t="shared" si="9"/>
        <v>113740.00000000001</v>
      </c>
      <c r="L36" s="6" t="str" cm="1">
        <f t="array" ref="L36">_xlfn.IFNA(INDEX('2.0 Escalation'!$AH$9:$AH$65,MATCH(0,COUNTIF($L$1:L35,'2.0 Escalation'!$AH$9:$AH$65),0)),"")</f>
        <v>HVDC Spare Cable Management</v>
      </c>
      <c r="M36" s="14" t="str">
        <f t="shared" si="7"/>
        <v>2024/25</v>
      </c>
      <c r="N36" s="6" t="str" cm="1">
        <f t="array" ref="N36">_xlfn.IFNA(INDEX('2.0 Escalation'!$AK$9:$AK$66,MATCH($L36,'1.0 Data'!$P$9:$P$66,0),0),"")</f>
        <v>Transmission Assets</v>
      </c>
      <c r="O36" s="6" t="str" cm="1">
        <f t="array" ref="O36">_xlfn.IFNA(INDEX('1.0 Data'!$U$9:$U$66,MATCH($L36,'1.0 Data'!$P$9:$P$66,0),0),"")</f>
        <v>Replacement expenditure</v>
      </c>
      <c r="P36" s="6" t="str" cm="1">
        <f t="array" ref="P36">_xlfn.IFNA(INDEX('2.0 Escalation'!$AJ$9:$AJ$66,MATCH($L36,'1.0 Data'!$P$9:$P$66,0),0),"")</f>
        <v>Spares Management</v>
      </c>
      <c r="Q36" s="6">
        <f>SUMIF('2.0 Escalation'!$AH$9:$AH$65,$L36,'2.0 Escalation'!AL$9:AL$65)*'1.1 Input'!$H$13</f>
        <v>0</v>
      </c>
      <c r="R36" s="6">
        <f>SUMIF('2.0 Escalation'!$AH$9:$AH$65,$L36,'2.0 Escalation'!AM$9:AM$65)*'1.1 Input'!$H$13</f>
        <v>0</v>
      </c>
      <c r="S36" s="6">
        <f>SUMIF('2.0 Escalation'!$AH$9:$AH$65,$L36,'2.0 Escalation'!AN$9:AN$65)*'1.1 Input'!$H$13</f>
        <v>0</v>
      </c>
      <c r="T36" s="6">
        <f>SUMIF('2.0 Escalation'!$AH$9:$AH$65,$L36,'2.0 Escalation'!AO$9:AO$65)*'1.1 Input'!$H$13</f>
        <v>0</v>
      </c>
      <c r="U36" s="6">
        <f>SUMIF('2.0 Escalation'!$AH$9:$AH$65,$L36,'2.0 Escalation'!AP$9:AP$65)*'1.1 Input'!$H$13</f>
        <v>0</v>
      </c>
      <c r="V36" s="45">
        <f t="shared" si="6"/>
        <v>0</v>
      </c>
    </row>
    <row r="37" spans="1:22">
      <c r="A37" s="6" t="str">
        <f>'1.0 Data'!A37</f>
        <v>Obsolete IGBTs</v>
      </c>
      <c r="B37" s="14" t="str">
        <f t="shared" si="8"/>
        <v>2024/25</v>
      </c>
      <c r="C37" s="6" t="str" cm="1">
        <f t="array" ref="C37">_xlfn.IFNA(INDEX('1.0 Data'!$D$9:$D$61,MATCH(A37,'1.0 Data'!$A$9:$A$61,0),0),"")</f>
        <v>Transmission Assets</v>
      </c>
      <c r="D37" s="6" t="str">
        <f>'1.0 Data'!E37</f>
        <v>Replacement expenditure</v>
      </c>
      <c r="E37" s="65">
        <f>'2.2 Capex Nominal Dollars'!E37*'1.1 Input'!E$13</f>
        <v>0</v>
      </c>
      <c r="F37" s="65">
        <f>'2.2 Capex Nominal Dollars'!F37*'1.1 Input'!F$13</f>
        <v>1317832.5746397122</v>
      </c>
      <c r="G37" s="65">
        <f>'2.2 Capex Nominal Dollars'!G37*'1.1 Input'!G$13</f>
        <v>6610911.1557249213</v>
      </c>
      <c r="H37" s="65">
        <f>'2.2 Capex Nominal Dollars'!H37*'1.1 Input'!H$13</f>
        <v>10627280.976400001</v>
      </c>
      <c r="I37" s="65">
        <f>'2.2 Capex Nominal Dollars'!I37*'1.1 Input'!I$13</f>
        <v>1438086.1547795087</v>
      </c>
      <c r="J37" s="45">
        <f t="shared" si="9"/>
        <v>19994110.861544143</v>
      </c>
      <c r="L37" s="6" t="str" cm="1">
        <f t="array" ref="L37">_xlfn.IFNA(INDEX('2.0 Escalation'!$AH$9:$AH$65,MATCH(0,COUNTIF($L$1:L36,'2.0 Escalation'!$AH$9:$AH$65),0)),"")</f>
        <v>HVDC Spare Cable Order</v>
      </c>
      <c r="M37" s="14" t="str">
        <f t="shared" si="7"/>
        <v>2024/25</v>
      </c>
      <c r="N37" s="6" t="str" cm="1">
        <f t="array" ref="N37">_xlfn.IFNA(INDEX('2.0 Escalation'!$AK$9:$AK$66,MATCH($L37,'1.0 Data'!$P$9:$P$66,0),0),"")</f>
        <v>Transmission Assets</v>
      </c>
      <c r="O37" s="6" t="str" cm="1">
        <f t="array" ref="O37">_xlfn.IFNA(INDEX('1.0 Data'!$U$9:$U$66,MATCH($L37,'1.0 Data'!$P$9:$P$66,0),0),"")</f>
        <v>Replacement expenditure</v>
      </c>
      <c r="P37" s="6" t="str" cm="1">
        <f t="array" ref="P37">_xlfn.IFNA(INDEX('2.0 Escalation'!$AJ$9:$AJ$66,MATCH($L37,'1.0 Data'!$P$9:$P$66,0),0),"")</f>
        <v>Major Maintenance</v>
      </c>
      <c r="Q37" s="6">
        <f>SUMIF('2.0 Escalation'!$AH$9:$AH$65,$L37,'2.0 Escalation'!AL$9:AL$65)*'1.1 Input'!$H$13</f>
        <v>0</v>
      </c>
      <c r="R37" s="6">
        <f>SUMIF('2.0 Escalation'!$AH$9:$AH$65,$L37,'2.0 Escalation'!AM$9:AM$65)*'1.1 Input'!$H$13</f>
        <v>0</v>
      </c>
      <c r="S37" s="6">
        <f>SUMIF('2.0 Escalation'!$AH$9:$AH$65,$L37,'2.0 Escalation'!AN$9:AN$65)*'1.1 Input'!$H$13</f>
        <v>0</v>
      </c>
      <c r="T37" s="6">
        <f>SUMIF('2.0 Escalation'!$AH$9:$AH$65,$L37,'2.0 Escalation'!AO$9:AO$65)*'1.1 Input'!$H$13</f>
        <v>0</v>
      </c>
      <c r="U37" s="6">
        <f>SUMIF('2.0 Escalation'!$AH$9:$AH$65,$L37,'2.0 Escalation'!AP$9:AP$65)*'1.1 Input'!$H$13</f>
        <v>0</v>
      </c>
      <c r="V37" s="45">
        <f t="shared" si="6"/>
        <v>0</v>
      </c>
    </row>
    <row r="38" spans="1:22">
      <c r="A38" s="6" t="str">
        <f>'1.0 Data'!A38</f>
        <v>Office equipment</v>
      </c>
      <c r="B38" s="14" t="str">
        <f t="shared" ref="B38:B44" si="10">IF(A38="","",$I$8)</f>
        <v>2024/25</v>
      </c>
      <c r="C38" s="6" t="str" cm="1">
        <f t="array" ref="C38">_xlfn.IFNA(INDEX('1.0 Data'!$D$9:$D$61,MATCH(A38,'1.0 Data'!$A$9:$A$61,0),0),"")</f>
        <v>Transmission Assets</v>
      </c>
      <c r="D38" s="6" t="str">
        <f>'1.0 Data'!E38</f>
        <v>Replacement expenditure</v>
      </c>
      <c r="E38" s="65">
        <f>'2.2 Capex Nominal Dollars'!E38*'1.1 Input'!E$13</f>
        <v>2882.1614526839594</v>
      </c>
      <c r="F38" s="65">
        <f>'2.2 Capex Nominal Dollars'!F38*'1.1 Input'!F$13</f>
        <v>0</v>
      </c>
      <c r="G38" s="65">
        <f>'2.2 Capex Nominal Dollars'!G38*'1.1 Input'!G$13</f>
        <v>0</v>
      </c>
      <c r="H38" s="65">
        <f>'2.2 Capex Nominal Dollars'!H38*'1.1 Input'!H$13</f>
        <v>0</v>
      </c>
      <c r="I38" s="65">
        <f>'2.2 Capex Nominal Dollars'!I38*'1.1 Input'!I$13</f>
        <v>0</v>
      </c>
      <c r="J38" s="45">
        <f t="shared" ref="J38:J49" si="11">SUM(E38:I38)</f>
        <v>2882.1614526839594</v>
      </c>
      <c r="L38" s="6" t="str" cm="1">
        <f t="array" ref="L38">_xlfn.IFNA(INDEX('2.0 Escalation'!$AH$9:$AH$65,MATCH(0,COUNTIF($L$1:L37,'2.0 Escalation'!$AH$9:$AH$65),0)),"")</f>
        <v>IGBT Generation 3 Upgrade</v>
      </c>
      <c r="M38" s="14" t="str">
        <f t="shared" si="7"/>
        <v>2024/25</v>
      </c>
      <c r="N38" s="6" t="str" cm="1">
        <f t="array" ref="N38">_xlfn.IFNA(INDEX('2.0 Escalation'!$AK$9:$AK$66,MATCH($L38,'1.0 Data'!$P$9:$P$66,0),0),"")</f>
        <v>Transmission Assets</v>
      </c>
      <c r="O38" s="6" t="str" cm="1">
        <f t="array" ref="O38">_xlfn.IFNA(INDEX('1.0 Data'!$U$9:$U$66,MATCH($L38,'1.0 Data'!$P$9:$P$66,0),0),"")</f>
        <v>Replacement expenditure</v>
      </c>
      <c r="P38" s="6" t="str" cm="1">
        <f t="array" ref="P38">_xlfn.IFNA(INDEX('2.0 Escalation'!$AJ$9:$AJ$66,MATCH($L38,'1.0 Data'!$P$9:$P$66,0),0),"")</f>
        <v>IGBTs</v>
      </c>
      <c r="Q38" s="6">
        <f>SUMIF('2.0 Escalation'!$AH$9:$AH$65,$L38,'2.0 Escalation'!AL$9:AL$65)*'1.1 Input'!$H$13</f>
        <v>6058148.406200001</v>
      </c>
      <c r="R38" s="6">
        <f>SUMIF('2.0 Escalation'!$AH$9:$AH$65,$L38,'2.0 Escalation'!AM$9:AM$65)*'1.1 Input'!$H$13</f>
        <v>0</v>
      </c>
      <c r="S38" s="6">
        <f>SUMIF('2.0 Escalation'!$AH$9:$AH$65,$L38,'2.0 Escalation'!AN$9:AN$65)*'1.1 Input'!$H$13</f>
        <v>0</v>
      </c>
      <c r="T38" s="6">
        <f>SUMIF('2.0 Escalation'!$AH$9:$AH$65,$L38,'2.0 Escalation'!AO$9:AO$65)*'1.1 Input'!$H$13</f>
        <v>0</v>
      </c>
      <c r="U38" s="6">
        <f>SUMIF('2.0 Escalation'!$AH$9:$AH$65,$L38,'2.0 Escalation'!AP$9:AP$65)*'1.1 Input'!$H$13</f>
        <v>0</v>
      </c>
      <c r="V38" s="45">
        <f t="shared" si="6"/>
        <v>6058148.406200001</v>
      </c>
    </row>
    <row r="39" spans="1:22">
      <c r="A39" s="6" t="str">
        <f>'1.0 Data'!A39</f>
        <v>Operations Asset Integration</v>
      </c>
      <c r="B39" s="14" t="str">
        <f t="shared" si="10"/>
        <v>2024/25</v>
      </c>
      <c r="C39" s="6" t="str" cm="1">
        <f t="array" ref="C39">_xlfn.IFNA(INDEX('1.0 Data'!$D$9:$D$61,MATCH(A39,'1.0 Data'!$A$9:$A$61,0),0),"")</f>
        <v>Transmission Assets</v>
      </c>
      <c r="D39" s="6" t="str">
        <f>'1.0 Data'!E39</f>
        <v>Replacement expenditure</v>
      </c>
      <c r="E39" s="65">
        <f>'2.2 Capex Nominal Dollars'!E39*'1.1 Input'!E$13</f>
        <v>0</v>
      </c>
      <c r="F39" s="65">
        <f>'2.2 Capex Nominal Dollars'!F39*'1.1 Input'!F$13</f>
        <v>0</v>
      </c>
      <c r="G39" s="65">
        <f>'2.2 Capex Nominal Dollars'!G39*'1.1 Input'!G$13</f>
        <v>0</v>
      </c>
      <c r="H39" s="65">
        <f>'2.2 Capex Nominal Dollars'!H39*'1.1 Input'!H$13</f>
        <v>0</v>
      </c>
      <c r="I39" s="65">
        <f>'2.2 Capex Nominal Dollars'!I39*'1.1 Input'!I$13</f>
        <v>83107.528491507037</v>
      </c>
      <c r="J39" s="45">
        <f t="shared" si="11"/>
        <v>83107.528491507037</v>
      </c>
      <c r="L39" s="6" t="str" cm="1">
        <f t="array" ref="L39">_xlfn.IFNA(INDEX('2.0 Escalation'!$AH$9:$AH$65,MATCH(0,COUNTIF($L$1:L38,'2.0 Escalation'!$AH$9:$AH$65),0)),"")</f>
        <v>IGBT Spares</v>
      </c>
      <c r="M39" s="14" t="str">
        <f t="shared" si="7"/>
        <v>2024/25</v>
      </c>
      <c r="N39" s="6" t="str" cm="1">
        <f t="array" ref="N39">_xlfn.IFNA(INDEX('2.0 Escalation'!$AK$9:$AK$66,MATCH($L39,'1.0 Data'!$P$9:$P$66,0),0),"")</f>
        <v>Transmission Assets</v>
      </c>
      <c r="O39" s="6" t="str" cm="1">
        <f t="array" ref="O39">_xlfn.IFNA(INDEX('1.0 Data'!$U$9:$U$66,MATCH($L39,'1.0 Data'!$P$9:$P$66,0),0),"")</f>
        <v>Replacement expenditure</v>
      </c>
      <c r="P39" s="6" t="str" cm="1">
        <f t="array" ref="P39">_xlfn.IFNA(INDEX('2.0 Escalation'!$AJ$9:$AJ$66,MATCH($L39,'1.0 Data'!$P$9:$P$66,0),0),"")</f>
        <v>Spares Management</v>
      </c>
      <c r="Q39" s="6">
        <f>SUMIF('2.0 Escalation'!$AH$9:$AH$65,$L39,'2.0 Escalation'!AL$9:AL$65)*'1.1 Input'!$H$13</f>
        <v>0</v>
      </c>
      <c r="R39" s="6">
        <f>SUMIF('2.0 Escalation'!$AH$9:$AH$65,$L39,'2.0 Escalation'!AM$9:AM$65)*'1.1 Input'!$H$13</f>
        <v>0</v>
      </c>
      <c r="S39" s="6">
        <f>SUMIF('2.0 Escalation'!$AH$9:$AH$65,$L39,'2.0 Escalation'!AN$9:AN$65)*'1.1 Input'!$H$13</f>
        <v>0</v>
      </c>
      <c r="T39" s="6">
        <f>SUMIF('2.0 Escalation'!$AH$9:$AH$65,$L39,'2.0 Escalation'!AO$9:AO$65)*'1.1 Input'!$H$13</f>
        <v>0</v>
      </c>
      <c r="U39" s="6">
        <f>SUMIF('2.0 Escalation'!$AH$9:$AH$65,$L39,'2.0 Escalation'!AP$9:AP$65)*'1.1 Input'!$H$13</f>
        <v>0</v>
      </c>
      <c r="V39" s="45">
        <f t="shared" si="6"/>
        <v>0</v>
      </c>
    </row>
    <row r="40" spans="1:22">
      <c r="A40" s="6" t="str">
        <f>'1.0 Data'!A40</f>
        <v>Optic Fibres</v>
      </c>
      <c r="B40" s="14" t="str">
        <f t="shared" si="10"/>
        <v>2024/25</v>
      </c>
      <c r="C40" s="6" t="str" cm="1">
        <f t="array" ref="C40">_xlfn.IFNA(INDEX('1.0 Data'!$D$9:$D$61,MATCH(A40,'1.0 Data'!$A$9:$A$61,0),0),"")</f>
        <v>Transmission Assets</v>
      </c>
      <c r="D40" s="6" t="str">
        <f>'1.0 Data'!E40</f>
        <v>Replacement expenditure</v>
      </c>
      <c r="E40" s="65">
        <f>'2.2 Capex Nominal Dollars'!E40*'1.1 Input'!E$13</f>
        <v>134532.24782725965</v>
      </c>
      <c r="F40" s="65">
        <f>'2.2 Capex Nominal Dollars'!F40*'1.1 Input'!F$13</f>
        <v>0</v>
      </c>
      <c r="G40" s="65">
        <f>'2.2 Capex Nominal Dollars'!G40*'1.1 Input'!G$13</f>
        <v>3093.4143050800003</v>
      </c>
      <c r="H40" s="65">
        <f>'2.2 Capex Nominal Dollars'!H40*'1.1 Input'!H$13</f>
        <v>0</v>
      </c>
      <c r="I40" s="65">
        <f>'2.2 Capex Nominal Dollars'!I40*'1.1 Input'!I$13</f>
        <v>0</v>
      </c>
      <c r="J40" s="45">
        <f t="shared" si="11"/>
        <v>137625.66213233964</v>
      </c>
      <c r="L40" s="6" t="str" cm="1">
        <f t="array" ref="L40">_xlfn.IFNA(INDEX('2.0 Escalation'!$AH$9:$AH$65,MATCH(0,COUNTIF($L$1:L39,'2.0 Escalation'!$AH$9:$AH$65),0)),"")</f>
        <v>IGBT Water Cooling System Midlife Refurbishment</v>
      </c>
      <c r="M40" s="14" t="str">
        <f t="shared" si="7"/>
        <v>2024/25</v>
      </c>
      <c r="N40" s="6" t="str" cm="1">
        <f t="array" ref="N40">_xlfn.IFNA(INDEX('2.0 Escalation'!$AK$9:$AK$66,MATCH($L40,'1.0 Data'!$P$9:$P$66,0),0),"")</f>
        <v>Transmission Assets</v>
      </c>
      <c r="O40" s="6" t="str" cm="1">
        <f t="array" ref="O40">_xlfn.IFNA(INDEX('1.0 Data'!$U$9:$U$66,MATCH($L40,'1.0 Data'!$P$9:$P$66,0),0),"")</f>
        <v>Replacement expenditure</v>
      </c>
      <c r="P40" s="6" t="str" cm="1">
        <f t="array" ref="P40">_xlfn.IFNA(INDEX('2.0 Escalation'!$AJ$9:$AJ$66,MATCH($L40,'1.0 Data'!$P$9:$P$66,0),0),"")</f>
        <v>Major Maintenance</v>
      </c>
      <c r="Q40" s="6">
        <f>SUMIF('2.0 Escalation'!$AH$9:$AH$65,$L40,'2.0 Escalation'!AL$9:AL$65)*'1.1 Input'!$H$13</f>
        <v>68244</v>
      </c>
      <c r="R40" s="6">
        <f>SUMIF('2.0 Escalation'!$AH$9:$AH$65,$L40,'2.0 Escalation'!AM$9:AM$65)*'1.1 Input'!$H$13</f>
        <v>68244</v>
      </c>
      <c r="S40" s="6">
        <f>SUMIF('2.0 Escalation'!$AH$9:$AH$65,$L40,'2.0 Escalation'!AN$9:AN$65)*'1.1 Input'!$H$13</f>
        <v>154231.44</v>
      </c>
      <c r="T40" s="6">
        <f>SUMIF('2.0 Escalation'!$AH$9:$AH$65,$L40,'2.0 Escalation'!AO$9:AO$65)*'1.1 Input'!$H$13</f>
        <v>477708.00000000006</v>
      </c>
      <c r="U40" s="6">
        <f>SUMIF('2.0 Escalation'!$AH$9:$AH$65,$L40,'2.0 Escalation'!AP$9:AP$65)*'1.1 Input'!$H$13</f>
        <v>68244</v>
      </c>
      <c r="V40" s="45">
        <f t="shared" si="6"/>
        <v>836671.44000000006</v>
      </c>
    </row>
    <row r="41" spans="1:22">
      <c r="A41" s="6" t="str">
        <f>'1.0 Data'!A41</f>
        <v>Physical Site Security and Public Protection - Bangalora</v>
      </c>
      <c r="B41" s="14" t="str">
        <f t="shared" si="10"/>
        <v>2024/25</v>
      </c>
      <c r="C41" s="6" t="str" cm="1">
        <f t="array" ref="C41">_xlfn.IFNA(INDEX('1.0 Data'!$D$9:$D$61,MATCH(A41,'1.0 Data'!$A$9:$A$61,0),0),"")</f>
        <v>Buildings</v>
      </c>
      <c r="D41" s="6" t="str">
        <f>'1.0 Data'!E41</f>
        <v>Replacement expenditure</v>
      </c>
      <c r="E41" s="65">
        <f>'2.2 Capex Nominal Dollars'!E41*'1.1 Input'!E$13</f>
        <v>0</v>
      </c>
      <c r="F41" s="65">
        <f>'2.2 Capex Nominal Dollars'!F41*'1.1 Input'!F$13</f>
        <v>0</v>
      </c>
      <c r="G41" s="65">
        <f>'2.2 Capex Nominal Dollars'!G41*'1.1 Input'!G$13</f>
        <v>0</v>
      </c>
      <c r="H41" s="65">
        <f>'2.2 Capex Nominal Dollars'!H41*'1.1 Input'!H$13</f>
        <v>0</v>
      </c>
      <c r="I41" s="65">
        <f>'2.2 Capex Nominal Dollars'!I41*'1.1 Input'!I$13</f>
        <v>580615.74227993621</v>
      </c>
      <c r="J41" s="45">
        <f t="shared" si="11"/>
        <v>580615.74227993621</v>
      </c>
      <c r="L41" s="6" t="str" cm="1">
        <f t="array" ref="L41">_xlfn.IFNA(INDEX('2.0 Escalation'!$AH$9:$AH$65,MATCH(0,COUNTIF($L$1:L40,'2.0 Escalation'!$AH$9:$AH$65),0)),"")</f>
        <v>Incoming Capacitors</v>
      </c>
      <c r="M41" s="14" t="str">
        <f t="shared" si="7"/>
        <v>2024/25</v>
      </c>
      <c r="N41" s="6" t="str" cm="1">
        <f t="array" ref="N41">_xlfn.IFNA(INDEX('2.0 Escalation'!$AK$9:$AK$66,MATCH($L41,'1.0 Data'!$P$9:$P$66,0),0),"")</f>
        <v>Transmission Assets</v>
      </c>
      <c r="O41" s="6" t="str" cm="1">
        <f t="array" ref="O41">_xlfn.IFNA(INDEX('1.0 Data'!$U$9:$U$66,MATCH($L41,'1.0 Data'!$P$9:$P$66,0),0),"")</f>
        <v>Replacement expenditure</v>
      </c>
      <c r="P41" s="6" t="str" cm="1">
        <f t="array" ref="P41">_xlfn.IFNA(INDEX('2.0 Escalation'!$AJ$9:$AJ$66,MATCH($L41,'1.0 Data'!$P$9:$P$66,0),0),"")</f>
        <v>Spares Management</v>
      </c>
      <c r="Q41" s="6">
        <f>SUMIF('2.0 Escalation'!$AH$9:$AH$65,$L41,'2.0 Escalation'!AL$9:AL$65)*'1.1 Input'!$H$13</f>
        <v>0</v>
      </c>
      <c r="R41" s="6">
        <f>SUMIF('2.0 Escalation'!$AH$9:$AH$65,$L41,'2.0 Escalation'!AM$9:AM$65)*'1.1 Input'!$H$13</f>
        <v>0</v>
      </c>
      <c r="S41" s="6">
        <f>SUMIF('2.0 Escalation'!$AH$9:$AH$65,$L41,'2.0 Escalation'!AN$9:AN$65)*'1.1 Input'!$H$13</f>
        <v>0</v>
      </c>
      <c r="T41" s="6">
        <f>SUMIF('2.0 Escalation'!$AH$9:$AH$65,$L41,'2.0 Escalation'!AO$9:AO$65)*'1.1 Input'!$H$13</f>
        <v>0</v>
      </c>
      <c r="U41" s="6">
        <f>SUMIF('2.0 Escalation'!$AH$9:$AH$65,$L41,'2.0 Escalation'!AP$9:AP$65)*'1.1 Input'!$H$13</f>
        <v>0</v>
      </c>
      <c r="V41" s="45">
        <f t="shared" si="6"/>
        <v>0</v>
      </c>
    </row>
    <row r="42" spans="1:22">
      <c r="A42" s="6" t="str">
        <f>'1.0 Data'!A42</f>
        <v>Physical Site Security and Public Protection - Mullumbimby</v>
      </c>
      <c r="B42" s="14" t="str">
        <f t="shared" si="10"/>
        <v>2024/25</v>
      </c>
      <c r="C42" s="6" t="str" cm="1">
        <f t="array" ref="C42">_xlfn.IFNA(INDEX('1.0 Data'!$D$9:$D$61,MATCH(A42,'1.0 Data'!$A$9:$A$61,0),0),"")</f>
        <v>Buildings</v>
      </c>
      <c r="D42" s="6" t="str">
        <f>'1.0 Data'!E42</f>
        <v>Replacement expenditure</v>
      </c>
      <c r="E42" s="65">
        <f>'2.2 Capex Nominal Dollars'!E42*'1.1 Input'!E$13</f>
        <v>0</v>
      </c>
      <c r="F42" s="65">
        <f>'2.2 Capex Nominal Dollars'!F42*'1.1 Input'!F$13</f>
        <v>0</v>
      </c>
      <c r="G42" s="65">
        <f>'2.2 Capex Nominal Dollars'!G42*'1.1 Input'!G$13</f>
        <v>0</v>
      </c>
      <c r="H42" s="65">
        <f>'2.2 Capex Nominal Dollars'!H42*'1.1 Input'!H$13</f>
        <v>0</v>
      </c>
      <c r="I42" s="65">
        <f>'2.2 Capex Nominal Dollars'!I42*'1.1 Input'!I$13</f>
        <v>672970.34128227527</v>
      </c>
      <c r="J42" s="45">
        <f t="shared" si="11"/>
        <v>672970.34128227527</v>
      </c>
      <c r="L42" s="6" t="str" cm="1">
        <f t="array" ref="L42">_xlfn.IFNA(INDEX('2.0 Escalation'!$AH$9:$AH$65,MATCH(0,COUNTIF($L$1:L41,'2.0 Escalation'!$AH$9:$AH$65),0)),"")</f>
        <v>Internal Fencing Protection</v>
      </c>
      <c r="M42" s="14" t="str">
        <f t="shared" si="7"/>
        <v>2024/25</v>
      </c>
      <c r="N42" s="6" t="str" cm="1">
        <f t="array" ref="N42">_xlfn.IFNA(INDEX('2.0 Escalation'!$AK$9:$AK$66,MATCH($L42,'1.0 Data'!$P$9:$P$66,0),0),"")</f>
        <v>Buildings</v>
      </c>
      <c r="O42" s="6" t="str" cm="1">
        <f t="array" ref="O42">_xlfn.IFNA(INDEX('1.0 Data'!$U$9:$U$66,MATCH($L42,'1.0 Data'!$P$9:$P$66,0),0),"")</f>
        <v>Replacement expenditure</v>
      </c>
      <c r="P42" s="6" t="str" cm="1">
        <f t="array" ref="P42">_xlfn.IFNA(INDEX('2.0 Escalation'!$AJ$9:$AJ$66,MATCH($L42,'1.0 Data'!$P$9:$P$66,0),0),"")</f>
        <v>Safety and Protection</v>
      </c>
      <c r="Q42" s="6">
        <f>SUMIF('2.0 Escalation'!$AH$9:$AH$65,$L42,'2.0 Escalation'!AL$9:AL$65)*'1.1 Input'!$H$13</f>
        <v>0</v>
      </c>
      <c r="R42" s="6">
        <f>SUMIF('2.0 Escalation'!$AH$9:$AH$65,$L42,'2.0 Escalation'!AM$9:AM$65)*'1.1 Input'!$H$13</f>
        <v>0</v>
      </c>
      <c r="S42" s="6">
        <f>SUMIF('2.0 Escalation'!$AH$9:$AH$65,$L42,'2.0 Escalation'!AN$9:AN$65)*'1.1 Input'!$H$13</f>
        <v>0</v>
      </c>
      <c r="T42" s="6">
        <f>SUMIF('2.0 Escalation'!$AH$9:$AH$65,$L42,'2.0 Escalation'!AO$9:AO$65)*'1.1 Input'!$H$13</f>
        <v>0</v>
      </c>
      <c r="U42" s="6">
        <f>SUMIF('2.0 Escalation'!$AH$9:$AH$65,$L42,'2.0 Escalation'!AP$9:AP$65)*'1.1 Input'!$H$13</f>
        <v>0</v>
      </c>
      <c r="V42" s="45">
        <f t="shared" si="6"/>
        <v>0</v>
      </c>
    </row>
    <row r="43" spans="1:22">
      <c r="A43" s="6" t="str">
        <f>'1.0 Data'!A43</f>
        <v>PLC Reactor Filters</v>
      </c>
      <c r="B43" s="14" t="str">
        <f t="shared" si="10"/>
        <v>2024/25</v>
      </c>
      <c r="C43" s="6" t="str" cm="1">
        <f t="array" ref="C43">_xlfn.IFNA(INDEX('1.0 Data'!$D$9:$D$61,MATCH(A43,'1.0 Data'!$A$9:$A$61,0),0),"")</f>
        <v>Transmission Assets</v>
      </c>
      <c r="D43" s="6" t="str">
        <f>'1.0 Data'!E43</f>
        <v>Replacement expenditure</v>
      </c>
      <c r="E43" s="65">
        <f>'2.2 Capex Nominal Dollars'!E43*'1.1 Input'!E$13</f>
        <v>0</v>
      </c>
      <c r="F43" s="65">
        <f>'2.2 Capex Nominal Dollars'!F43*'1.1 Input'!F$13</f>
        <v>0</v>
      </c>
      <c r="G43" s="65">
        <f>'2.2 Capex Nominal Dollars'!G43*'1.1 Input'!G$13</f>
        <v>0</v>
      </c>
      <c r="H43" s="65">
        <f>'2.2 Capex Nominal Dollars'!H43*'1.1 Input'!H$13</f>
        <v>0</v>
      </c>
      <c r="I43" s="65">
        <f>'2.2 Capex Nominal Dollars'!I43*'1.1 Input'!I$13</f>
        <v>0</v>
      </c>
      <c r="J43" s="45">
        <f t="shared" si="11"/>
        <v>0</v>
      </c>
      <c r="L43" s="6" t="str" cm="1">
        <f t="array" ref="L43">_xlfn.IFNA(INDEX('2.0 Escalation'!$AH$9:$AH$65,MATCH(0,COUNTIF($L$1:L42,'2.0 Escalation'!$AH$9:$AH$65),0)),"")</f>
        <v>Land Grading</v>
      </c>
      <c r="M43" s="14" t="str">
        <f t="shared" si="7"/>
        <v>2024/25</v>
      </c>
      <c r="N43" s="6" t="str" cm="1">
        <f t="array" ref="N43">_xlfn.IFNA(INDEX('2.0 Escalation'!$AK$9:$AK$66,MATCH($L43,'1.0 Data'!$P$9:$P$66,0),0),"")</f>
        <v>Buildings</v>
      </c>
      <c r="O43" s="6" t="str" cm="1">
        <f t="array" ref="O43">_xlfn.IFNA(INDEX('1.0 Data'!$U$9:$U$66,MATCH($L43,'1.0 Data'!$P$9:$P$66,0),0),"")</f>
        <v>Replacement expenditure</v>
      </c>
      <c r="P43" s="6" t="str" cm="1">
        <f t="array" ref="P43">_xlfn.IFNA(INDEX('2.0 Escalation'!$AJ$9:$AJ$66,MATCH($L43,'1.0 Data'!$P$9:$P$66,0),0),"")</f>
        <v>Major Maintenance</v>
      </c>
      <c r="Q43" s="6">
        <f>SUMIF('2.0 Escalation'!$AH$9:$AH$65,$L43,'2.0 Escalation'!AL$9:AL$65)*'1.1 Input'!$H$13</f>
        <v>32757.120000000006</v>
      </c>
      <c r="R43" s="6">
        <f>SUMIF('2.0 Escalation'!$AH$9:$AH$65,$L43,'2.0 Escalation'!AM$9:AM$65)*'1.1 Input'!$H$13</f>
        <v>32757.120000000006</v>
      </c>
      <c r="S43" s="6">
        <f>SUMIF('2.0 Escalation'!$AH$9:$AH$65,$L43,'2.0 Escalation'!AN$9:AN$65)*'1.1 Input'!$H$13</f>
        <v>0</v>
      </c>
      <c r="T43" s="6">
        <f>SUMIF('2.0 Escalation'!$AH$9:$AH$65,$L43,'2.0 Escalation'!AO$9:AO$65)*'1.1 Input'!$H$13</f>
        <v>0</v>
      </c>
      <c r="U43" s="6">
        <f>SUMIF('2.0 Escalation'!$AH$9:$AH$65,$L43,'2.0 Escalation'!AP$9:AP$65)*'1.1 Input'!$H$13</f>
        <v>0</v>
      </c>
      <c r="V43" s="45">
        <f t="shared" si="6"/>
        <v>65514.240000000013</v>
      </c>
    </row>
    <row r="44" spans="1:22">
      <c r="A44" s="6" t="str">
        <f>'1.0 Data'!A44</f>
        <v>Power Quality Metering</v>
      </c>
      <c r="B44" s="14" t="str">
        <f t="shared" si="10"/>
        <v>2024/25</v>
      </c>
      <c r="C44" s="6" t="str" cm="1">
        <f t="array" ref="C44">_xlfn.IFNA(INDEX('1.0 Data'!$D$9:$D$61,MATCH(A44,'1.0 Data'!$A$9:$A$61,0),0),"")</f>
        <v>Transmission Assets</v>
      </c>
      <c r="D44" s="6" t="str">
        <f>'1.0 Data'!E44</f>
        <v>Replacement expenditure</v>
      </c>
      <c r="E44" s="65">
        <f>'2.2 Capex Nominal Dollars'!E44*'1.1 Input'!E$13</f>
        <v>0</v>
      </c>
      <c r="F44" s="65">
        <f>'2.2 Capex Nominal Dollars'!F44*'1.1 Input'!F$13</f>
        <v>0</v>
      </c>
      <c r="G44" s="65">
        <f>'2.2 Capex Nominal Dollars'!G44*'1.1 Input'!G$13</f>
        <v>0</v>
      </c>
      <c r="H44" s="65">
        <f>'2.2 Capex Nominal Dollars'!H44*'1.1 Input'!H$13</f>
        <v>0</v>
      </c>
      <c r="I44" s="65">
        <f>'2.2 Capex Nominal Dollars'!I44*'1.1 Input'!I$13</f>
        <v>0</v>
      </c>
      <c r="J44" s="45">
        <f t="shared" si="11"/>
        <v>0</v>
      </c>
      <c r="L44" s="6" t="str" cm="1">
        <f t="array" ref="L44">_xlfn.IFNA(INDEX('2.0 Escalation'!$AH$9:$AH$65,MATCH(0,COUNTIF($L$1:L43,'2.0 Escalation'!$AH$9:$AH$65),0)),"")</f>
        <v>Master Controller- FEED</v>
      </c>
      <c r="M44" s="14" t="str">
        <f t="shared" si="7"/>
        <v>2024/25</v>
      </c>
      <c r="N44" s="6" t="str" cm="1">
        <f t="array" ref="N44">_xlfn.IFNA(INDEX('2.0 Escalation'!$AK$9:$AK$66,MATCH($L44,'1.0 Data'!$P$9:$P$66,0),0),"")</f>
        <v>Transmission Assets</v>
      </c>
      <c r="O44" s="6" t="str" cm="1">
        <f t="array" ref="O44">_xlfn.IFNA(INDEX('1.0 Data'!$U$9:$U$66,MATCH($L44,'1.0 Data'!$P$9:$P$66,0),0),"")</f>
        <v>Replacement expenditure</v>
      </c>
      <c r="P44" s="6" t="str" cm="1">
        <f t="array" ref="P44">_xlfn.IFNA(INDEX('2.0 Escalation'!$AJ$9:$AJ$66,MATCH($L44,'1.0 Data'!$P$9:$P$66,0),0),"")</f>
        <v>Asset Monitoring</v>
      </c>
      <c r="Q44" s="6">
        <f>SUMIF('2.0 Escalation'!$AH$9:$AH$65,$L44,'2.0 Escalation'!AL$9:AL$65)*'1.1 Input'!$H$13</f>
        <v>0</v>
      </c>
      <c r="R44" s="6">
        <f>SUMIF('2.0 Escalation'!$AH$9:$AH$65,$L44,'2.0 Escalation'!AM$9:AM$65)*'1.1 Input'!$H$13</f>
        <v>0</v>
      </c>
      <c r="S44" s="6">
        <f>SUMIF('2.0 Escalation'!$AH$9:$AH$65,$L44,'2.0 Escalation'!AN$9:AN$65)*'1.1 Input'!$H$13</f>
        <v>0</v>
      </c>
      <c r="T44" s="6">
        <f>SUMIF('2.0 Escalation'!$AH$9:$AH$65,$L44,'2.0 Escalation'!AO$9:AO$65)*'1.1 Input'!$H$13</f>
        <v>0</v>
      </c>
      <c r="U44" s="6">
        <f>SUMIF('2.0 Escalation'!$AH$9:$AH$65,$L44,'2.0 Escalation'!AP$9:AP$65)*'1.1 Input'!$H$13</f>
        <v>136488</v>
      </c>
      <c r="V44" s="45">
        <f t="shared" si="6"/>
        <v>136488</v>
      </c>
    </row>
    <row r="45" spans="1:22">
      <c r="A45" s="6" t="str">
        <f>'1.0 Data'!A45</f>
        <v>Refurbishment/Replacement</v>
      </c>
      <c r="B45" s="14"/>
      <c r="C45" s="6" t="str" cm="1">
        <f t="array" ref="C45">_xlfn.IFNA(INDEX('1.0 Data'!$D$9:$D$61,MATCH(A45,'1.0 Data'!$A$9:$A$61,0),0),"")</f>
        <v>Transmission Assets</v>
      </c>
      <c r="D45" s="6" t="str">
        <f>'1.0 Data'!E45</f>
        <v>Replacement expenditure</v>
      </c>
      <c r="E45" s="65">
        <f>'2.2 Capex Nominal Dollars'!E45*'1.1 Input'!E$13</f>
        <v>19579.410519704026</v>
      </c>
      <c r="F45" s="65">
        <f>'2.2 Capex Nominal Dollars'!F45*'1.1 Input'!F$13</f>
        <v>721838.94250814104</v>
      </c>
      <c r="G45" s="65">
        <f>'2.2 Capex Nominal Dollars'!G45*'1.1 Input'!G$13</f>
        <v>383560.55390488001</v>
      </c>
      <c r="H45" s="65">
        <f>'2.2 Capex Nominal Dollars'!H45*'1.1 Input'!H$13</f>
        <v>0</v>
      </c>
      <c r="I45" s="65">
        <f>'2.2 Capex Nominal Dollars'!I45*'1.1 Input'!I$13</f>
        <v>0</v>
      </c>
      <c r="J45" s="45">
        <f t="shared" si="11"/>
        <v>1124978.9069327251</v>
      </c>
      <c r="L45" s="6" t="str" cm="1">
        <f t="array" ref="L45">_xlfn.IFNA(INDEX('2.0 Escalation'!$AH$9:$AH$65,MATCH(0,COUNTIF($L$1:L44,'2.0 Escalation'!$AH$9:$AH$65),0)),"")</f>
        <v>Mid-Life Criticality Assessment</v>
      </c>
      <c r="M45" s="14" t="str">
        <f t="shared" si="7"/>
        <v>2024/25</v>
      </c>
      <c r="N45" s="6" t="str" cm="1">
        <f t="array" ref="N45">_xlfn.IFNA(INDEX('2.0 Escalation'!$AK$9:$AK$66,MATCH($L45,'1.0 Data'!$P$9:$P$66,0),0),"")</f>
        <v>Transmission Assets</v>
      </c>
      <c r="O45" s="6" t="str" cm="1">
        <f t="array" ref="O45">_xlfn.IFNA(INDEX('1.0 Data'!$U$9:$U$66,MATCH($L45,'1.0 Data'!$P$9:$P$66,0),0),"")</f>
        <v>Replacement expenditure</v>
      </c>
      <c r="P45" s="6" t="str" cm="1">
        <f t="array" ref="P45">_xlfn.IFNA(INDEX('2.0 Escalation'!$AJ$9:$AJ$66,MATCH($L45,'1.0 Data'!$P$9:$P$66,0),0),"")</f>
        <v>Asset Monitoring</v>
      </c>
      <c r="Q45" s="6">
        <f>SUMIF('2.0 Escalation'!$AH$9:$AH$65,$L45,'2.0 Escalation'!AL$9:AL$65)*'1.1 Input'!$H$13</f>
        <v>0</v>
      </c>
      <c r="R45" s="6">
        <f>SUMIF('2.0 Escalation'!$AH$9:$AH$65,$L45,'2.0 Escalation'!AM$9:AM$65)*'1.1 Input'!$H$13</f>
        <v>0</v>
      </c>
      <c r="S45" s="6">
        <f>SUMIF('2.0 Escalation'!$AH$9:$AH$65,$L45,'2.0 Escalation'!AN$9:AN$65)*'1.1 Input'!$H$13</f>
        <v>0</v>
      </c>
      <c r="T45" s="6">
        <f>SUMIF('2.0 Escalation'!$AH$9:$AH$65,$L45,'2.0 Escalation'!AO$9:AO$65)*'1.1 Input'!$H$13</f>
        <v>0</v>
      </c>
      <c r="U45" s="6">
        <f>SUMIF('2.0 Escalation'!$AH$9:$AH$65,$L45,'2.0 Escalation'!AP$9:AP$65)*'1.1 Input'!$H$13</f>
        <v>0</v>
      </c>
      <c r="V45" s="45">
        <f t="shared" si="6"/>
        <v>0</v>
      </c>
    </row>
    <row r="46" spans="1:22">
      <c r="A46" s="6" t="str">
        <f>'1.0 Data'!A46</f>
        <v>Zero Seq Reactor</v>
      </c>
      <c r="B46" s="14"/>
      <c r="C46" s="6" t="str" cm="1">
        <f t="array" ref="C46">_xlfn.IFNA(INDEX('1.0 Data'!$D$9:$D$61,MATCH(A46,'1.0 Data'!$A$9:$A$61,0),0),"")</f>
        <v>Transmission Assets</v>
      </c>
      <c r="D46" s="6" t="str">
        <f>'1.0 Data'!E46</f>
        <v>Replacement expenditure</v>
      </c>
      <c r="E46" s="65">
        <f>'2.2 Capex Nominal Dollars'!E46*'1.1 Input'!E$13</f>
        <v>1129653.0627309633</v>
      </c>
      <c r="F46" s="65">
        <f>'2.2 Capex Nominal Dollars'!F46*'1.1 Input'!F$13</f>
        <v>0</v>
      </c>
      <c r="G46" s="65">
        <f>'2.2 Capex Nominal Dollars'!G46*'1.1 Input'!G$13</f>
        <v>0</v>
      </c>
      <c r="H46" s="65">
        <f>'2.2 Capex Nominal Dollars'!H46*'1.1 Input'!H$13</f>
        <v>0</v>
      </c>
      <c r="I46" s="65">
        <f>'2.2 Capex Nominal Dollars'!I46*'1.1 Input'!I$13</f>
        <v>0</v>
      </c>
      <c r="J46" s="45">
        <f t="shared" si="11"/>
        <v>1129653.0627309633</v>
      </c>
      <c r="L46" s="6" t="str" cm="1">
        <f t="array" ref="L46">_xlfn.IFNA(INDEX('2.0 Escalation'!$AH$9:$AH$65,MATCH(0,COUNTIF($L$1:L45,'2.0 Escalation'!$AH$9:$AH$65),0)),"")</f>
        <v>Network Cable Testing Equipment</v>
      </c>
      <c r="M46" s="14" t="str">
        <f t="shared" si="7"/>
        <v>2024/25</v>
      </c>
      <c r="N46" s="6" t="str" cm="1">
        <f t="array" ref="N46">_xlfn.IFNA(INDEX('2.0 Escalation'!$AK$9:$AK$66,MATCH($L46,'1.0 Data'!$P$9:$P$66,0),0),"")</f>
        <v>Transmission Assets</v>
      </c>
      <c r="O46" s="6" t="str" cm="1">
        <f t="array" ref="O46">_xlfn.IFNA(INDEX('1.0 Data'!$U$9:$U$66,MATCH($L46,'1.0 Data'!$P$9:$P$66,0),0),"")</f>
        <v>Replacement expenditure</v>
      </c>
      <c r="P46" s="6" t="str" cm="1">
        <f t="array" ref="P46">_xlfn.IFNA(INDEX('2.0 Escalation'!$AJ$9:$AJ$66,MATCH($L46,'1.0 Data'!$P$9:$P$66,0),0),"")</f>
        <v>Asset Monitoring</v>
      </c>
      <c r="Q46" s="6">
        <f>SUMIF('2.0 Escalation'!$AH$9:$AH$65,$L46,'2.0 Escalation'!AL$9:AL$65)*'1.1 Input'!$H$13</f>
        <v>0</v>
      </c>
      <c r="R46" s="6">
        <f>SUMIF('2.0 Escalation'!$AH$9:$AH$65,$L46,'2.0 Escalation'!AM$9:AM$65)*'1.1 Input'!$H$13</f>
        <v>0</v>
      </c>
      <c r="S46" s="6">
        <f>SUMIF('2.0 Escalation'!$AH$9:$AH$65,$L46,'2.0 Escalation'!AN$9:AN$65)*'1.1 Input'!$H$13</f>
        <v>0</v>
      </c>
      <c r="T46" s="6">
        <f>SUMIF('2.0 Escalation'!$AH$9:$AH$65,$L46,'2.0 Escalation'!AO$9:AO$65)*'1.1 Input'!$H$13</f>
        <v>0</v>
      </c>
      <c r="U46" s="6">
        <f>SUMIF('2.0 Escalation'!$AH$9:$AH$65,$L46,'2.0 Escalation'!AP$9:AP$65)*'1.1 Input'!$H$13</f>
        <v>0</v>
      </c>
      <c r="V46" s="45">
        <f t="shared" si="6"/>
        <v>0</v>
      </c>
    </row>
    <row r="47" spans="1:22">
      <c r="A47" s="6" t="str">
        <f>'1.0 Data'!A47</f>
        <v>Other stay in business capex</v>
      </c>
      <c r="B47" s="14"/>
      <c r="C47" s="6" t="str" cm="1">
        <f t="array" ref="C47">_xlfn.IFNA(INDEX('1.0 Data'!$D$9:$D$61,MATCH(A47,'1.0 Data'!$A$9:$A$61,0),0),"")</f>
        <v>Transmission Assets</v>
      </c>
      <c r="D47" s="6" t="str">
        <f>'1.0 Data'!E47</f>
        <v>Replacement expenditure</v>
      </c>
      <c r="E47" s="65">
        <f>'2.2 Capex Nominal Dollars'!E47*'1.1 Input'!E$13</f>
        <v>0</v>
      </c>
      <c r="F47" s="65">
        <f>'2.2 Capex Nominal Dollars'!F47*'1.1 Input'!F$13</f>
        <v>0</v>
      </c>
      <c r="G47" s="65">
        <f>'2.2 Capex Nominal Dollars'!G47*'1.1 Input'!G$13</f>
        <v>0</v>
      </c>
      <c r="H47" s="65">
        <f>'2.2 Capex Nominal Dollars'!H47*'1.1 Input'!H$13</f>
        <v>0</v>
      </c>
      <c r="I47" s="65">
        <f>'2.2 Capex Nominal Dollars'!I47*'1.1 Input'!I$13</f>
        <v>0</v>
      </c>
      <c r="J47" s="45">
        <f t="shared" si="11"/>
        <v>0</v>
      </c>
      <c r="L47" s="6" t="str" cm="1">
        <f t="array" ref="L47">_xlfn.IFNA(INDEX('2.0 Escalation'!$AH$9:$AH$65,MATCH(0,COUNTIF($L$1:L46,'2.0 Escalation'!$AH$9:$AH$65),0)),"")</f>
        <v>On-going Major Capital Maintenance</v>
      </c>
      <c r="M47" s="14" t="str">
        <f t="shared" si="7"/>
        <v>2024/25</v>
      </c>
      <c r="N47" s="6" t="str" cm="1">
        <f t="array" ref="N47">_xlfn.IFNA(INDEX('2.0 Escalation'!$AK$9:$AK$66,MATCH($L47,'1.0 Data'!$P$9:$P$66,0),0),"")</f>
        <v>Transmission Assets</v>
      </c>
      <c r="O47" s="6" t="str" cm="1">
        <f t="array" ref="O47">_xlfn.IFNA(INDEX('1.0 Data'!$U$9:$U$66,MATCH($L47,'1.0 Data'!$P$9:$P$66,0),0),"")</f>
        <v>Replacement expenditure</v>
      </c>
      <c r="P47" s="6" t="str" cm="1">
        <f t="array" ref="P47">_xlfn.IFNA(INDEX('2.0 Escalation'!$AJ$9:$AJ$66,MATCH($L47,'1.0 Data'!$P$9:$P$66,0),0),"")</f>
        <v>Major Maintenance</v>
      </c>
      <c r="Q47" s="6">
        <f>SUMIF('2.0 Escalation'!$AH$9:$AH$65,$L47,'2.0 Escalation'!AL$9:AL$65)*'1.1 Input'!$H$13</f>
        <v>170610</v>
      </c>
      <c r="R47" s="6">
        <f>SUMIF('2.0 Escalation'!$AH$9:$AH$65,$L47,'2.0 Escalation'!AM$9:AM$65)*'1.1 Input'!$H$13</f>
        <v>170610</v>
      </c>
      <c r="S47" s="6">
        <f>SUMIF('2.0 Escalation'!$AH$9:$AH$65,$L47,'2.0 Escalation'!AN$9:AN$65)*'1.1 Input'!$H$13</f>
        <v>170610</v>
      </c>
      <c r="T47" s="6">
        <f>SUMIF('2.0 Escalation'!$AH$9:$AH$65,$L47,'2.0 Escalation'!AO$9:AO$65)*'1.1 Input'!$H$13</f>
        <v>170610</v>
      </c>
      <c r="U47" s="6">
        <f>SUMIF('2.0 Escalation'!$AH$9:$AH$65,$L47,'2.0 Escalation'!AP$9:AP$65)*'1.1 Input'!$H$13</f>
        <v>170610</v>
      </c>
      <c r="V47" s="45">
        <f t="shared" si="6"/>
        <v>853050</v>
      </c>
    </row>
    <row r="48" spans="1:22">
      <c r="A48" s="6" t="str">
        <f>'1.0 Data'!A48</f>
        <v xml:space="preserve">Revenue Determination Costs </v>
      </c>
      <c r="B48" s="14"/>
      <c r="C48" s="6" t="str" cm="1">
        <f t="array" ref="C48">_xlfn.IFNA(INDEX('1.0 Data'!$D$9:$D$61,MATCH(A48,'1.0 Data'!$A$9:$A$61,0),0),"")</f>
        <v>Revenue Determination Costs</v>
      </c>
      <c r="D48" s="6" t="str">
        <f>'1.0 Data'!E48</f>
        <v>Replacement expenditure</v>
      </c>
      <c r="E48" s="65">
        <f>'2.2 Capex Nominal Dollars'!E48*'1.1 Input'!E$13</f>
        <v>0</v>
      </c>
      <c r="F48" s="65">
        <f>'2.2 Capex Nominal Dollars'!F48*'1.1 Input'!F$13</f>
        <v>0</v>
      </c>
      <c r="G48" s="65">
        <f>'2.2 Capex Nominal Dollars'!G48*'1.1 Input'!G$13</f>
        <v>0</v>
      </c>
      <c r="H48" s="65">
        <f>'2.2 Capex Nominal Dollars'!H48*'1.1 Input'!H$13</f>
        <v>0</v>
      </c>
      <c r="I48" s="65">
        <f>'2.2 Capex Nominal Dollars'!I48*'1.1 Input'!I$13</f>
        <v>0</v>
      </c>
      <c r="J48" s="45">
        <f t="shared" si="11"/>
        <v>0</v>
      </c>
      <c r="L48" s="6" t="str" cm="1">
        <f t="array" ref="L48">_xlfn.IFNA(INDEX('2.0 Escalation'!$AH$9:$AH$65,MATCH(0,COUNTIF($L$1:L47,'2.0 Escalation'!$AH$9:$AH$65),0)),"")</f>
        <v>Operations Asset Integration</v>
      </c>
      <c r="M48" s="14" t="str">
        <f t="shared" si="7"/>
        <v>2024/25</v>
      </c>
      <c r="N48" s="6" t="str" cm="1">
        <f t="array" ref="N48">_xlfn.IFNA(INDEX('2.0 Escalation'!$AK$9:$AK$66,MATCH($L48,'1.0 Data'!$P$9:$P$66,0),0),"")</f>
        <v>Transmission Assets</v>
      </c>
      <c r="O48" s="6" t="str" cm="1">
        <f t="array" ref="O48">_xlfn.IFNA(INDEX('1.0 Data'!$U$9:$U$66,MATCH($L48,'1.0 Data'!$P$9:$P$66,0),0),"")</f>
        <v>Replacement expenditure</v>
      </c>
      <c r="P48" s="6" t="str" cm="1">
        <f t="array" ref="P48">_xlfn.IFNA(INDEX('2.0 Escalation'!$AJ$9:$AJ$66,MATCH($L48,'1.0 Data'!$P$9:$P$66,0),0),"")</f>
        <v>Asset Monitoring</v>
      </c>
      <c r="Q48" s="6">
        <f>SUMIF('2.0 Escalation'!$AH$9:$AH$65,$L48,'2.0 Escalation'!AL$9:AL$65)*'1.1 Input'!$H$13</f>
        <v>92811.839999999997</v>
      </c>
      <c r="R48" s="6">
        <f>SUMIF('2.0 Escalation'!$AH$9:$AH$65,$L48,'2.0 Escalation'!AM$9:AM$65)*'1.1 Input'!$H$13</f>
        <v>92811.839999999997</v>
      </c>
      <c r="S48" s="6">
        <f>SUMIF('2.0 Escalation'!$AH$9:$AH$65,$L48,'2.0 Escalation'!AN$9:AN$65)*'1.1 Input'!$H$13</f>
        <v>92811.839999999997</v>
      </c>
      <c r="T48" s="6">
        <f>SUMIF('2.0 Escalation'!$AH$9:$AH$65,$L48,'2.0 Escalation'!AO$9:AO$65)*'1.1 Input'!$H$13</f>
        <v>92811.839999999997</v>
      </c>
      <c r="U48" s="6">
        <f>SUMIF('2.0 Escalation'!$AH$9:$AH$65,$L48,'2.0 Escalation'!AP$9:AP$65)*'1.1 Input'!$H$13</f>
        <v>0</v>
      </c>
      <c r="V48" s="45">
        <f t="shared" si="6"/>
        <v>371247.35999999999</v>
      </c>
    </row>
    <row r="49" spans="1:22">
      <c r="A49" s="6" t="str">
        <f>'1.0 Data'!A49</f>
        <v/>
      </c>
      <c r="B49" s="14"/>
      <c r="C49" s="6" cm="1">
        <f t="array" ref="C49">_xlfn.IFNA(INDEX('1.0 Data'!$D$9:$D$61,MATCH(A49,'1.0 Data'!$A$9:$A$61,0),0),"")</f>
        <v>0</v>
      </c>
      <c r="D49" s="6" t="str">
        <f>'1.0 Data'!E49</f>
        <v/>
      </c>
      <c r="E49" s="65">
        <f>'2.2 Capex Nominal Dollars'!E49*'1.1 Input'!E$13</f>
        <v>0</v>
      </c>
      <c r="F49" s="65">
        <f>'2.2 Capex Nominal Dollars'!F49*'1.1 Input'!F$13</f>
        <v>0</v>
      </c>
      <c r="G49" s="65">
        <f>'2.2 Capex Nominal Dollars'!G49*'1.1 Input'!G$13</f>
        <v>0</v>
      </c>
      <c r="H49" s="65">
        <f>'2.2 Capex Nominal Dollars'!H49*'1.1 Input'!H$13</f>
        <v>0</v>
      </c>
      <c r="I49" s="65">
        <f>'2.2 Capex Nominal Dollars'!I49*'1.1 Input'!I$13</f>
        <v>0</v>
      </c>
      <c r="J49" s="45">
        <f t="shared" si="11"/>
        <v>0</v>
      </c>
      <c r="L49" s="6" t="str" cm="1">
        <f t="array" ref="L49">_xlfn.IFNA(INDEX('2.0 Escalation'!$AH$9:$AH$65,MATCH(0,COUNTIF($L$1:L48,'2.0 Escalation'!$AH$9:$AH$65),0)),"")</f>
        <v>Physical Site Security and Public Protection - Bangalora</v>
      </c>
      <c r="M49" s="14" t="str">
        <f t="shared" si="7"/>
        <v>2024/25</v>
      </c>
      <c r="N49" s="6" t="str" cm="1">
        <f t="array" ref="N49">_xlfn.IFNA(INDEX('2.0 Escalation'!$AK$9:$AK$66,MATCH($L49,'1.0 Data'!$P$9:$P$66,0),0),"")</f>
        <v>Buildings</v>
      </c>
      <c r="O49" s="6" t="str" cm="1">
        <f t="array" ref="O49">_xlfn.IFNA(INDEX('1.0 Data'!$U$9:$U$66,MATCH($L49,'1.0 Data'!$P$9:$P$66,0),0),"")</f>
        <v>Replacement expenditure</v>
      </c>
      <c r="P49" s="6" t="str" cm="1">
        <f t="array" ref="P49">_xlfn.IFNA(INDEX('2.0 Escalation'!$AJ$9:$AJ$66,MATCH($L49,'1.0 Data'!$P$9:$P$66,0),0),"")</f>
        <v>Safety and Protection</v>
      </c>
      <c r="Q49" s="6">
        <f>SUMIF('2.0 Escalation'!$AH$9:$AH$65,$L49,'2.0 Escalation'!AL$9:AL$65)*'1.1 Input'!$H$13</f>
        <v>639343.64828488778</v>
      </c>
      <c r="R49" s="6">
        <f>SUMIF('2.0 Escalation'!$AH$9:$AH$65,$L49,'2.0 Escalation'!AM$9:AM$65)*'1.1 Input'!$H$13</f>
        <v>388352.54807119508</v>
      </c>
      <c r="S49" s="6">
        <f>SUMIF('2.0 Escalation'!$AH$9:$AH$65,$L49,'2.0 Escalation'!AN$9:AN$65)*'1.1 Input'!$H$13</f>
        <v>60678.427852575987</v>
      </c>
      <c r="T49" s="6">
        <f>SUMIF('2.0 Escalation'!$AH$9:$AH$65,$L49,'2.0 Escalation'!AO$9:AO$65)*'1.1 Input'!$H$13</f>
        <v>0</v>
      </c>
      <c r="U49" s="6">
        <f>SUMIF('2.0 Escalation'!$AH$9:$AH$65,$L49,'2.0 Escalation'!AP$9:AP$65)*'1.1 Input'!$H$13</f>
        <v>0</v>
      </c>
      <c r="V49" s="45">
        <f t="shared" si="6"/>
        <v>1088374.6242086587</v>
      </c>
    </row>
    <row r="50" spans="1:22">
      <c r="L50" s="6" t="str" cm="1">
        <f t="array" ref="L50">_xlfn.IFNA(INDEX('2.0 Escalation'!$AH$9:$AH$65,MATCH(0,COUNTIF($L$1:L49,'2.0 Escalation'!$AH$9:$AH$65),0)),"")</f>
        <v>Physical Site Security and Public Protection - Mullumbimby</v>
      </c>
      <c r="M50" s="14" t="str">
        <f t="shared" si="7"/>
        <v>2024/25</v>
      </c>
      <c r="N50" s="6" t="str" cm="1">
        <f t="array" ref="N50">_xlfn.IFNA(INDEX('2.0 Escalation'!$AK$9:$AK$66,MATCH($L50,'1.0 Data'!$P$9:$P$66,0),0),"")</f>
        <v>Buildings</v>
      </c>
      <c r="O50" s="6" t="str" cm="1">
        <f t="array" ref="O50">_xlfn.IFNA(INDEX('1.0 Data'!$U$9:$U$66,MATCH($L50,'1.0 Data'!$P$9:$P$66,0),0),"")</f>
        <v>Replacement expenditure</v>
      </c>
      <c r="P50" s="6" t="str" cm="1">
        <f t="array" ref="P50">_xlfn.IFNA(INDEX('2.0 Escalation'!$AJ$9:$AJ$66,MATCH($L50,'1.0 Data'!$P$9:$P$66,0),0),"")</f>
        <v>Safety and Protection</v>
      </c>
      <c r="Q50" s="6">
        <f>SUMIF('2.0 Escalation'!$AH$9:$AH$65,$L50,'2.0 Escalation'!AL$9:AL$65)*'1.1 Input'!$H$13</f>
        <v>1487257.8544152684</v>
      </c>
      <c r="R50" s="6">
        <f>SUMIF('2.0 Escalation'!$AH$9:$AH$65,$L50,'2.0 Escalation'!AM$9:AM$65)*'1.1 Input'!$H$13</f>
        <v>703616.2994075364</v>
      </c>
      <c r="S50" s="6">
        <f>SUMIF('2.0 Escalation'!$AH$9:$AH$65,$L50,'2.0 Escalation'!AN$9:AN$65)*'1.1 Input'!$H$13</f>
        <v>0</v>
      </c>
      <c r="T50" s="6">
        <f>SUMIF('2.0 Escalation'!$AH$9:$AH$65,$L50,'2.0 Escalation'!AO$9:AO$65)*'1.1 Input'!$H$13</f>
        <v>0</v>
      </c>
      <c r="U50" s="6">
        <f>SUMIF('2.0 Escalation'!$AH$9:$AH$65,$L50,'2.0 Escalation'!AP$9:AP$65)*'1.1 Input'!$H$13</f>
        <v>0</v>
      </c>
      <c r="V50" s="45">
        <f t="shared" si="6"/>
        <v>2190874.1538228048</v>
      </c>
    </row>
    <row r="51" spans="1:22">
      <c r="L51" s="6" t="str" cm="1">
        <f t="array" ref="L51">_xlfn.IFNA(INDEX('2.0 Escalation'!$AH$9:$AH$65,MATCH(0,COUNTIF($L$1:L50,'2.0 Escalation'!$AH$9:$AH$65),0)),"")</f>
        <v>PLC Reactor Filters</v>
      </c>
      <c r="M51" s="14" t="str">
        <f t="shared" si="7"/>
        <v>2024/25</v>
      </c>
      <c r="N51" s="6" t="str" cm="1">
        <f t="array" ref="N51">_xlfn.IFNA(INDEX('2.0 Escalation'!$AK$9:$AK$66,MATCH($L51,'1.0 Data'!$P$9:$P$66,0),0),"")</f>
        <v>Transmission Assets</v>
      </c>
      <c r="O51" s="6" t="str" cm="1">
        <f t="array" ref="O51">_xlfn.IFNA(INDEX('1.0 Data'!$U$9:$U$66,MATCH($L51,'1.0 Data'!$P$9:$P$66,0),0),"")</f>
        <v>Replacement expenditure</v>
      </c>
      <c r="P51" s="6" t="str" cm="1">
        <f t="array" ref="P51">_xlfn.IFNA(INDEX('2.0 Escalation'!$AJ$9:$AJ$66,MATCH($L51,'1.0 Data'!$P$9:$P$66,0),0),"")</f>
        <v>Major Maintenance</v>
      </c>
      <c r="Q51" s="6">
        <f>SUMIF('2.0 Escalation'!$AH$9:$AH$65,$L51,'2.0 Escalation'!AL$9:AL$65)*'1.1 Input'!$H$13</f>
        <v>0</v>
      </c>
      <c r="R51" s="6">
        <f>SUMIF('2.0 Escalation'!$AH$9:$AH$65,$L51,'2.0 Escalation'!AM$9:AM$65)*'1.1 Input'!$H$13</f>
        <v>0</v>
      </c>
      <c r="S51" s="6">
        <f>SUMIF('2.0 Escalation'!$AH$9:$AH$65,$L51,'2.0 Escalation'!AN$9:AN$65)*'1.1 Input'!$H$13</f>
        <v>0</v>
      </c>
      <c r="T51" s="6">
        <f>SUMIF('2.0 Escalation'!$AH$9:$AH$65,$L51,'2.0 Escalation'!AO$9:AO$65)*'1.1 Input'!$H$13</f>
        <v>0</v>
      </c>
      <c r="U51" s="6">
        <f>SUMIF('2.0 Escalation'!$AH$9:$AH$65,$L51,'2.0 Escalation'!AP$9:AP$65)*'1.1 Input'!$H$13</f>
        <v>0</v>
      </c>
      <c r="V51" s="45">
        <f t="shared" si="6"/>
        <v>0</v>
      </c>
    </row>
    <row r="52" spans="1:22">
      <c r="L52" s="6" t="str" cm="1">
        <f t="array" ref="L52">_xlfn.IFNA(INDEX('2.0 Escalation'!$AH$9:$AH$65,MATCH(0,COUNTIF($L$1:L51,'2.0 Escalation'!$AH$9:$AH$65),0)),"")</f>
        <v>PLC Reactor Filters (2026 - 30)</v>
      </c>
      <c r="M52" s="14" t="str">
        <f t="shared" si="7"/>
        <v>2024/25</v>
      </c>
      <c r="N52" s="6" t="str" cm="1">
        <f t="array" ref="N52">_xlfn.IFNA(INDEX('2.0 Escalation'!$AK$9:$AK$66,MATCH($L52,'1.0 Data'!$P$9:$P$66,0),0),"")</f>
        <v>Transmission Assets</v>
      </c>
      <c r="O52" s="6" t="str" cm="1">
        <f t="array" ref="O52">_xlfn.IFNA(INDEX('1.0 Data'!$U$9:$U$66,MATCH($L52,'1.0 Data'!$P$9:$P$66,0),0),"")</f>
        <v>Replacement expenditure</v>
      </c>
      <c r="P52" s="6" t="str" cm="1">
        <f t="array" ref="P52">_xlfn.IFNA(INDEX('2.0 Escalation'!$AJ$9:$AJ$66,MATCH($L52,'1.0 Data'!$P$9:$P$66,0),0),"")</f>
        <v>Spares Management</v>
      </c>
      <c r="Q52" s="6">
        <f>SUMIF('2.0 Escalation'!$AH$9:$AH$65,$L52,'2.0 Escalation'!AL$9:AL$65)*'1.1 Input'!$H$13</f>
        <v>0</v>
      </c>
      <c r="R52" s="6">
        <f>SUMIF('2.0 Escalation'!$AH$9:$AH$65,$L52,'2.0 Escalation'!AM$9:AM$65)*'1.1 Input'!$H$13</f>
        <v>0</v>
      </c>
      <c r="S52" s="6">
        <f>SUMIF('2.0 Escalation'!$AH$9:$AH$65,$L52,'2.0 Escalation'!AN$9:AN$65)*'1.1 Input'!$H$13</f>
        <v>0</v>
      </c>
      <c r="T52" s="6">
        <f>SUMIF('2.0 Escalation'!$AH$9:$AH$65,$L52,'2.0 Escalation'!AO$9:AO$65)*'1.1 Input'!$H$13</f>
        <v>0</v>
      </c>
      <c r="U52" s="6">
        <f>SUMIF('2.0 Escalation'!$AH$9:$AH$65,$L52,'2.0 Escalation'!AP$9:AP$65)*'1.1 Input'!$H$13</f>
        <v>0</v>
      </c>
      <c r="V52" s="45">
        <f t="shared" si="6"/>
        <v>0</v>
      </c>
    </row>
    <row r="53" spans="1:22">
      <c r="L53" s="6" t="str" cm="1">
        <f t="array" ref="L53">_xlfn.IFNA(INDEX('2.0 Escalation'!$AH$9:$AH$65,MATCH(0,COUNTIF($L$1:L52,'2.0 Escalation'!$AH$9:$AH$65),0)),"")</f>
        <v>Power Quality Metering</v>
      </c>
      <c r="M53" s="14" t="str">
        <f t="shared" si="7"/>
        <v>2024/25</v>
      </c>
      <c r="N53" s="6" t="str" cm="1">
        <f t="array" ref="N53">_xlfn.IFNA(INDEX('2.0 Escalation'!$AK$9:$AK$66,MATCH($L53,'1.0 Data'!$P$9:$P$66,0),0),"")</f>
        <v>Transmission Assets</v>
      </c>
      <c r="O53" s="6" t="str" cm="1">
        <f t="array" ref="O53">_xlfn.IFNA(INDEX('1.0 Data'!$U$9:$U$66,MATCH($L53,'1.0 Data'!$P$9:$P$66,0),0),"")</f>
        <v>Replacement expenditure</v>
      </c>
      <c r="P53" s="6" t="str" cm="1">
        <f t="array" ref="P53">_xlfn.IFNA(INDEX('2.0 Escalation'!$AJ$9:$AJ$66,MATCH($L53,'1.0 Data'!$P$9:$P$66,0),0),"")</f>
        <v>Asset Monitoring</v>
      </c>
      <c r="Q53" s="6">
        <f>SUMIF('2.0 Escalation'!$AH$9:$AH$65,$L53,'2.0 Escalation'!AL$9:AL$65)*'1.1 Input'!$H$13</f>
        <v>0</v>
      </c>
      <c r="R53" s="6">
        <f>SUMIF('2.0 Escalation'!$AH$9:$AH$65,$L53,'2.0 Escalation'!AM$9:AM$65)*'1.1 Input'!$H$13</f>
        <v>0</v>
      </c>
      <c r="S53" s="6">
        <f>SUMIF('2.0 Escalation'!$AH$9:$AH$65,$L53,'2.0 Escalation'!AN$9:AN$65)*'1.1 Input'!$H$13</f>
        <v>0</v>
      </c>
      <c r="T53" s="6">
        <f>SUMIF('2.0 Escalation'!$AH$9:$AH$65,$L53,'2.0 Escalation'!AO$9:AO$65)*'1.1 Input'!$H$13</f>
        <v>0</v>
      </c>
      <c r="U53" s="6">
        <f>SUMIF('2.0 Escalation'!$AH$9:$AH$65,$L53,'2.0 Escalation'!AP$9:AP$65)*'1.1 Input'!$H$13</f>
        <v>0</v>
      </c>
      <c r="V53" s="45">
        <f t="shared" si="6"/>
        <v>0</v>
      </c>
    </row>
    <row r="54" spans="1:22">
      <c r="L54" s="6" t="str" cm="1">
        <f t="array" ref="L54">_xlfn.IFNA(INDEX('2.0 Escalation'!$AH$9:$AH$65,MATCH(0,COUNTIF($L$1:L53,'2.0 Escalation'!$AH$9:$AH$65),0)),"")</f>
        <v>Power Supply Upgrade - Phase 2</v>
      </c>
      <c r="M54" s="14" t="str">
        <f t="shared" si="7"/>
        <v>2024/25</v>
      </c>
      <c r="N54" s="6" t="str" cm="1">
        <f t="array" ref="N54">_xlfn.IFNA(INDEX('2.0 Escalation'!$AK$9:$AK$66,MATCH($L54,'1.0 Data'!$P$9:$P$66,0),0),"")</f>
        <v>Transmission Assets</v>
      </c>
      <c r="O54" s="6" t="str" cm="1">
        <f t="array" ref="O54">_xlfn.IFNA(INDEX('1.0 Data'!$U$9:$U$66,MATCH($L54,'1.0 Data'!$P$9:$P$66,0),0),"")</f>
        <v>Replacement expenditure</v>
      </c>
      <c r="P54" s="6" t="str" cm="1">
        <f t="array" ref="P54">_xlfn.IFNA(INDEX('2.0 Escalation'!$AJ$9:$AJ$66,MATCH($L54,'1.0 Data'!$P$9:$P$66,0),0),"")</f>
        <v>Spares Management</v>
      </c>
      <c r="Q54" s="6">
        <f>SUMIF('2.0 Escalation'!$AH$9:$AH$65,$L54,'2.0 Escalation'!AL$9:AL$65)*'1.1 Input'!$H$13</f>
        <v>0</v>
      </c>
      <c r="R54" s="6">
        <f>SUMIF('2.0 Escalation'!$AH$9:$AH$65,$L54,'2.0 Escalation'!AM$9:AM$65)*'1.1 Input'!$H$13</f>
        <v>0</v>
      </c>
      <c r="S54" s="6">
        <f>SUMIF('2.0 Escalation'!$AH$9:$AH$65,$L54,'2.0 Escalation'!AN$9:AN$65)*'1.1 Input'!$H$13</f>
        <v>0</v>
      </c>
      <c r="T54" s="6">
        <f>SUMIF('2.0 Escalation'!$AH$9:$AH$65,$L54,'2.0 Escalation'!AO$9:AO$65)*'1.1 Input'!$H$13</f>
        <v>0</v>
      </c>
      <c r="U54" s="6">
        <f>SUMIF('2.0 Escalation'!$AH$9:$AH$65,$L54,'2.0 Escalation'!AP$9:AP$65)*'1.1 Input'!$H$13</f>
        <v>0</v>
      </c>
      <c r="V54" s="45">
        <f t="shared" si="6"/>
        <v>0</v>
      </c>
    </row>
    <row r="55" spans="1:22">
      <c r="L55" s="6" t="str" cm="1">
        <f t="array" ref="L55">_xlfn.IFNA(INDEX('2.0 Escalation'!$AH$9:$AH$65,MATCH(0,COUNTIF($L$1:L54,'2.0 Escalation'!$AH$9:$AH$65),0)),"")</f>
        <v>Reactor cooling enhancements</v>
      </c>
      <c r="M55" s="14" t="str">
        <f t="shared" si="7"/>
        <v>2024/25</v>
      </c>
      <c r="N55" s="6" t="str" cm="1">
        <f t="array" ref="N55">_xlfn.IFNA(INDEX('2.0 Escalation'!$AK$9:$AK$66,MATCH($L55,'1.0 Data'!$P$9:$P$66,0),0),"")</f>
        <v>Transmission Assets</v>
      </c>
      <c r="O55" s="6" t="str" cm="1">
        <f t="array" ref="O55">_xlfn.IFNA(INDEX('1.0 Data'!$U$9:$U$66,MATCH($L55,'1.0 Data'!$P$9:$P$66,0),0),"")</f>
        <v>Replacement expenditure</v>
      </c>
      <c r="P55" s="6" t="str" cm="1">
        <f t="array" ref="P55">_xlfn.IFNA(INDEX('2.0 Escalation'!$AJ$9:$AJ$66,MATCH($L55,'1.0 Data'!$P$9:$P$66,0),0),"")</f>
        <v>Major Maintenance</v>
      </c>
      <c r="Q55" s="6">
        <f>SUMIF('2.0 Escalation'!$AH$9:$AH$65,$L55,'2.0 Escalation'!AL$9:AL$65)*'1.1 Input'!$H$13</f>
        <v>356233.68</v>
      </c>
      <c r="R55" s="6">
        <f>SUMIF('2.0 Escalation'!$AH$9:$AH$65,$L55,'2.0 Escalation'!AM$9:AM$65)*'1.1 Input'!$H$13</f>
        <v>853050.00000000012</v>
      </c>
      <c r="S55" s="6">
        <f>SUMIF('2.0 Escalation'!$AH$9:$AH$65,$L55,'2.0 Escalation'!AN$9:AN$65)*'1.1 Input'!$H$13</f>
        <v>853050.00000000012</v>
      </c>
      <c r="T55" s="6">
        <f>SUMIF('2.0 Escalation'!$AH$9:$AH$65,$L55,'2.0 Escalation'!AO$9:AO$65)*'1.1 Input'!$H$13</f>
        <v>0</v>
      </c>
      <c r="U55" s="6">
        <f>SUMIF('2.0 Escalation'!$AH$9:$AH$65,$L55,'2.0 Escalation'!AP$9:AP$65)*'1.1 Input'!$H$13</f>
        <v>0</v>
      </c>
      <c r="V55" s="45">
        <f t="shared" si="6"/>
        <v>2062333.6800000002</v>
      </c>
    </row>
    <row r="56" spans="1:22">
      <c r="L56" s="6" t="str" cm="1">
        <f t="array" ref="L56">_xlfn.IFNA(INDEX('2.0 Escalation'!$AH$9:$AH$65,MATCH(0,COUNTIF($L$1:L55,'2.0 Escalation'!$AH$9:$AH$65),0)),"")</f>
        <v>Reposition Nitrogen Tanks</v>
      </c>
      <c r="M56" s="14" t="str">
        <f t="shared" si="7"/>
        <v>2024/25</v>
      </c>
      <c r="N56" s="6" t="str" cm="1">
        <f t="array" ref="N56">_xlfn.IFNA(INDEX('2.0 Escalation'!$AK$9:$AK$66,MATCH($L56,'1.0 Data'!$P$9:$P$66,0),0),"")</f>
        <v>Transmission Assets</v>
      </c>
      <c r="O56" s="6" t="str" cm="1">
        <f t="array" ref="O56">_xlfn.IFNA(INDEX('1.0 Data'!$U$9:$U$66,MATCH($L56,'1.0 Data'!$P$9:$P$66,0),0),"")</f>
        <v>Replacement expenditure</v>
      </c>
      <c r="P56" s="6" t="str" cm="1">
        <f t="array" ref="P56">_xlfn.IFNA(INDEX('2.0 Escalation'!$AJ$9:$AJ$66,MATCH($L56,'1.0 Data'!$P$9:$P$66,0),0),"")</f>
        <v>Safety and Protection</v>
      </c>
      <c r="Q56" s="6">
        <f>SUMIF('2.0 Escalation'!$AH$9:$AH$65,$L56,'2.0 Escalation'!AL$9:AL$65)*'1.1 Input'!$H$13</f>
        <v>228320.53860000006</v>
      </c>
      <c r="R56" s="6">
        <f>SUMIF('2.0 Escalation'!$AH$9:$AH$65,$L56,'2.0 Escalation'!AM$9:AM$65)*'1.1 Input'!$H$13</f>
        <v>0</v>
      </c>
      <c r="S56" s="6">
        <f>SUMIF('2.0 Escalation'!$AH$9:$AH$65,$L56,'2.0 Escalation'!AN$9:AN$65)*'1.1 Input'!$H$13</f>
        <v>0</v>
      </c>
      <c r="T56" s="6">
        <f>SUMIF('2.0 Escalation'!$AH$9:$AH$65,$L56,'2.0 Escalation'!AO$9:AO$65)*'1.1 Input'!$H$13</f>
        <v>0</v>
      </c>
      <c r="U56" s="6">
        <f>SUMIF('2.0 Escalation'!$AH$9:$AH$65,$L56,'2.0 Escalation'!AP$9:AP$65)*'1.1 Input'!$H$13</f>
        <v>0</v>
      </c>
      <c r="V56" s="45">
        <f t="shared" si="6"/>
        <v>228320.53860000006</v>
      </c>
    </row>
    <row r="57" spans="1:22">
      <c r="L57" s="6" t="str" cm="1">
        <f t="array" ref="L57">_xlfn.IFNA(INDEX('2.0 Escalation'!$AH$9:$AH$65,MATCH(0,COUNTIF($L$1:L56,'2.0 Escalation'!$AH$9:$AH$65),0)),"")</f>
        <v>RTU Upgrade - Comms Interface to EE and AEMO</v>
      </c>
      <c r="M57" s="14" t="str">
        <f t="shared" si="7"/>
        <v>2024/25</v>
      </c>
      <c r="N57" s="6" t="str" cm="1">
        <f t="array" ref="N57">_xlfn.IFNA(INDEX('2.0 Escalation'!$AK$9:$AK$66,MATCH($L57,'1.0 Data'!$P$9:$P$66,0),0),"")</f>
        <v>Transmission Assets</v>
      </c>
      <c r="O57" s="6" t="str" cm="1">
        <f t="array" ref="O57">_xlfn.IFNA(INDEX('1.0 Data'!$U$9:$U$66,MATCH($L57,'1.0 Data'!$P$9:$P$66,0),0),"")</f>
        <v>Replacement expenditure</v>
      </c>
      <c r="P57" s="6" t="str" cm="1">
        <f t="array" ref="P57">_xlfn.IFNA(INDEX('2.0 Escalation'!$AJ$9:$AJ$66,MATCH($L57,'1.0 Data'!$P$9:$P$66,0),0),"")</f>
        <v>Asset Monitoring</v>
      </c>
      <c r="Q57" s="6">
        <f>SUMIF('2.0 Escalation'!$AH$9:$AH$65,$L57,'2.0 Escalation'!AL$9:AL$65)*'1.1 Input'!$H$13</f>
        <v>0</v>
      </c>
      <c r="R57" s="6">
        <f>SUMIF('2.0 Escalation'!$AH$9:$AH$65,$L57,'2.0 Escalation'!AM$9:AM$65)*'1.1 Input'!$H$13</f>
        <v>0</v>
      </c>
      <c r="S57" s="6">
        <f>SUMIF('2.0 Escalation'!$AH$9:$AH$65,$L57,'2.0 Escalation'!AN$9:AN$65)*'1.1 Input'!$H$13</f>
        <v>0</v>
      </c>
      <c r="T57" s="6">
        <f>SUMIF('2.0 Escalation'!$AH$9:$AH$65,$L57,'2.0 Escalation'!AO$9:AO$65)*'1.1 Input'!$H$13</f>
        <v>0</v>
      </c>
      <c r="U57" s="6">
        <f>SUMIF('2.0 Escalation'!$AH$9:$AH$65,$L57,'2.0 Escalation'!AP$9:AP$65)*'1.1 Input'!$H$13</f>
        <v>0</v>
      </c>
      <c r="V57" s="45">
        <f t="shared" si="6"/>
        <v>0</v>
      </c>
    </row>
    <row r="58" spans="1:22">
      <c r="L58" s="6" t="str" cm="1">
        <f t="array" ref="L58">_xlfn.IFNA(INDEX('2.0 Escalation'!$AH$9:$AH$65,MATCH(0,COUNTIF($L$1:L57,'2.0 Escalation'!$AH$9:$AH$65),0)),"")</f>
        <v>SCADA Hardware Lifecycle Management</v>
      </c>
      <c r="M58" s="14" t="str">
        <f t="shared" si="7"/>
        <v>2024/25</v>
      </c>
      <c r="N58" s="6" t="str" cm="1">
        <f t="array" ref="N58">_xlfn.IFNA(INDEX('2.0 Escalation'!$AK$9:$AK$66,MATCH($L58,'1.0 Data'!$P$9:$P$66,0),0),"")</f>
        <v>Transmission Assets</v>
      </c>
      <c r="O58" s="6" t="str" cm="1">
        <f t="array" ref="O58">_xlfn.IFNA(INDEX('1.0 Data'!$U$9:$U$66,MATCH($L58,'1.0 Data'!$P$9:$P$66,0),0),"")</f>
        <v>Replacement expenditure</v>
      </c>
      <c r="P58" s="6" t="str" cm="1">
        <f t="array" ref="P58">_xlfn.IFNA(INDEX('2.0 Escalation'!$AJ$9:$AJ$66,MATCH($L58,'1.0 Data'!$P$9:$P$66,0),0),"")</f>
        <v>Asset Monitoring</v>
      </c>
      <c r="Q58" s="6">
        <f>SUMIF('2.0 Escalation'!$AH$9:$AH$65,$L58,'2.0 Escalation'!AL$9:AL$65)*'1.1 Input'!$H$13</f>
        <v>0</v>
      </c>
      <c r="R58" s="6">
        <f>SUMIF('2.0 Escalation'!$AH$9:$AH$65,$L58,'2.0 Escalation'!AM$9:AM$65)*'1.1 Input'!$H$13</f>
        <v>0</v>
      </c>
      <c r="S58" s="6">
        <f>SUMIF('2.0 Escalation'!$AH$9:$AH$65,$L58,'2.0 Escalation'!AN$9:AN$65)*'1.1 Input'!$H$13</f>
        <v>0</v>
      </c>
      <c r="T58" s="6">
        <f>SUMIF('2.0 Escalation'!$AH$9:$AH$65,$L58,'2.0 Escalation'!AO$9:AO$65)*'1.1 Input'!$H$13</f>
        <v>0</v>
      </c>
      <c r="U58" s="6">
        <f>SUMIF('2.0 Escalation'!$AH$9:$AH$65,$L58,'2.0 Escalation'!AP$9:AP$65)*'1.1 Input'!$H$13</f>
        <v>0</v>
      </c>
      <c r="V58" s="45">
        <f t="shared" si="6"/>
        <v>0</v>
      </c>
    </row>
    <row r="59" spans="1:22">
      <c r="L59" s="6" t="str" cm="1">
        <f t="array" ref="L59">_xlfn.IFNA(INDEX('2.0 Escalation'!$AH$9:$AH$65,MATCH(0,COUNTIF($L$1:L58,'2.0 Escalation'!$AH$9:$AH$65),0)),"")</f>
        <v>Sound Wall Earthing</v>
      </c>
      <c r="M59" s="14" t="str">
        <f t="shared" si="7"/>
        <v>2024/25</v>
      </c>
      <c r="N59" s="6" t="str" cm="1">
        <f t="array" ref="N59">_xlfn.IFNA(INDEX('2.0 Escalation'!$AK$9:$AK$66,MATCH($L59,'1.0 Data'!$P$9:$P$66,0),0),"")</f>
        <v>Transmission Assets</v>
      </c>
      <c r="O59" s="6" t="str" cm="1">
        <f t="array" ref="O59">_xlfn.IFNA(INDEX('1.0 Data'!$U$9:$U$66,MATCH($L59,'1.0 Data'!$P$9:$P$66,0),0),"")</f>
        <v>Replacement expenditure</v>
      </c>
      <c r="P59" s="6" t="str" cm="1">
        <f t="array" ref="P59">_xlfn.IFNA(INDEX('2.0 Escalation'!$AJ$9:$AJ$66,MATCH($L59,'1.0 Data'!$P$9:$P$66,0),0),"")</f>
        <v>Safety and Protection</v>
      </c>
      <c r="Q59" s="6">
        <f>SUMIF('2.0 Escalation'!$AH$9:$AH$65,$L59,'2.0 Escalation'!AL$9:AL$65)*'1.1 Input'!$H$13</f>
        <v>0</v>
      </c>
      <c r="R59" s="6">
        <f>SUMIF('2.0 Escalation'!$AH$9:$AH$65,$L59,'2.0 Escalation'!AM$9:AM$65)*'1.1 Input'!$H$13</f>
        <v>0</v>
      </c>
      <c r="S59" s="6">
        <f>SUMIF('2.0 Escalation'!$AH$9:$AH$65,$L59,'2.0 Escalation'!AN$9:AN$65)*'1.1 Input'!$H$13</f>
        <v>63336.460220000008</v>
      </c>
      <c r="T59" s="6">
        <f>SUMIF('2.0 Escalation'!$AH$9:$AH$65,$L59,'2.0 Escalation'!AO$9:AO$65)*'1.1 Input'!$H$13</f>
        <v>0</v>
      </c>
      <c r="U59" s="6">
        <f>SUMIF('2.0 Escalation'!$AH$9:$AH$65,$L59,'2.0 Escalation'!AP$9:AP$65)*'1.1 Input'!$H$13</f>
        <v>0</v>
      </c>
      <c r="V59" s="45">
        <f t="shared" si="6"/>
        <v>63336.460220000008</v>
      </c>
    </row>
    <row r="60" spans="1:22">
      <c r="L60" s="6" t="str" cm="1">
        <f t="array" ref="L60">_xlfn.IFNA(INDEX('2.0 Escalation'!$AH$9:$AH$65,MATCH(0,COUNTIF($L$1:L59,'2.0 Escalation'!$AH$9:$AH$65),0)),"")</f>
        <v>Sparing for Obsolescence Placeholder</v>
      </c>
      <c r="M60" s="14" t="str">
        <f t="shared" si="7"/>
        <v>2024/25</v>
      </c>
      <c r="N60" s="6" t="str" cm="1">
        <f t="array" ref="N60">_xlfn.IFNA(INDEX('2.0 Escalation'!$AK$9:$AK$66,MATCH($L60,'1.0 Data'!$P$9:$P$66,0),0),"")</f>
        <v>Transmission Assets</v>
      </c>
      <c r="O60" s="6" t="str" cm="1">
        <f t="array" ref="O60">_xlfn.IFNA(INDEX('1.0 Data'!$U$9:$U$66,MATCH($L60,'1.0 Data'!$P$9:$P$66,0),0),"")</f>
        <v>Replacement expenditure</v>
      </c>
      <c r="P60" s="6" t="str" cm="1">
        <f t="array" ref="P60">_xlfn.IFNA(INDEX('2.0 Escalation'!$AJ$9:$AJ$66,MATCH($L60,'1.0 Data'!$P$9:$P$66,0),0),"")</f>
        <v>Spares Management</v>
      </c>
      <c r="Q60" s="6">
        <f>SUMIF('2.0 Escalation'!$AH$9:$AH$65,$L60,'2.0 Escalation'!AL$9:AL$65)*'1.1 Input'!$H$13</f>
        <v>0</v>
      </c>
      <c r="R60" s="6">
        <f>SUMIF('2.0 Escalation'!$AH$9:$AH$65,$L60,'2.0 Escalation'!AM$9:AM$65)*'1.1 Input'!$H$13</f>
        <v>0</v>
      </c>
      <c r="S60" s="6">
        <f>SUMIF('2.0 Escalation'!$AH$9:$AH$65,$L60,'2.0 Escalation'!AN$9:AN$65)*'1.1 Input'!$H$13</f>
        <v>0</v>
      </c>
      <c r="T60" s="6">
        <f>SUMIF('2.0 Escalation'!$AH$9:$AH$65,$L60,'2.0 Escalation'!AO$9:AO$65)*'1.1 Input'!$H$13</f>
        <v>0</v>
      </c>
      <c r="U60" s="6">
        <f>SUMIF('2.0 Escalation'!$AH$9:$AH$65,$L60,'2.0 Escalation'!AP$9:AP$65)*'1.1 Input'!$H$13</f>
        <v>0</v>
      </c>
      <c r="V60" s="45">
        <f t="shared" si="6"/>
        <v>0</v>
      </c>
    </row>
    <row r="61" spans="1:22">
      <c r="L61" s="6" t="str" cm="1">
        <f t="array" ref="L61">_xlfn.IFNA(INDEX('2.0 Escalation'!$AH$9:$AH$65,MATCH(0,COUNTIF($L$1:L60,'2.0 Escalation'!$AH$9:$AH$65),0)),"")</f>
        <v>UTV 4x4</v>
      </c>
      <c r="M61" s="14" t="str">
        <f t="shared" ref="M61:M65" si="12">IF(L61="","",$I$8)</f>
        <v>2024/25</v>
      </c>
      <c r="N61" s="6" t="str" cm="1">
        <f t="array" ref="N61">_xlfn.IFNA(INDEX('2.0 Escalation'!$AK$9:$AK$66,MATCH($L61,'1.0 Data'!$P$9:$P$66,0),0),"")</f>
        <v>Transmission Assets</v>
      </c>
      <c r="O61" s="6" t="str" cm="1">
        <f t="array" ref="O61">_xlfn.IFNA(INDEX('1.0 Data'!$U$9:$U$66,MATCH($L61,'1.0 Data'!$P$9:$P$66,0),0),"")</f>
        <v>Replacement expenditure</v>
      </c>
      <c r="P61" s="6" t="str" cm="1">
        <f t="array" ref="P61">_xlfn.IFNA(INDEX('2.0 Escalation'!$AJ$9:$AJ$66,MATCH($L61,'1.0 Data'!$P$9:$P$66,0),0),"")</f>
        <v>Asset Monitoring</v>
      </c>
      <c r="Q61" s="6">
        <f>SUMIF('2.0 Escalation'!$AH$9:$AH$65,$L61,'2.0 Escalation'!AL$9:AL$65)*'1.1 Input'!$H$13</f>
        <v>27570.576000000005</v>
      </c>
      <c r="R61" s="6">
        <f>SUMIF('2.0 Escalation'!$AH$9:$AH$65,$L61,'2.0 Escalation'!AM$9:AM$65)*'1.1 Input'!$H$13</f>
        <v>0</v>
      </c>
      <c r="S61" s="6">
        <f>SUMIF('2.0 Escalation'!$AH$9:$AH$65,$L61,'2.0 Escalation'!AN$9:AN$65)*'1.1 Input'!$H$13</f>
        <v>0</v>
      </c>
      <c r="T61" s="6">
        <f>SUMIF('2.0 Escalation'!$AH$9:$AH$65,$L61,'2.0 Escalation'!AO$9:AO$65)*'1.1 Input'!$H$13</f>
        <v>0</v>
      </c>
      <c r="U61" s="6">
        <f>SUMIF('2.0 Escalation'!$AH$9:$AH$65,$L61,'2.0 Escalation'!AP$9:AP$65)*'1.1 Input'!$H$13</f>
        <v>0</v>
      </c>
      <c r="V61" s="45">
        <f t="shared" ref="V61:V65" si="13">SUM(Q61:U61)</f>
        <v>27570.576000000005</v>
      </c>
    </row>
    <row r="62" spans="1:22">
      <c r="L62" s="6" t="str" cm="1">
        <f t="array" ref="L62">_xlfn.IFNA(INDEX('2.0 Escalation'!$AH$9:$AH$65,MATCH(0,COUNTIF($L$1:L61,'2.0 Escalation'!$AH$9:$AH$65),0)),"")</f>
        <v>Spares Management</v>
      </c>
      <c r="M62" s="14" t="str">
        <f t="shared" si="12"/>
        <v>2024/25</v>
      </c>
      <c r="N62" s="6" t="str" cm="1">
        <f t="array" ref="N62">_xlfn.IFNA(INDEX('2.0 Escalation'!$AK$9:$AK$66,MATCH($L62,'1.0 Data'!$P$9:$P$66,0),0),"")</f>
        <v>Transmission Assets</v>
      </c>
      <c r="O62" s="6" t="str" cm="1">
        <f t="array" ref="O62">_xlfn.IFNA(INDEX('1.0 Data'!$U$9:$U$66,MATCH($L62,'1.0 Data'!$P$9:$P$66,0),0),"")</f>
        <v>Replacement expenditure</v>
      </c>
      <c r="P62" s="6" t="str" cm="1">
        <f t="array" ref="P62">_xlfn.IFNA(INDEX('2.0 Escalation'!$AJ$9:$AJ$66,MATCH($L62,'1.0 Data'!$P$9:$P$66,0),0),"")</f>
        <v>Spares Management</v>
      </c>
      <c r="Q62" s="6">
        <f>SUMIF('2.0 Escalation'!$AH$9:$AH$65,$L62,'2.0 Escalation'!AL$9:AL$65)*'1.1 Input'!$H$13</f>
        <v>1836136.7809400002</v>
      </c>
      <c r="R62" s="6">
        <f>SUMIF('2.0 Escalation'!$AH$9:$AH$65,$L62,'2.0 Escalation'!AM$9:AM$65)*'1.1 Input'!$H$13</f>
        <v>1216547.2301400003</v>
      </c>
      <c r="S62" s="6">
        <f>SUMIF('2.0 Escalation'!$AH$9:$AH$65,$L62,'2.0 Escalation'!AN$9:AN$65)*'1.1 Input'!$H$13</f>
        <v>1698511.3809400003</v>
      </c>
      <c r="T62" s="6">
        <f>SUMIF('2.0 Escalation'!$AH$9:$AH$65,$L62,'2.0 Escalation'!AO$9:AO$65)*'1.1 Input'!$H$13</f>
        <v>1548374.5809400002</v>
      </c>
      <c r="U62" s="6">
        <f>SUMIF('2.0 Escalation'!$AH$9:$AH$65,$L62,'2.0 Escalation'!AP$9:AP$65)*'1.1 Input'!$H$13</f>
        <v>6211830.0270400019</v>
      </c>
      <c r="V62" s="45">
        <f t="shared" si="13"/>
        <v>12511400.000000004</v>
      </c>
    </row>
    <row r="63" spans="1:22">
      <c r="L63" s="6" t="str" cm="1">
        <f t="array" ref="L63">_xlfn.IFNA(INDEX('2.0 Escalation'!$AH$9:$AH$65,MATCH(0,COUNTIF($L$1:L62,'2.0 Escalation'!$AH$9:$AH$65),0)),"")</f>
        <v>Transmission Determination cost</v>
      </c>
      <c r="M63" s="14" t="str">
        <f t="shared" si="12"/>
        <v>2024/25</v>
      </c>
      <c r="N63" s="6" t="str" cm="1">
        <f t="array" ref="N63">_xlfn.IFNA(INDEX('2.0 Escalation'!$AK$9:$AK$66,MATCH($L63,'1.0 Data'!$P$9:$P$66,0),0),"")</f>
        <v>Transmission Determination Costs</v>
      </c>
      <c r="O63" s="6" t="str" cm="1">
        <f t="array" ref="O63">_xlfn.IFNA(INDEX('1.0 Data'!$U$9:$U$66,MATCH($L63,'1.0 Data'!$P$9:$P$66,0),0),"")</f>
        <v>Replacement expenditure</v>
      </c>
      <c r="P63" s="6" t="str" cm="1">
        <f t="array" ref="P63">_xlfn.IFNA(INDEX('2.0 Escalation'!$AJ$9:$AJ$66,MATCH($L63,'1.0 Data'!$P$9:$P$66,0),0),"")</f>
        <v>Transmission Determination Costs</v>
      </c>
      <c r="Q63" s="6">
        <f>SUMIF('2.0 Escalation'!$AH$9:$AH$65,$L63,'2.0 Escalation'!AL$9:AL$65)*'1.1 Input'!$H$13</f>
        <v>0</v>
      </c>
      <c r="R63" s="6">
        <f>SUMIF('2.0 Escalation'!$AH$9:$AH$65,$L63,'2.0 Escalation'!AM$9:AM$65)*'1.1 Input'!$H$13</f>
        <v>0</v>
      </c>
      <c r="S63" s="6">
        <f>SUMIF('2.0 Escalation'!$AH$9:$AH$65,$L63,'2.0 Escalation'!AN$9:AN$65)*'1.1 Input'!$H$13</f>
        <v>0</v>
      </c>
      <c r="T63" s="6">
        <f>SUMIF('2.0 Escalation'!$AH$9:$AH$65,$L63,'2.0 Escalation'!AO$9:AO$65)*'1.1 Input'!$H$13</f>
        <v>146388.55000000002</v>
      </c>
      <c r="U63" s="6">
        <f>SUMIF('2.0 Escalation'!$AH$9:$AH$65,$L63,'2.0 Escalation'!AP$9:AP$65)*'1.1 Input'!$H$13</f>
        <v>146388.55000000002</v>
      </c>
      <c r="V63" s="45">
        <f t="shared" si="13"/>
        <v>292777.10000000003</v>
      </c>
    </row>
    <row r="64" spans="1:22" ht="15.75" thickBot="1">
      <c r="L64" s="6" t="str" cm="1">
        <f t="array" ref="L64">_xlfn.IFNA(INDEX('2.0 Escalation'!$AH$9:$AH$65,MATCH(0,COUNTIF($L$1:L63,'2.0 Escalation'!$AH$9:$AH$65),0)),"")</f>
        <v/>
      </c>
      <c r="M64" s="14" t="str">
        <f t="shared" si="12"/>
        <v/>
      </c>
      <c r="N64" s="6" t="str" cm="1">
        <f t="array" ref="N64">_xlfn.IFNA(INDEX('2.0 Escalation'!$AK$9:$AK$66,MATCH($L64,'1.0 Data'!$P$9:$P$66,0),0),"")</f>
        <v/>
      </c>
      <c r="O64" s="6" t="str" cm="1">
        <f t="array" ref="O64">_xlfn.IFNA(INDEX('1.0 Data'!$U$9:$U$66,MATCH($L64,'1.0 Data'!$P$9:$P$66,0),0),"")</f>
        <v/>
      </c>
      <c r="P64" s="6" t="str" cm="1">
        <f t="array" ref="P64">_xlfn.IFNA(INDEX('2.0 Escalation'!$AJ$9:$AJ$66,MATCH($L64,'1.0 Data'!$P$9:$P$66,0),0),"")</f>
        <v/>
      </c>
      <c r="Q64" s="6">
        <f>SUMIF('2.0 Escalation'!$AH$9:$AH$65,$L64,'2.0 Escalation'!AL$9:AL$65)*'1.1 Input'!$H$13</f>
        <v>0</v>
      </c>
      <c r="R64" s="6">
        <f>SUMIF('2.0 Escalation'!$AH$9:$AH$65,$L64,'2.0 Escalation'!AM$9:AM$65)*'1.1 Input'!$H$13</f>
        <v>0</v>
      </c>
      <c r="S64" s="6">
        <f>SUMIF('2.0 Escalation'!$AH$9:$AH$65,$L64,'2.0 Escalation'!AN$9:AN$65)*'1.1 Input'!$H$13</f>
        <v>0</v>
      </c>
      <c r="T64" s="6">
        <f>SUMIF('2.0 Escalation'!$AH$9:$AH$65,$L64,'2.0 Escalation'!AO$9:AO$65)*'1.1 Input'!$H$13</f>
        <v>0</v>
      </c>
      <c r="U64" s="6">
        <f>SUMIF('2.0 Escalation'!$AH$9:$AH$65,$L64,'2.0 Escalation'!AP$9:AP$65)*'1.1 Input'!$H$13</f>
        <v>0</v>
      </c>
      <c r="V64" s="45">
        <f t="shared" si="13"/>
        <v>0</v>
      </c>
    </row>
    <row r="65" spans="1:26" ht="16.5" thickTop="1" thickBot="1">
      <c r="L65" s="6" t="str" cm="1">
        <f t="array" ref="L65">_xlfn.IFNA(INDEX('2.0 Escalation'!$AH$9:$AH$65,MATCH(0,COUNTIF($L$1:L64,'2.0 Escalation'!$AH$9:$AH$65),0)),"")</f>
        <v/>
      </c>
      <c r="M65" s="14" t="str">
        <f t="shared" si="12"/>
        <v/>
      </c>
      <c r="N65" s="6" t="str" cm="1">
        <f t="array" ref="N65">_xlfn.IFNA(INDEX('2.0 Escalation'!$AK$9:$AK$66,MATCH($L65,'1.0 Data'!$P$9:$P$66,0),0),"")</f>
        <v/>
      </c>
      <c r="O65" s="6" t="str" cm="1">
        <f t="array" ref="O65">_xlfn.IFNA(INDEX('1.0 Data'!$U$9:$U$66,MATCH($L65,'1.0 Data'!$P$9:$P$66,0),0),"")</f>
        <v/>
      </c>
      <c r="P65" s="6" t="str" cm="1">
        <f t="array" ref="P65">_xlfn.IFNA(INDEX('2.0 Escalation'!$AJ$9:$AJ$66,MATCH($L65,'1.0 Data'!$P$9:$P$66,0),0),"")</f>
        <v/>
      </c>
      <c r="Q65" s="6">
        <f>SUMIF('2.0 Escalation'!$AH$9:$AH$65,$L65,'2.0 Escalation'!AL$9:AL$65)*'1.1 Input'!$H$13</f>
        <v>0</v>
      </c>
      <c r="R65" s="6">
        <f>SUMIF('2.0 Escalation'!$AH$9:$AH$65,$L65,'2.0 Escalation'!AM$9:AM$65)*'1.1 Input'!$H$13</f>
        <v>0</v>
      </c>
      <c r="S65" s="6">
        <f>SUMIF('2.0 Escalation'!$AH$9:$AH$65,$L65,'2.0 Escalation'!AN$9:AN$65)*'1.1 Input'!$H$13</f>
        <v>0</v>
      </c>
      <c r="T65" s="6">
        <f>SUMIF('2.0 Escalation'!$AH$9:$AH$65,$L65,'2.0 Escalation'!AO$9:AO$65)*'1.1 Input'!$H$13</f>
        <v>0</v>
      </c>
      <c r="U65" s="6">
        <f>SUMIF('2.0 Escalation'!$AH$9:$AH$65,$L65,'2.0 Escalation'!AP$9:AP$65)*'1.1 Input'!$H$13</f>
        <v>0</v>
      </c>
      <c r="V65" s="45">
        <f t="shared" si="13"/>
        <v>0</v>
      </c>
      <c r="X65" s="46"/>
    </row>
    <row r="66" spans="1:26" ht="15.75" thickTop="1">
      <c r="L66" s="6">
        <f>'1.0 Data'!P66</f>
        <v>0</v>
      </c>
      <c r="M66" s="14" t="str">
        <f>IF(L66="","",$I$8)</f>
        <v>2024/25</v>
      </c>
      <c r="N66" s="6" t="str" cm="1">
        <f t="array" ref="N66">_xlfn.IFNA(INDEX('2.0 Escalation'!$AK$9:$AK$66,MATCH($L66,'1.0 Data'!$P$9:$P$66,0),0),"")</f>
        <v/>
      </c>
      <c r="O66" s="6" t="str" cm="1">
        <f t="array" ref="O66">_xlfn.IFNA(INDEX('1.0 Data'!$U$9:$U$66,MATCH($L66,'1.0 Data'!$P$9:$P$66,0),0),"")</f>
        <v/>
      </c>
      <c r="P66" s="6" t="str" cm="1">
        <f t="array" ref="P66">_xlfn.IFNA(INDEX('2.0 Escalation'!$AJ$9:$AJ$66,MATCH($L66,'1.0 Data'!$P$9:$P$66,0),0),"")</f>
        <v/>
      </c>
      <c r="Q66" s="6">
        <f>SUMIF('2.0 Escalation'!$AH$9:$AH$66,$L66,'2.0 Escalation'!AL$9:AL$66)*'1.1 Input'!$H$13</f>
        <v>0</v>
      </c>
      <c r="R66" s="6">
        <f ca="1">SUMIF('2.0 Escalation'!$AH$9:$AH$66,$L66,'2.0 Escalation'!AM$9:AM$65)*'1.1 Input'!$H$13</f>
        <v>0</v>
      </c>
      <c r="S66" s="6">
        <f ca="1">SUMIF('2.0 Escalation'!$AH$9:$AH$66,$L66,'2.0 Escalation'!AN$9:AN$65)*'1.1 Input'!$H$13</f>
        <v>0</v>
      </c>
      <c r="T66" s="6">
        <f ca="1">SUMIF('2.0 Escalation'!$AH$9:$AH$66,$L66,'2.0 Escalation'!AO$9:AO$65)*'1.1 Input'!$H$13</f>
        <v>0</v>
      </c>
      <c r="U66" s="6">
        <f ca="1">SUMIF('2.0 Escalation'!$AH$9:$AH$66,$L66,'2.0 Escalation'!AP$9:AP$65)*'1.1 Input'!$H$13</f>
        <v>0</v>
      </c>
      <c r="V66" s="45">
        <f ca="1">SUM(Q66:U66)</f>
        <v>0</v>
      </c>
    </row>
    <row r="68" spans="1:26" ht="19.5">
      <c r="A68" s="2">
        <f>L68</f>
        <v>0</v>
      </c>
      <c r="B68" s="2"/>
      <c r="C68" s="2"/>
      <c r="D68" s="2"/>
      <c r="E68" s="2"/>
      <c r="F68" s="2"/>
      <c r="G68" s="2"/>
      <c r="H68" s="2"/>
      <c r="I68" s="2"/>
      <c r="J68" s="2"/>
      <c r="K68" s="2"/>
      <c r="L68" s="2"/>
      <c r="M68" s="2"/>
      <c r="N68" s="2"/>
      <c r="O68" s="2"/>
      <c r="P68" s="2"/>
      <c r="Q68" s="2"/>
      <c r="R68" s="2"/>
      <c r="S68" s="2"/>
      <c r="T68" s="2"/>
      <c r="U68" s="2"/>
      <c r="V68" s="2"/>
      <c r="W68" s="2"/>
      <c r="X68" s="2"/>
      <c r="Y68" s="2"/>
      <c r="Z68" s="2"/>
    </row>
    <row r="69" spans="1:26" ht="16.5">
      <c r="A69" s="4" t="s">
        <v>170</v>
      </c>
      <c r="B69" s="4"/>
      <c r="C69" s="4"/>
      <c r="D69" s="4"/>
      <c r="E69" s="4"/>
      <c r="F69" s="4"/>
      <c r="G69" s="4"/>
      <c r="H69" s="4"/>
      <c r="I69" s="4"/>
      <c r="J69" s="4"/>
      <c r="L69" s="4" t="str">
        <f>L7</f>
        <v>Forecast Period ($FY 2022/23 '000)</v>
      </c>
      <c r="M69" s="4"/>
      <c r="N69" s="4"/>
      <c r="O69" s="4"/>
      <c r="P69" s="4"/>
      <c r="Q69" s="4"/>
      <c r="R69" s="4"/>
      <c r="S69" s="4"/>
      <c r="T69" s="4"/>
      <c r="U69" s="4"/>
      <c r="V69" s="4"/>
    </row>
    <row r="70" spans="1:26">
      <c r="A70" s="3" t="str">
        <f t="shared" ref="A70:J70" si="14">A8</f>
        <v>Project</v>
      </c>
      <c r="B70" s="3" t="str">
        <f t="shared" si="14"/>
        <v>$</v>
      </c>
      <c r="C70" s="3" t="str">
        <f t="shared" si="14"/>
        <v>Asset Class</v>
      </c>
      <c r="D70" s="3" t="str">
        <f t="shared" si="14"/>
        <v>Asset Driver</v>
      </c>
      <c r="E70" s="3" t="str">
        <f t="shared" si="14"/>
        <v>2020/21</v>
      </c>
      <c r="F70" s="3" t="str">
        <f t="shared" si="14"/>
        <v>2021/22</v>
      </c>
      <c r="G70" s="3" t="str">
        <f t="shared" si="14"/>
        <v>2022/23</v>
      </c>
      <c r="H70" s="3" t="str">
        <f t="shared" si="14"/>
        <v>2023/24</v>
      </c>
      <c r="I70" s="3" t="str">
        <f t="shared" si="14"/>
        <v>2024/25</v>
      </c>
      <c r="J70" s="3" t="str">
        <f t="shared" si="14"/>
        <v>Total</v>
      </c>
      <c r="L70" s="3" t="str">
        <f>L8</f>
        <v>Project</v>
      </c>
      <c r="M70" s="3" t="str">
        <f>M8</f>
        <v>input</v>
      </c>
      <c r="N70" s="3" t="str">
        <f>N8</f>
        <v>Asset Class</v>
      </c>
      <c r="O70" s="3" t="str">
        <f>O8</f>
        <v>Asset Driver</v>
      </c>
      <c r="P70" s="3"/>
      <c r="Q70" s="3" t="str">
        <f t="shared" ref="Q70:V70" si="15">Q8</f>
        <v>2025/26</v>
      </c>
      <c r="R70" s="3" t="str">
        <f t="shared" si="15"/>
        <v>2026/27</v>
      </c>
      <c r="S70" s="3" t="str">
        <f t="shared" si="15"/>
        <v>2027/28</v>
      </c>
      <c r="T70" s="3" t="str">
        <f t="shared" si="15"/>
        <v>2028/29</v>
      </c>
      <c r="U70" s="3" t="str">
        <f t="shared" si="15"/>
        <v>2029/30</v>
      </c>
      <c r="V70" s="3" t="str">
        <f t="shared" si="15"/>
        <v>Total</v>
      </c>
    </row>
    <row r="72" spans="1:26">
      <c r="A72" s="33" t="str" cm="1">
        <f t="array" ref="A72">INDEX(A$9:A$40,MATCH($J72,$J$9:$J$40,0),0)</f>
        <v>Obsolete IGBTs</v>
      </c>
      <c r="B72" s="33" t="str" cm="1">
        <f t="array" ref="B72">INDEX(B$9:B$40,MATCH($A72,$A$9:$A$40,0),0)</f>
        <v>2024/25</v>
      </c>
      <c r="C72" s="33" t="str" cm="1">
        <f t="array" ref="C72">INDEX(C$9:C$40,MATCH($J72,$J$9:$J$40,0),0)</f>
        <v>Transmission Assets</v>
      </c>
      <c r="D72" s="33" t="str" cm="1">
        <f t="array" ref="D72">INDEX(D$9:D$40,MATCH($J72,$J$9:$J$40,0),0)</f>
        <v>Replacement expenditure</v>
      </c>
      <c r="E72" s="33" cm="1">
        <f t="array" ref="E72">INDEX(E$9:E$40,MATCH($J72,$J$9:$J$40,0),0)</f>
        <v>0</v>
      </c>
      <c r="F72" s="33" cm="1">
        <f t="array" ref="F72">INDEX(F$9:F$40,MATCH($J72,$J$9:$J$40,0),0)</f>
        <v>1317832.5746397122</v>
      </c>
      <c r="G72" s="33" cm="1">
        <f t="array" ref="G72">INDEX(G$9:G$40,MATCH($J72,$J$9:$J$40,0),0)</f>
        <v>6610911.1557249213</v>
      </c>
      <c r="H72" s="33" cm="1">
        <f t="array" ref="H72">INDEX(H$9:H$40,MATCH($J72,$J$9:$J$40,0),0)</f>
        <v>10627280.976400001</v>
      </c>
      <c r="I72" s="33" cm="1">
        <f t="array" ref="I72">INDEX(I$9:I$40,MATCH($J72,$J$9:$J$40,0),0)</f>
        <v>1438086.1547795087</v>
      </c>
      <c r="J72" s="45">
        <f>LARGE($J$9:$J$40,ROW()-71)</f>
        <v>19994110.861544143</v>
      </c>
      <c r="L72" s="33" t="str" cm="1">
        <f t="array" aca="1" ref="L72" ca="1">INDEX(L$9:L$66,MATCH($V72,$V$9:$V$66,0),0)</f>
        <v>Spares Management</v>
      </c>
      <c r="M72" s="33" t="str" cm="1">
        <f t="array" aca="1" ref="M72" ca="1">INDEX(M$9:M$66,MATCH($V72,$V$9:$V$66,0),0)</f>
        <v>2024/25</v>
      </c>
      <c r="N72" s="33" t="str" cm="1">
        <f t="array" aca="1" ref="N72" ca="1">INDEX(N$9:N$66,MATCH($V72,$V$9:$V$66,0),0)</f>
        <v>Transmission Assets</v>
      </c>
      <c r="O72" s="33" t="str" cm="1">
        <f t="array" aca="1" ref="O72" ca="1">INDEX(O$9:O$66,MATCH($V72,$V$9:$V$66,0),0)</f>
        <v>Replacement expenditure</v>
      </c>
      <c r="P72" s="33"/>
      <c r="Q72" s="33" cm="1">
        <f t="array" aca="1" ref="Q72" ca="1">INDEX(Q$9:Q$66,MATCH($V72,$V$9:$V$66,0),0)</f>
        <v>1836136.7809400002</v>
      </c>
      <c r="R72" s="33" cm="1">
        <f t="array" aca="1" ref="R72" ca="1">INDEX(R$9:R$66,MATCH($V72,$V$9:$V$66,0),0)</f>
        <v>1216547.2301400003</v>
      </c>
      <c r="S72" s="33" cm="1">
        <f t="array" aca="1" ref="S72" ca="1">INDEX(S$9:S$66,MATCH($V72,$V$9:$V$66,0),0)</f>
        <v>1698511.3809400003</v>
      </c>
      <c r="T72" s="33" cm="1">
        <f t="array" aca="1" ref="T72" ca="1">INDEX(T$9:T$66,MATCH($V72,$V$9:$V$66,0),0)</f>
        <v>1548374.5809400002</v>
      </c>
      <c r="U72" s="33" cm="1">
        <f t="array" aca="1" ref="U72" ca="1">INDEX(U$9:U$66,MATCH($V72,$V$9:$V$66,0),0)</f>
        <v>6211830.0270400019</v>
      </c>
      <c r="V72" s="45">
        <f ca="1">LARGE($V$9:$V$66,ROW()-71)</f>
        <v>12511400.000000004</v>
      </c>
    </row>
    <row r="73" spans="1:26">
      <c r="A73" s="33" t="str" cm="1">
        <f t="array" ref="A73">INDEX(A$9:A$40,MATCH($J73,$J$9:$J$40,0),0)</f>
        <v>HVDC Spare Cable Order</v>
      </c>
      <c r="B73" s="33" t="str" cm="1">
        <f t="array" ref="B73">INDEX(B$9:B$40,MATCH($A73,$A$9:$A$40,0),0)</f>
        <v>2024/25</v>
      </c>
      <c r="C73" s="33" t="str" cm="1">
        <f t="array" ref="C73">INDEX(C$9:C$40,MATCH($J73,$J$9:$J$40,0),0)</f>
        <v>Transmission Assets</v>
      </c>
      <c r="D73" s="33" t="str" cm="1">
        <f t="array" ref="D73">INDEX(D$9:D$40,MATCH($J73,$J$9:$J$40,0),0)</f>
        <v>Replacement expenditure</v>
      </c>
      <c r="E73" s="33" cm="1">
        <f t="array" ref="E73">INDEX(E$9:E$40,MATCH($J73,$J$9:$J$40,0),0)</f>
        <v>0</v>
      </c>
      <c r="F73" s="33" cm="1">
        <f t="array" ref="F73">INDEX(F$9:F$40,MATCH($J73,$J$9:$J$40,0),0)</f>
        <v>0</v>
      </c>
      <c r="G73" s="33" cm="1">
        <f t="array" ref="G73">INDEX(G$9:G$40,MATCH($J73,$J$9:$J$40,0),0)</f>
        <v>0</v>
      </c>
      <c r="H73" s="33" cm="1">
        <f t="array" ref="H73">INDEX(H$9:H$40,MATCH($J73,$J$9:$J$40,0),0)</f>
        <v>796180.00000000012</v>
      </c>
      <c r="I73" s="33" cm="1">
        <f t="array" ref="I73">INDEX(I$9:I$40,MATCH($J73,$J$9:$J$40,0),0)</f>
        <v>712932.22970655549</v>
      </c>
      <c r="J73" s="45">
        <f t="shared" ref="J73:J89" si="16">LARGE($J$9:$J$40,ROW()-71)</f>
        <v>1509112.2297065556</v>
      </c>
      <c r="L73" s="33" t="str" cm="1">
        <f t="array" aca="1" ref="L73" ca="1">INDEX(L$9:L$66,MATCH($V73,$V$9:$V$66,0),0)</f>
        <v>IGBT Generation 3 Upgrade</v>
      </c>
      <c r="M73" s="33" t="str" cm="1">
        <f t="array" aca="1" ref="M73" ca="1">INDEX(M$9:M$66,MATCH($V73,$V$9:$V$66,0),0)</f>
        <v>2024/25</v>
      </c>
      <c r="N73" s="33" t="str" cm="1">
        <f t="array" aca="1" ref="N73" ca="1">INDEX(N$9:N$66,MATCH($V73,$V$9:$V$66,0),0)</f>
        <v>Transmission Assets</v>
      </c>
      <c r="O73" s="33" t="str" cm="1">
        <f t="array" aca="1" ref="O73" ca="1">INDEX(O$9:O$66,MATCH($V73,$V$9:$V$66,0),0)</f>
        <v>Replacement expenditure</v>
      </c>
      <c r="P73" s="33"/>
      <c r="Q73" s="33" cm="1">
        <f t="array" aca="1" ref="Q73" ca="1">INDEX(Q$9:Q$66,MATCH($V73,$V$9:$V$66,0),0)</f>
        <v>6058148.406200001</v>
      </c>
      <c r="R73" s="33" cm="1">
        <f t="array" aca="1" ref="R73" ca="1">INDEX(R$9:R$66,MATCH($V73,$V$9:$V$66,0),0)</f>
        <v>0</v>
      </c>
      <c r="S73" s="33" cm="1">
        <f t="array" aca="1" ref="S73" ca="1">INDEX(S$9:S$66,MATCH($V73,$V$9:$V$66,0),0)</f>
        <v>0</v>
      </c>
      <c r="T73" s="33" cm="1">
        <f t="array" aca="1" ref="T73" ca="1">INDEX(T$9:T$66,MATCH($V73,$V$9:$V$66,0),0)</f>
        <v>0</v>
      </c>
      <c r="U73" s="33" cm="1">
        <f t="array" aca="1" ref="U73" ca="1">INDEX(U$9:U$66,MATCH($V73,$V$9:$V$66,0),0)</f>
        <v>0</v>
      </c>
      <c r="V73" s="45">
        <f t="shared" ref="V73:V89" ca="1" si="17">LARGE($V$9:$V$66,ROW()-71)</f>
        <v>6058148.406200001</v>
      </c>
    </row>
    <row r="74" spans="1:26">
      <c r="A74" s="33" t="str" cm="1">
        <f t="array" ref="A74">INDEX(A$9:A$40,MATCH($J74,$J$9:$J$40,0),0)</f>
        <v>Cooling tower sound enclosure panel replacement</v>
      </c>
      <c r="B74" s="33" t="str" cm="1">
        <f t="array" ref="B74">INDEX(B$9:B$40,MATCH($A74,$A$9:$A$40,0),0)</f>
        <v>2024/25</v>
      </c>
      <c r="C74" s="33" t="str" cm="1">
        <f t="array" ref="C74">INDEX(C$9:C$40,MATCH($J74,$J$9:$J$40,0),0)</f>
        <v>Transmission Assets</v>
      </c>
      <c r="D74" s="33" t="str" cm="1">
        <f t="array" ref="D74">INDEX(D$9:D$40,MATCH($J74,$J$9:$J$40,0),0)</f>
        <v>Replacement expenditure</v>
      </c>
      <c r="E74" s="33" cm="1">
        <f t="array" ref="E74">INDEX(E$9:E$40,MATCH($J74,$J$9:$J$40,0),0)</f>
        <v>833309.67669352551</v>
      </c>
      <c r="F74" s="33" cm="1">
        <f t="array" ref="F74">INDEX(F$9:F$40,MATCH($J74,$J$9:$J$40,0),0)</f>
        <v>186315.58165094384</v>
      </c>
      <c r="G74" s="33" cm="1">
        <f t="array" ref="G74">INDEX(G$9:G$40,MATCH($J74,$J$9:$J$40,0),0)</f>
        <v>222735.64533484005</v>
      </c>
      <c r="H74" s="33" cm="1">
        <f t="array" ref="H74">INDEX(H$9:H$40,MATCH($J74,$J$9:$J$40,0),0)</f>
        <v>0</v>
      </c>
      <c r="I74" s="33" cm="1">
        <f t="array" ref="I74">INDEX(I$9:I$40,MATCH($J74,$J$9:$J$40,0),0)</f>
        <v>0</v>
      </c>
      <c r="J74" s="45">
        <f t="shared" si="16"/>
        <v>1242360.9036793094</v>
      </c>
      <c r="L74" s="33" t="str" cm="1">
        <f t="array" aca="1" ref="L74" ca="1">INDEX(L$9:L$66,MATCH($V74,$V$9:$V$66,0),0)</f>
        <v>Physical Site Security and Public Protection - Mullumbimby</v>
      </c>
      <c r="M74" s="33" t="str" cm="1">
        <f t="array" aca="1" ref="M74" ca="1">INDEX(M$9:M$66,MATCH($V74,$V$9:$V$66,0),0)</f>
        <v>2024/25</v>
      </c>
      <c r="N74" s="33" t="str" cm="1">
        <f t="array" aca="1" ref="N74" ca="1">INDEX(N$9:N$66,MATCH($V74,$V$9:$V$66,0),0)</f>
        <v>Buildings</v>
      </c>
      <c r="O74" s="33" t="str" cm="1">
        <f t="array" aca="1" ref="O74" ca="1">INDEX(O$9:O$66,MATCH($V74,$V$9:$V$66,0),0)</f>
        <v>Replacement expenditure</v>
      </c>
      <c r="P74" s="33"/>
      <c r="Q74" s="33" cm="1">
        <f t="array" aca="1" ref="Q74" ca="1">INDEX(Q$9:Q$66,MATCH($V74,$V$9:$V$66,0),0)</f>
        <v>1487257.8544152684</v>
      </c>
      <c r="R74" s="33" cm="1">
        <f t="array" aca="1" ref="R74" ca="1">INDEX(R$9:R$66,MATCH($V74,$V$9:$V$66,0),0)</f>
        <v>703616.2994075364</v>
      </c>
      <c r="S74" s="33" cm="1">
        <f t="array" aca="1" ref="S74" ca="1">INDEX(S$9:S$66,MATCH($V74,$V$9:$V$66,0),0)</f>
        <v>0</v>
      </c>
      <c r="T74" s="33" cm="1">
        <f t="array" aca="1" ref="T74" ca="1">INDEX(T$9:T$66,MATCH($V74,$V$9:$V$66,0),0)</f>
        <v>0</v>
      </c>
      <c r="U74" s="33" cm="1">
        <f t="array" aca="1" ref="U74" ca="1">INDEX(U$9:U$66,MATCH($V74,$V$9:$V$66,0),0)</f>
        <v>0</v>
      </c>
      <c r="V74" s="45">
        <f t="shared" ca="1" si="17"/>
        <v>2190874.1538228048</v>
      </c>
    </row>
    <row r="75" spans="1:26">
      <c r="A75" s="33" t="str" cm="1">
        <f t="array" ref="A75">INDEX(A$9:A$40,MATCH($J75,$J$9:$J$40,0),0)</f>
        <v>Fire System Upgrades (2020-25)</v>
      </c>
      <c r="B75" s="33" t="str" cm="1">
        <f t="array" ref="B75">INDEX(B$9:B$40,MATCH($A75,$A$9:$A$40,0),0)</f>
        <v>2024/25</v>
      </c>
      <c r="C75" s="33" t="str" cm="1">
        <f t="array" ref="C75">INDEX(C$9:C$40,MATCH($J75,$J$9:$J$40,0),0)</f>
        <v>Transmission Assets</v>
      </c>
      <c r="D75" s="33" t="str" cm="1">
        <f t="array" ref="D75">INDEX(D$9:D$40,MATCH($J75,$J$9:$J$40,0),0)</f>
        <v>Replacement expenditure</v>
      </c>
      <c r="E75" s="33" cm="1">
        <f t="array" ref="E75">INDEX(E$9:E$40,MATCH($J75,$J$9:$J$40,0),0)</f>
        <v>0</v>
      </c>
      <c r="F75" s="33" cm="1">
        <f t="array" ref="F75">INDEX(F$9:F$40,MATCH($J75,$J$9:$J$40,0),0)</f>
        <v>0</v>
      </c>
      <c r="G75" s="33" cm="1">
        <f t="array" ref="G75">INDEX(G$9:G$40,MATCH($J75,$J$9:$J$40,0),0)</f>
        <v>0</v>
      </c>
      <c r="H75" s="33" cm="1">
        <f t="array" ref="H75">INDEX(H$9:H$40,MATCH($J75,$J$9:$J$40,0),0)</f>
        <v>602822</v>
      </c>
      <c r="I75" s="33" cm="1">
        <f t="array" ref="I75">INDEX(I$9:I$40,MATCH($J75,$J$9:$J$40,0),0)</f>
        <v>0</v>
      </c>
      <c r="J75" s="45">
        <f t="shared" si="16"/>
        <v>602822</v>
      </c>
      <c r="L75" s="33" t="str" cm="1">
        <f t="array" aca="1" ref="L75" ca="1">INDEX(L$9:L$66,MATCH($V75,$V$9:$V$66,0),0)</f>
        <v>Reactor cooling enhancements</v>
      </c>
      <c r="M75" s="33" t="str" cm="1">
        <f t="array" aca="1" ref="M75" ca="1">INDEX(M$9:M$66,MATCH($V75,$V$9:$V$66,0),0)</f>
        <v>2024/25</v>
      </c>
      <c r="N75" s="33" t="str" cm="1">
        <f t="array" aca="1" ref="N75" ca="1">INDEX(N$9:N$66,MATCH($V75,$V$9:$V$66,0),0)</f>
        <v>Transmission Assets</v>
      </c>
      <c r="O75" s="33" t="str" cm="1">
        <f t="array" aca="1" ref="O75" ca="1">INDEX(O$9:O$66,MATCH($V75,$V$9:$V$66,0),0)</f>
        <v>Replacement expenditure</v>
      </c>
      <c r="P75" s="33"/>
      <c r="Q75" s="33" cm="1">
        <f t="array" aca="1" ref="Q75" ca="1">INDEX(Q$9:Q$66,MATCH($V75,$V$9:$V$66,0),0)</f>
        <v>356233.68</v>
      </c>
      <c r="R75" s="33" cm="1">
        <f t="array" aca="1" ref="R75" ca="1">INDEX(R$9:R$66,MATCH($V75,$V$9:$V$66,0),0)</f>
        <v>853050.00000000012</v>
      </c>
      <c r="S75" s="33" cm="1">
        <f t="array" aca="1" ref="S75" ca="1">INDEX(S$9:S$66,MATCH($V75,$V$9:$V$66,0),0)</f>
        <v>853050.00000000012</v>
      </c>
      <c r="T75" s="33" cm="1">
        <f t="array" aca="1" ref="T75" ca="1">INDEX(T$9:T$66,MATCH($V75,$V$9:$V$66,0),0)</f>
        <v>0</v>
      </c>
      <c r="U75" s="33" cm="1">
        <f t="array" aca="1" ref="U75" ca="1">INDEX(U$9:U$66,MATCH($V75,$V$9:$V$66,0),0)</f>
        <v>0</v>
      </c>
      <c r="V75" s="45">
        <f t="shared" ca="1" si="17"/>
        <v>2062333.6800000002</v>
      </c>
    </row>
    <row r="76" spans="1:26">
      <c r="A76" s="33" t="str" cm="1">
        <f t="array" ref="A76">INDEX(A$9:A$40,MATCH($J76,$J$9:$J$40,0),0)</f>
        <v>Environmental Damage from Landslips</v>
      </c>
      <c r="B76" s="33" t="str" cm="1">
        <f t="array" ref="B76">INDEX(B$9:B$40,MATCH($A76,$A$9:$A$40,0),0)</f>
        <v>2024/25</v>
      </c>
      <c r="C76" s="33" t="str" cm="1">
        <f t="array" ref="C76">INDEX(C$9:C$40,MATCH($J76,$J$9:$J$40,0),0)</f>
        <v>Easements</v>
      </c>
      <c r="D76" s="33" t="str" cm="1">
        <f t="array" ref="D76">INDEX(D$9:D$40,MATCH($J76,$J$9:$J$40,0),0)</f>
        <v>Replacement expenditure</v>
      </c>
      <c r="E76" s="33" cm="1">
        <f t="array" ref="E76">INDEX(E$9:E$40,MATCH($J76,$J$9:$J$40,0),0)</f>
        <v>0</v>
      </c>
      <c r="F76" s="33" cm="1">
        <f t="array" ref="F76">INDEX(F$9:F$40,MATCH($J76,$J$9:$J$40,0),0)</f>
        <v>0</v>
      </c>
      <c r="G76" s="33" cm="1">
        <f t="array" ref="G76">INDEX(G$9:G$40,MATCH($J76,$J$9:$J$40,0),0)</f>
        <v>0</v>
      </c>
      <c r="H76" s="33" cm="1">
        <f t="array" ref="H76">INDEX(H$9:H$40,MATCH($J76,$J$9:$J$40,0),0)</f>
        <v>170610</v>
      </c>
      <c r="I76" s="33" cm="1">
        <f t="array" ref="I76">INDEX(I$9:I$40,MATCH($J76,$J$9:$J$40,0),0)</f>
        <v>282015.62057963602</v>
      </c>
      <c r="J76" s="45">
        <f t="shared" si="16"/>
        <v>452625.62057963602</v>
      </c>
      <c r="L76" s="33" t="str" cm="1">
        <f t="array" aca="1" ref="L76" ca="1">INDEX(L$9:L$66,MATCH($V76,$V$9:$V$66,0),0)</f>
        <v>Circuit Breakers</v>
      </c>
      <c r="M76" s="33" t="str" cm="1">
        <f t="array" aca="1" ref="M76" ca="1">INDEX(M$9:M$66,MATCH($V76,$V$9:$V$66,0),0)</f>
        <v>2024/25</v>
      </c>
      <c r="N76" s="33" t="str" cm="1">
        <f t="array" aca="1" ref="N76" ca="1">INDEX(N$9:N$66,MATCH($V76,$V$9:$V$66,0),0)</f>
        <v>Transmission Assets</v>
      </c>
      <c r="O76" s="33" t="str" cm="1">
        <f t="array" aca="1" ref="O76" ca="1">INDEX(O$9:O$66,MATCH($V76,$V$9:$V$66,0),0)</f>
        <v>Replacement expenditure</v>
      </c>
      <c r="P76" s="33"/>
      <c r="Q76" s="33" cm="1">
        <f t="array" aca="1" ref="Q76" ca="1">INDEX(Q$9:Q$66,MATCH($V76,$V$9:$V$66,0),0)</f>
        <v>136488</v>
      </c>
      <c r="R76" s="33" cm="1">
        <f t="array" aca="1" ref="R76" ca="1">INDEX(R$9:R$66,MATCH($V76,$V$9:$V$66,0),0)</f>
        <v>409464.00000000006</v>
      </c>
      <c r="S76" s="33" cm="1">
        <f t="array" aca="1" ref="S76" ca="1">INDEX(S$9:S$66,MATCH($V76,$V$9:$V$66,0),0)</f>
        <v>682440</v>
      </c>
      <c r="T76" s="33" cm="1">
        <f t="array" aca="1" ref="T76" ca="1">INDEX(T$9:T$66,MATCH($V76,$V$9:$V$66,0),0)</f>
        <v>136488</v>
      </c>
      <c r="U76" s="33" cm="1">
        <f t="array" aca="1" ref="U76" ca="1">INDEX(U$9:U$66,MATCH($V76,$V$9:$V$66,0),0)</f>
        <v>290285.40815999999</v>
      </c>
      <c r="V76" s="45">
        <f t="shared" ca="1" si="17"/>
        <v>1655165.4081600001</v>
      </c>
    </row>
    <row r="77" spans="1:26">
      <c r="A77" s="33" t="str" cm="1">
        <f t="array" ref="A77">INDEX(A$9:A$40,MATCH($J77,$J$9:$J$40,0),0)</f>
        <v>Dlink UPS system upgrade work</v>
      </c>
      <c r="B77" s="33" t="str" cm="1">
        <f t="array" ref="B77">INDEX(B$9:B$40,MATCH($A77,$A$9:$A$40,0),0)</f>
        <v>2024/25</v>
      </c>
      <c r="C77" s="33" t="str" cm="1">
        <f t="array" ref="C77">INDEX(C$9:C$40,MATCH($J77,$J$9:$J$40,0),0)</f>
        <v>Transmission Assets</v>
      </c>
      <c r="D77" s="33" t="str" cm="1">
        <f t="array" ref="D77">INDEX(D$9:D$40,MATCH($J77,$J$9:$J$40,0),0)</f>
        <v>Replacement expenditure</v>
      </c>
      <c r="E77" s="33" cm="1">
        <f t="array" ref="E77">INDEX(E$9:E$40,MATCH($J77,$J$9:$J$40,0),0)</f>
        <v>27627.12099608437</v>
      </c>
      <c r="F77" s="33" cm="1">
        <f t="array" ref="F77">INDEX(F$9:F$40,MATCH($J77,$J$9:$J$40,0),0)</f>
        <v>156338.00772638881</v>
      </c>
      <c r="G77" s="33" cm="1">
        <f t="array" ref="G77">INDEX(G$9:G$40,MATCH($J77,$J$9:$J$40,0),0)</f>
        <v>247816.3590958</v>
      </c>
      <c r="H77" s="33" cm="1">
        <f t="array" ref="H77">INDEX(H$9:H$40,MATCH($J77,$J$9:$J$40,0),0)</f>
        <v>0</v>
      </c>
      <c r="I77" s="33" cm="1">
        <f t="array" ref="I77">INDEX(I$9:I$40,MATCH($J77,$J$9:$J$40,0),0)</f>
        <v>0</v>
      </c>
      <c r="J77" s="45">
        <f t="shared" si="16"/>
        <v>431781.48781827313</v>
      </c>
      <c r="L77" s="33" t="str" cm="1">
        <f t="array" aca="1" ref="L77" ca="1">INDEX(L$9:L$66,MATCH($V77,$V$9:$V$66,0),0)</f>
        <v>Physical Site Security and Public Protection - Bangalora</v>
      </c>
      <c r="M77" s="33" t="str" cm="1">
        <f t="array" aca="1" ref="M77" ca="1">INDEX(M$9:M$66,MATCH($V77,$V$9:$V$66,0),0)</f>
        <v>2024/25</v>
      </c>
      <c r="N77" s="33" t="str" cm="1">
        <f t="array" aca="1" ref="N77" ca="1">INDEX(N$9:N$66,MATCH($V77,$V$9:$V$66,0),0)</f>
        <v>Buildings</v>
      </c>
      <c r="O77" s="33" t="str" cm="1">
        <f t="array" aca="1" ref="O77" ca="1">INDEX(O$9:O$66,MATCH($V77,$V$9:$V$66,0),0)</f>
        <v>Replacement expenditure</v>
      </c>
      <c r="P77" s="33"/>
      <c r="Q77" s="33" cm="1">
        <f t="array" aca="1" ref="Q77" ca="1">INDEX(Q$9:Q$66,MATCH($V77,$V$9:$V$66,0),0)</f>
        <v>639343.64828488778</v>
      </c>
      <c r="R77" s="33" cm="1">
        <f t="array" aca="1" ref="R77" ca="1">INDEX(R$9:R$66,MATCH($V77,$V$9:$V$66,0),0)</f>
        <v>388352.54807119508</v>
      </c>
      <c r="S77" s="33" cm="1">
        <f t="array" aca="1" ref="S77" ca="1">INDEX(S$9:S$66,MATCH($V77,$V$9:$V$66,0),0)</f>
        <v>60678.427852575987</v>
      </c>
      <c r="T77" s="33" cm="1">
        <f t="array" aca="1" ref="T77" ca="1">INDEX(T$9:T$66,MATCH($V77,$V$9:$V$66,0),0)</f>
        <v>0</v>
      </c>
      <c r="U77" s="33" cm="1">
        <f t="array" aca="1" ref="U77" ca="1">INDEX(U$9:U$66,MATCH($V77,$V$9:$V$66,0),0)</f>
        <v>0</v>
      </c>
      <c r="V77" s="45">
        <f t="shared" ca="1" si="17"/>
        <v>1088374.6242086587</v>
      </c>
    </row>
    <row r="78" spans="1:26">
      <c r="A78" s="33" t="str" cm="1">
        <f t="array" ref="A78">INDEX(A$9:A$40,MATCH($J78,$J$9:$J$40,0),0)</f>
        <v xml:space="preserve">Cyber Security 
</v>
      </c>
      <c r="B78" s="33" t="str" cm="1">
        <f t="array" ref="B78">INDEX(B$9:B$40,MATCH($A78,$A$9:$A$40,0),0)</f>
        <v>2024/25</v>
      </c>
      <c r="C78" s="33" t="str" cm="1">
        <f t="array" ref="C78">INDEX(C$9:C$40,MATCH($J78,$J$9:$J$40,0),0)</f>
        <v>Transmission Assets</v>
      </c>
      <c r="D78" s="33" t="str" cm="1">
        <f t="array" ref="D78">INDEX(D$9:D$40,MATCH($J78,$J$9:$J$40,0),0)</f>
        <v>Replacement expenditure</v>
      </c>
      <c r="E78" s="33" cm="1">
        <f t="array" ref="E78">INDEX(E$9:E$40,MATCH($J78,$J$9:$J$40,0),0)</f>
        <v>97637.623196619112</v>
      </c>
      <c r="F78" s="33" cm="1">
        <f t="array" ref="F78">INDEX(F$9:F$40,MATCH($J78,$J$9:$J$40,0),0)</f>
        <v>314217.14512118464</v>
      </c>
      <c r="G78" s="33" cm="1">
        <f t="array" ref="G78">INDEX(G$9:G$40,MATCH($J78,$J$9:$J$40,0),0)</f>
        <v>0</v>
      </c>
      <c r="H78" s="33" cm="1">
        <f t="array" ref="H78">INDEX(H$9:H$40,MATCH($J78,$J$9:$J$40,0),0)</f>
        <v>0</v>
      </c>
      <c r="I78" s="33" cm="1">
        <f t="array" ref="I78">INDEX(I$9:I$40,MATCH($J78,$J$9:$J$40,0),0)</f>
        <v>0</v>
      </c>
      <c r="J78" s="45">
        <f t="shared" si="16"/>
        <v>411854.76831780374</v>
      </c>
      <c r="L78" s="33" t="str" cm="1">
        <f t="array" aca="1" ref="L78" ca="1">INDEX(L$9:L$66,MATCH($V78,$V$9:$V$66,0),0)</f>
        <v>Cooling Tower Sound Enclosure and Roofing Corrosion Management</v>
      </c>
      <c r="M78" s="33" t="str" cm="1">
        <f t="array" aca="1" ref="M78" ca="1">INDEX(M$9:M$66,MATCH($V78,$V$9:$V$66,0),0)</f>
        <v>2024/25</v>
      </c>
      <c r="N78" s="33" t="str" cm="1">
        <f t="array" aca="1" ref="N78" ca="1">INDEX(N$9:N$66,MATCH($V78,$V$9:$V$66,0),0)</f>
        <v>Buildings</v>
      </c>
      <c r="O78" s="33" t="str" cm="1">
        <f t="array" aca="1" ref="O78" ca="1">INDEX(O$9:O$66,MATCH($V78,$V$9:$V$66,0),0)</f>
        <v>Replacement expenditure</v>
      </c>
      <c r="P78" s="33"/>
      <c r="Q78" s="33" cm="1">
        <f t="array" aca="1" ref="Q78" ca="1">INDEX(Q$9:Q$66,MATCH($V78,$V$9:$V$66,0),0)</f>
        <v>0</v>
      </c>
      <c r="R78" s="33" cm="1">
        <f t="array" aca="1" ref="R78" ca="1">INDEX(R$9:R$66,MATCH($V78,$V$9:$V$66,0),0)</f>
        <v>0</v>
      </c>
      <c r="S78" s="33" cm="1">
        <f t="array" aca="1" ref="S78" ca="1">INDEX(S$9:S$66,MATCH($V78,$V$9:$V$66,0),0)</f>
        <v>0</v>
      </c>
      <c r="T78" s="33" cm="1">
        <f t="array" aca="1" ref="T78" ca="1">INDEX(T$9:T$66,MATCH($V78,$V$9:$V$66,0),0)</f>
        <v>988043.04668013402</v>
      </c>
      <c r="U78" s="33" cm="1">
        <f t="array" aca="1" ref="U78" ca="1">INDEX(U$9:U$66,MATCH($V78,$V$9:$V$66,0),0)</f>
        <v>0</v>
      </c>
      <c r="V78" s="45">
        <f t="shared" ca="1" si="17"/>
        <v>988043.04668013402</v>
      </c>
    </row>
    <row r="79" spans="1:26">
      <c r="A79" s="33" t="str" cm="1">
        <f t="array" ref="A79">INDEX(A$9:A$40,MATCH($J79,$J$9:$J$40,0),0)</f>
        <v>Cable Modification (Transitions) (21-25)</v>
      </c>
      <c r="B79" s="33" t="str" cm="1">
        <f t="array" ref="B79">INDEX(B$9:B$40,MATCH($A79,$A$9:$A$40,0),0)</f>
        <v>2024/25</v>
      </c>
      <c r="C79" s="33" t="str" cm="1">
        <f t="array" ref="C79">INDEX(C$9:C$40,MATCH($J79,$J$9:$J$40,0),0)</f>
        <v>Transmission Assets</v>
      </c>
      <c r="D79" s="33" t="str" cm="1">
        <f t="array" ref="D79">INDEX(D$9:D$40,MATCH($J79,$J$9:$J$40,0),0)</f>
        <v>Replacement expenditure</v>
      </c>
      <c r="E79" s="33" cm="1">
        <f t="array" ref="E79">INDEX(E$9:E$40,MATCH($J79,$J$9:$J$40,0),0)</f>
        <v>0</v>
      </c>
      <c r="F79" s="33" cm="1">
        <f t="array" ref="F79">INDEX(F$9:F$40,MATCH($J79,$J$9:$J$40,0),0)</f>
        <v>0</v>
      </c>
      <c r="G79" s="33" cm="1">
        <f t="array" ref="G79">INDEX(G$9:G$40,MATCH($J79,$J$9:$J$40,0),0)</f>
        <v>0</v>
      </c>
      <c r="H79" s="33" cm="1">
        <f t="array" ref="H79">INDEX(H$9:H$40,MATCH($J79,$J$9:$J$40,0),0)</f>
        <v>0</v>
      </c>
      <c r="I79" s="33" cm="1">
        <f t="array" ref="I79">INDEX(I$9:I$40,MATCH($J79,$J$9:$J$40,0),0)</f>
        <v>407389.84554660309</v>
      </c>
      <c r="J79" s="45">
        <f t="shared" si="16"/>
        <v>407389.84554660309</v>
      </c>
      <c r="L79" s="33" t="str" cm="1">
        <f t="array" aca="1" ref="L79" ca="1">INDEX(L$9:L$66,MATCH($V79,$V$9:$V$66,0),0)</f>
        <v>On-going Major Capital Maintenance</v>
      </c>
      <c r="M79" s="33" t="str" cm="1">
        <f t="array" aca="1" ref="M79" ca="1">INDEX(M$9:M$66,MATCH($V79,$V$9:$V$66,0),0)</f>
        <v>2024/25</v>
      </c>
      <c r="N79" s="33" t="str" cm="1">
        <f t="array" aca="1" ref="N79" ca="1">INDEX(N$9:N$66,MATCH($V79,$V$9:$V$66,0),0)</f>
        <v>Transmission Assets</v>
      </c>
      <c r="O79" s="33" t="str" cm="1">
        <f t="array" aca="1" ref="O79" ca="1">INDEX(O$9:O$66,MATCH($V79,$V$9:$V$66,0),0)</f>
        <v>Replacement expenditure</v>
      </c>
      <c r="P79" s="33"/>
      <c r="Q79" s="33" cm="1">
        <f t="array" aca="1" ref="Q79" ca="1">INDEX(Q$9:Q$66,MATCH($V79,$V$9:$V$66,0),0)</f>
        <v>170610</v>
      </c>
      <c r="R79" s="33" cm="1">
        <f t="array" aca="1" ref="R79" ca="1">INDEX(R$9:R$66,MATCH($V79,$V$9:$V$66,0),0)</f>
        <v>170610</v>
      </c>
      <c r="S79" s="33" cm="1">
        <f t="array" aca="1" ref="S79" ca="1">INDEX(S$9:S$66,MATCH($V79,$V$9:$V$66,0),0)</f>
        <v>170610</v>
      </c>
      <c r="T79" s="33" cm="1">
        <f t="array" aca="1" ref="T79" ca="1">INDEX(T$9:T$66,MATCH($V79,$V$9:$V$66,0),0)</f>
        <v>170610</v>
      </c>
      <c r="U79" s="33" cm="1">
        <f t="array" aca="1" ref="U79" ca="1">INDEX(U$9:U$66,MATCH($V79,$V$9:$V$66,0),0)</f>
        <v>170610</v>
      </c>
      <c r="V79" s="45">
        <f t="shared" ca="1" si="17"/>
        <v>853050</v>
      </c>
    </row>
    <row r="80" spans="1:26">
      <c r="A80" s="33" t="str" cm="1">
        <f t="array" ref="A80">INDEX(A$9:A$40,MATCH($J80,$J$9:$J$40,0),0)</f>
        <v>Directlink SCADA Upgrade</v>
      </c>
      <c r="B80" s="33" t="str" cm="1">
        <f t="array" ref="B80">INDEX(B$9:B$40,MATCH($A80,$A$9:$A$40,0),0)</f>
        <v>2024/25</v>
      </c>
      <c r="C80" s="33" t="str" cm="1">
        <f t="array" ref="C80">INDEX(C$9:C$40,MATCH($J80,$J$9:$J$40,0),0)</f>
        <v>Transmission Assets</v>
      </c>
      <c r="D80" s="33" t="str" cm="1">
        <f t="array" ref="D80">INDEX(D$9:D$40,MATCH($J80,$J$9:$J$40,0),0)</f>
        <v>Replacement expenditure</v>
      </c>
      <c r="E80" s="33" cm="1">
        <f t="array" ref="E80">INDEX(E$9:E$40,MATCH($J80,$J$9:$J$40,0),0)</f>
        <v>0</v>
      </c>
      <c r="F80" s="33" cm="1">
        <f t="array" ref="F80">INDEX(F$9:F$40,MATCH($J80,$J$9:$J$40,0),0)</f>
        <v>0</v>
      </c>
      <c r="G80" s="33" cm="1">
        <f t="array" ref="G80">INDEX(G$9:G$40,MATCH($J80,$J$9:$J$40,0),0)</f>
        <v>306662.94450000004</v>
      </c>
      <c r="H80" s="33" cm="1">
        <f t="array" ref="H80">INDEX(H$9:H$40,MATCH($J80,$J$9:$J$40,0),0)</f>
        <v>0</v>
      </c>
      <c r="I80" s="33" cm="1">
        <f t="array" ref="I80">INDEX(I$9:I$40,MATCH($J80,$J$9:$J$40,0),0)</f>
        <v>0</v>
      </c>
      <c r="J80" s="45">
        <f t="shared" si="16"/>
        <v>306662.94450000004</v>
      </c>
      <c r="L80" s="33" t="str" cm="1">
        <f t="array" aca="1" ref="L80" ca="1">INDEX(L$9:L$66,MATCH($V80,$V$9:$V$66,0),0)</f>
        <v>IGBT Water Cooling System Midlife Refurbishment</v>
      </c>
      <c r="M80" s="33" t="str" cm="1">
        <f t="array" aca="1" ref="M80" ca="1">INDEX(M$9:M$66,MATCH($V80,$V$9:$V$66,0),0)</f>
        <v>2024/25</v>
      </c>
      <c r="N80" s="33" t="str" cm="1">
        <f t="array" aca="1" ref="N80" ca="1">INDEX(N$9:N$66,MATCH($V80,$V$9:$V$66,0),0)</f>
        <v>Transmission Assets</v>
      </c>
      <c r="O80" s="33" t="str" cm="1">
        <f t="array" aca="1" ref="O80" ca="1">INDEX(O$9:O$66,MATCH($V80,$V$9:$V$66,0),0)</f>
        <v>Replacement expenditure</v>
      </c>
      <c r="P80" s="33"/>
      <c r="Q80" s="33" cm="1">
        <f t="array" aca="1" ref="Q80" ca="1">INDEX(Q$9:Q$66,MATCH($V80,$V$9:$V$66,0),0)</f>
        <v>68244</v>
      </c>
      <c r="R80" s="33" cm="1">
        <f t="array" aca="1" ref="R80" ca="1">INDEX(R$9:R$66,MATCH($V80,$V$9:$V$66,0),0)</f>
        <v>68244</v>
      </c>
      <c r="S80" s="33" cm="1">
        <f t="array" aca="1" ref="S80" ca="1">INDEX(S$9:S$66,MATCH($V80,$V$9:$V$66,0),0)</f>
        <v>154231.44</v>
      </c>
      <c r="T80" s="33" cm="1">
        <f t="array" aca="1" ref="T80" ca="1">INDEX(T$9:T$66,MATCH($V80,$V$9:$V$66,0),0)</f>
        <v>477708.00000000006</v>
      </c>
      <c r="U80" s="33" cm="1">
        <f t="array" aca="1" ref="U80" ca="1">INDEX(U$9:U$66,MATCH($V80,$V$9:$V$66,0),0)</f>
        <v>68244</v>
      </c>
      <c r="V80" s="45">
        <f t="shared" ca="1" si="17"/>
        <v>836671.44000000006</v>
      </c>
    </row>
    <row r="81" spans="1:26">
      <c r="A81" s="33" t="str" cm="1">
        <f t="array" ref="A81">INDEX(A$9:A$40,MATCH($J81,$J$9:$J$40,0),0)</f>
        <v>Asset Integration - CMMS Uplift (Placeholder)</v>
      </c>
      <c r="B81" s="33" t="str" cm="1">
        <f t="array" ref="B81">INDEX(B$9:B$40,MATCH($A81,$A$9:$A$40,0),0)</f>
        <v>2024/25</v>
      </c>
      <c r="C81" s="33" t="str" cm="1">
        <f t="array" ref="C81">INDEX(C$9:C$40,MATCH($J81,$J$9:$J$40,0),0)</f>
        <v>Transmission Assets</v>
      </c>
      <c r="D81" s="33" t="str" cm="1">
        <f t="array" ref="D81">INDEX(D$9:D$40,MATCH($J81,$J$9:$J$40,0),0)</f>
        <v>Replacement expenditure</v>
      </c>
      <c r="E81" s="33" cm="1">
        <f t="array" ref="E81">INDEX(E$9:E$40,MATCH($J81,$J$9:$J$40,0),0)</f>
        <v>0</v>
      </c>
      <c r="F81" s="33" cm="1">
        <f t="array" ref="F81">INDEX(F$9:F$40,MATCH($J81,$J$9:$J$40,0),0)</f>
        <v>0</v>
      </c>
      <c r="G81" s="33" cm="1">
        <f t="array" ref="G81">INDEX(G$9:G$40,MATCH($J81,$J$9:$J$40,0),0)</f>
        <v>0</v>
      </c>
      <c r="H81" s="33" cm="1">
        <f t="array" ref="H81">INDEX(H$9:H$40,MATCH($J81,$J$9:$J$40,0),0)</f>
        <v>0</v>
      </c>
      <c r="I81" s="33" cm="1">
        <f t="array" ref="I81">INDEX(I$9:I$40,MATCH($J81,$J$9:$J$40,0),0)</f>
        <v>244433.90732796188</v>
      </c>
      <c r="J81" s="45">
        <f t="shared" si="16"/>
        <v>244433.90732796188</v>
      </c>
      <c r="L81" s="33" t="str" cm="1">
        <f t="array" aca="1" ref="L81" ca="1">INDEX(L$9:L$66,MATCH($V81,$V$9:$V$66,0),0)</f>
        <v>Fire System Upgrades (2026-30)</v>
      </c>
      <c r="M81" s="33" t="str" cm="1">
        <f t="array" aca="1" ref="M81" ca="1">INDEX(M$9:M$66,MATCH($V81,$V$9:$V$66,0),0)</f>
        <v>2024/25</v>
      </c>
      <c r="N81" s="33" t="str" cm="1">
        <f t="array" aca="1" ref="N81" ca="1">INDEX(N$9:N$66,MATCH($V81,$V$9:$V$66,0),0)</f>
        <v>Transmission Assets</v>
      </c>
      <c r="O81" s="33" t="str" cm="1">
        <f t="array" aca="1" ref="O81" ca="1">INDEX(O$9:O$66,MATCH($V81,$V$9:$V$66,0),0)</f>
        <v>Replacement expenditure</v>
      </c>
      <c r="P81" s="33"/>
      <c r="Q81" s="33" cm="1">
        <f t="array" aca="1" ref="Q81" ca="1">INDEX(Q$9:Q$66,MATCH($V81,$V$9:$V$66,0),0)</f>
        <v>0</v>
      </c>
      <c r="R81" s="33" cm="1">
        <f t="array" aca="1" ref="R81" ca="1">INDEX(R$9:R$66,MATCH($V81,$V$9:$V$66,0),0)</f>
        <v>0</v>
      </c>
      <c r="S81" s="33" cm="1">
        <f t="array" aca="1" ref="S81" ca="1">INDEX(S$9:S$66,MATCH($V81,$V$9:$V$66,0),0)</f>
        <v>214968.60000000003</v>
      </c>
      <c r="T81" s="33" cm="1">
        <f t="array" aca="1" ref="T81" ca="1">INDEX(T$9:T$66,MATCH($V81,$V$9:$V$66,0),0)</f>
        <v>214968.60000000003</v>
      </c>
      <c r="U81" s="33" cm="1">
        <f t="array" aca="1" ref="U81" ca="1">INDEX(U$9:U$66,MATCH($V81,$V$9:$V$66,0),0)</f>
        <v>214968.60000000003</v>
      </c>
      <c r="V81" s="45">
        <f t="shared" ca="1" si="17"/>
        <v>644905.80000000005</v>
      </c>
    </row>
    <row r="82" spans="1:26">
      <c r="A82" s="33" t="str" cm="1">
        <f t="array" ref="A82">INDEX(A$9:A$40,MATCH($J82,$J$9:$J$40,0),0)</f>
        <v>Barn Door Replacement</v>
      </c>
      <c r="B82" s="33" t="str" cm="1">
        <f t="array" ref="B82">INDEX(B$9:B$40,MATCH($A82,$A$9:$A$40,0),0)</f>
        <v>2024/25</v>
      </c>
      <c r="C82" s="33" t="str" cm="1">
        <f t="array" ref="C82">INDEX(C$9:C$40,MATCH($J82,$J$9:$J$40,0),0)</f>
        <v>Buildings</v>
      </c>
      <c r="D82" s="33" t="str" cm="1">
        <f t="array" ref="D82">INDEX(D$9:D$40,MATCH($J82,$J$9:$J$40,0),0)</f>
        <v>Replacement expenditure</v>
      </c>
      <c r="E82" s="33" cm="1">
        <f t="array" ref="E82">INDEX(E$9:E$40,MATCH($J82,$J$9:$J$40,0),0)</f>
        <v>0</v>
      </c>
      <c r="F82" s="33" cm="1">
        <f t="array" ref="F82">INDEX(F$9:F$40,MATCH($J82,$J$9:$J$40,0),0)</f>
        <v>0</v>
      </c>
      <c r="G82" s="33" cm="1">
        <f t="array" ref="G82">INDEX(G$9:G$40,MATCH($J82,$J$9:$J$40,0),0)</f>
        <v>0</v>
      </c>
      <c r="H82" s="33" cm="1">
        <f t="array" ref="H82">INDEX(H$9:H$40,MATCH($J82,$J$9:$J$40,0),0)</f>
        <v>0</v>
      </c>
      <c r="I82" s="33" cm="1">
        <f t="array" ref="I82">INDEX(I$9:I$40,MATCH($J82,$J$9:$J$40,0),0)</f>
        <v>201657.97354556853</v>
      </c>
      <c r="J82" s="45">
        <f t="shared" si="16"/>
        <v>201657.97354556853</v>
      </c>
      <c r="L82" s="33" t="str" cm="1">
        <f t="array" aca="1" ref="L82" ca="1">INDEX(L$9:L$66,MATCH($V82,$V$9:$V$66,0),0)</f>
        <v>Cooling Tower Fans</v>
      </c>
      <c r="M82" s="33" t="str" cm="1">
        <f t="array" aca="1" ref="M82" ca="1">INDEX(M$9:M$66,MATCH($V82,$V$9:$V$66,0),0)</f>
        <v>2024/25</v>
      </c>
      <c r="N82" s="33" t="str" cm="1">
        <f t="array" aca="1" ref="N82" ca="1">INDEX(N$9:N$66,MATCH($V82,$V$9:$V$66,0),0)</f>
        <v>Transmission Assets</v>
      </c>
      <c r="O82" s="33" t="str" cm="1">
        <f t="array" aca="1" ref="O82" ca="1">INDEX(O$9:O$66,MATCH($V82,$V$9:$V$66,0),0)</f>
        <v>Replacement expenditure</v>
      </c>
      <c r="P82" s="33"/>
      <c r="Q82" s="33" cm="1">
        <f t="array" aca="1" ref="Q82" ca="1">INDEX(Q$9:Q$66,MATCH($V82,$V$9:$V$66,0),0)</f>
        <v>119179.05171232164</v>
      </c>
      <c r="R82" s="33" cm="1">
        <f t="array" aca="1" ref="R82" ca="1">INDEX(R$9:R$66,MATCH($V82,$V$9:$V$66,0),0)</f>
        <v>120477.6588011096</v>
      </c>
      <c r="S82" s="33" cm="1">
        <f t="array" aca="1" ref="S82" ca="1">INDEX(S$9:S$66,MATCH($V82,$V$9:$V$66,0),0)</f>
        <v>121563.93291374719</v>
      </c>
      <c r="T82" s="33" cm="1">
        <f t="array" aca="1" ref="T82" ca="1">INDEX(T$9:T$66,MATCH($V82,$V$9:$V$66,0),0)</f>
        <v>122997.77898084531</v>
      </c>
      <c r="U82" s="33" cm="1">
        <f t="array" aca="1" ref="U82" ca="1">INDEX(U$9:U$66,MATCH($V82,$V$9:$V$66,0),0)</f>
        <v>124633.59898971194</v>
      </c>
      <c r="V82" s="45">
        <f t="shared" ca="1" si="17"/>
        <v>608852.02139773569</v>
      </c>
    </row>
    <row r="83" spans="1:26">
      <c r="A83" s="33" t="str" cm="1">
        <f t="array" ref="A83">INDEX(A$9:A$40,MATCH($J83,$J$9:$J$40,0),0)</f>
        <v>Environmental Damage from Landslips (Emergency Works)</v>
      </c>
      <c r="B83" s="33" t="str" cm="1">
        <f t="array" ref="B83">INDEX(B$9:B$40,MATCH($A83,$A$9:$A$40,0),0)</f>
        <v>2024/25</v>
      </c>
      <c r="C83" s="33" t="str" cm="1">
        <f t="array" ref="C83">INDEX(C$9:C$40,MATCH($J83,$J$9:$J$40,0),0)</f>
        <v>Easements</v>
      </c>
      <c r="D83" s="33" t="str" cm="1">
        <f t="array" ref="D83">INDEX(D$9:D$40,MATCH($J83,$J$9:$J$40,0),0)</f>
        <v>Replacement expenditure</v>
      </c>
      <c r="E83" s="33" cm="1">
        <f t="array" ref="E83">INDEX(E$9:E$40,MATCH($J83,$J$9:$J$40,0),0)</f>
        <v>0</v>
      </c>
      <c r="F83" s="33" cm="1">
        <f t="array" ref="F83">INDEX(F$9:F$40,MATCH($J83,$J$9:$J$40,0),0)</f>
        <v>0</v>
      </c>
      <c r="G83" s="33" cm="1">
        <f t="array" ref="G83">INDEX(G$9:G$40,MATCH($J83,$J$9:$J$40,0),0)</f>
        <v>0</v>
      </c>
      <c r="H83" s="33" cm="1">
        <f t="array" ref="H83">INDEX(H$9:H$40,MATCH($J83,$J$9:$J$40,0),0)</f>
        <v>181756.52000000002</v>
      </c>
      <c r="I83" s="33" cm="1">
        <f t="array" ref="I83">INDEX(I$9:I$40,MATCH($J83,$J$9:$J$40,0),0)</f>
        <v>0</v>
      </c>
      <c r="J83" s="45">
        <f t="shared" si="16"/>
        <v>181756.52000000002</v>
      </c>
      <c r="L83" s="33" t="str" cm="1">
        <f t="array" aca="1" ref="L83" ca="1">INDEX(L$9:L$66,MATCH($V83,$V$9:$V$66,0),0)</f>
        <v>Cable Modification (Transitions) (26-30)</v>
      </c>
      <c r="M83" s="33" t="str" cm="1">
        <f t="array" aca="1" ref="M83" ca="1">INDEX(M$9:M$66,MATCH($V83,$V$9:$V$66,0),0)</f>
        <v>2024/25</v>
      </c>
      <c r="N83" s="33" t="str" cm="1">
        <f t="array" aca="1" ref="N83" ca="1">INDEX(N$9:N$66,MATCH($V83,$V$9:$V$66,0),0)</f>
        <v>Transmission Assets</v>
      </c>
      <c r="O83" s="33" t="str" cm="1">
        <f t="array" aca="1" ref="O83" ca="1">INDEX(O$9:O$66,MATCH($V83,$V$9:$V$66,0),0)</f>
        <v>Replacement expenditure</v>
      </c>
      <c r="P83" s="33"/>
      <c r="Q83" s="33" cm="1">
        <f t="array" aca="1" ref="Q83" ca="1">INDEX(Q$9:Q$66,MATCH($V83,$V$9:$V$66,0),0)</f>
        <v>545952</v>
      </c>
      <c r="R83" s="33" cm="1">
        <f t="array" aca="1" ref="R83" ca="1">INDEX(R$9:R$66,MATCH($V83,$V$9:$V$66,0),0)</f>
        <v>0</v>
      </c>
      <c r="S83" s="33" cm="1">
        <f t="array" aca="1" ref="S83" ca="1">INDEX(S$9:S$66,MATCH($V83,$V$9:$V$66,0),0)</f>
        <v>0</v>
      </c>
      <c r="T83" s="33" cm="1">
        <f t="array" aca="1" ref="T83" ca="1">INDEX(T$9:T$66,MATCH($V83,$V$9:$V$66,0),0)</f>
        <v>0</v>
      </c>
      <c r="U83" s="33" cm="1">
        <f t="array" aca="1" ref="U83" ca="1">INDEX(U$9:U$66,MATCH($V83,$V$9:$V$66,0),0)</f>
        <v>0</v>
      </c>
      <c r="V83" s="45">
        <f t="shared" ca="1" si="17"/>
        <v>545952</v>
      </c>
    </row>
    <row r="84" spans="1:26">
      <c r="A84" s="33" t="str" cm="1">
        <f t="array" ref="A84">INDEX(A$9:A$40,MATCH($J84,$J$9:$J$40,0),0)</f>
        <v>Hi Pot Tester / Thumper Replacement</v>
      </c>
      <c r="B84" s="33" t="str" cm="1">
        <f t="array" ref="B84">INDEX(B$9:B$40,MATCH($A84,$A$9:$A$40,0),0)</f>
        <v>2024/25</v>
      </c>
      <c r="C84" s="33" t="str" cm="1">
        <f t="array" ref="C84">INDEX(C$9:C$40,MATCH($J84,$J$9:$J$40,0),0)</f>
        <v>Transmission Assets</v>
      </c>
      <c r="D84" s="33" t="str" cm="1">
        <f t="array" ref="D84">INDEX(D$9:D$40,MATCH($J84,$J$9:$J$40,0),0)</f>
        <v>Replacement expenditure</v>
      </c>
      <c r="E84" s="33" cm="1">
        <f t="array" ref="E84">INDEX(E$9:E$40,MATCH($J84,$J$9:$J$40,0),0)</f>
        <v>0</v>
      </c>
      <c r="F84" s="33" cm="1">
        <f t="array" ref="F84">INDEX(F$9:F$40,MATCH($J84,$J$9:$J$40,0),0)</f>
        <v>175001.73409347408</v>
      </c>
      <c r="G84" s="33" cm="1">
        <f t="array" ref="G84">INDEX(G$9:G$40,MATCH($J84,$J$9:$J$40,0),0)</f>
        <v>0</v>
      </c>
      <c r="H84" s="33" cm="1">
        <f t="array" ref="H84">INDEX(H$9:H$40,MATCH($J84,$J$9:$J$40,0),0)</f>
        <v>0</v>
      </c>
      <c r="I84" s="33" cm="1">
        <f t="array" ref="I84">INDEX(I$9:I$40,MATCH($J84,$J$9:$J$40,0),0)</f>
        <v>0</v>
      </c>
      <c r="J84" s="45">
        <f t="shared" si="16"/>
        <v>175001.73409347408</v>
      </c>
      <c r="L84" s="33" t="str" cm="1">
        <f t="array" aca="1" ref="L84" ca="1">INDEX(L$9:L$66,MATCH($V84,$V$9:$V$66,0),0)</f>
        <v>DC disconnectors</v>
      </c>
      <c r="M84" s="33" t="str" cm="1">
        <f t="array" aca="1" ref="M84" ca="1">INDEX(M$9:M$66,MATCH($V84,$V$9:$V$66,0),0)</f>
        <v>2024/25</v>
      </c>
      <c r="N84" s="33" t="str" cm="1">
        <f t="array" aca="1" ref="N84" ca="1">INDEX(N$9:N$66,MATCH($V84,$V$9:$V$66,0),0)</f>
        <v>Transmission Assets</v>
      </c>
      <c r="O84" s="33" t="str" cm="1">
        <f t="array" aca="1" ref="O84" ca="1">INDEX(O$9:O$66,MATCH($V84,$V$9:$V$66,0),0)</f>
        <v>Replacement expenditure</v>
      </c>
      <c r="P84" s="33"/>
      <c r="Q84" s="33" cm="1">
        <f t="array" aca="1" ref="Q84" ca="1">INDEX(Q$9:Q$66,MATCH($V84,$V$9:$V$66,0),0)</f>
        <v>446656.98000000016</v>
      </c>
      <c r="R84" s="33" cm="1">
        <f t="array" aca="1" ref="R84" ca="1">INDEX(R$9:R$66,MATCH($V84,$V$9:$V$66,0),0)</f>
        <v>0</v>
      </c>
      <c r="S84" s="33" cm="1">
        <f t="array" aca="1" ref="S84" ca="1">INDEX(S$9:S$66,MATCH($V84,$V$9:$V$66,0),0)</f>
        <v>0</v>
      </c>
      <c r="T84" s="33" cm="1">
        <f t="array" aca="1" ref="T84" ca="1">INDEX(T$9:T$66,MATCH($V84,$V$9:$V$66,0),0)</f>
        <v>0</v>
      </c>
      <c r="U84" s="33" cm="1">
        <f t="array" aca="1" ref="U84" ca="1">INDEX(U$9:U$66,MATCH($V84,$V$9:$V$66,0),0)</f>
        <v>0</v>
      </c>
      <c r="V84" s="45">
        <f t="shared" ca="1" si="17"/>
        <v>446656.98000000016</v>
      </c>
    </row>
    <row r="85" spans="1:26">
      <c r="A85" s="33" t="str" cm="1">
        <f t="array" ref="A85">INDEX(A$9:A$40,MATCH($J85,$J$9:$J$40,0),0)</f>
        <v xml:space="preserve">Capacitors </v>
      </c>
      <c r="B85" s="33" t="str" cm="1">
        <f t="array" ref="B85">INDEX(B$9:B$40,MATCH($A85,$A$9:$A$40,0),0)</f>
        <v>2024/25</v>
      </c>
      <c r="C85" s="33" t="str" cm="1">
        <f t="array" ref="C85">INDEX(C$9:C$40,MATCH($J85,$J$9:$J$40,0),0)</f>
        <v>Transmission Assets</v>
      </c>
      <c r="D85" s="33" t="str" cm="1">
        <f t="array" ref="D85">INDEX(D$9:D$40,MATCH($J85,$J$9:$J$40,0),0)</f>
        <v>Replacement expenditure</v>
      </c>
      <c r="E85" s="33" cm="1">
        <f t="array" ref="E85">INDEX(E$9:E$40,MATCH($J85,$J$9:$J$40,0),0)</f>
        <v>161218.38741946433</v>
      </c>
      <c r="F85" s="33" cm="1">
        <f t="array" ref="F85">INDEX(F$9:F$40,MATCH($J85,$J$9:$J$40,0),0)</f>
        <v>-4426.3111338072313</v>
      </c>
      <c r="G85" s="33" cm="1">
        <f t="array" ref="G85">INDEX(G$9:G$40,MATCH($J85,$J$9:$J$40,0),0)</f>
        <v>0</v>
      </c>
      <c r="H85" s="33" cm="1">
        <f t="array" ref="H85">INDEX(H$9:H$40,MATCH($J85,$J$9:$J$40,0),0)</f>
        <v>0</v>
      </c>
      <c r="I85" s="33" cm="1">
        <f t="array" ref="I85">INDEX(I$9:I$40,MATCH($J85,$J$9:$J$40,0),0)</f>
        <v>0</v>
      </c>
      <c r="J85" s="45">
        <f t="shared" si="16"/>
        <v>156792.07628565709</v>
      </c>
      <c r="L85" s="33" t="str" cm="1">
        <f t="array" aca="1" ref="L85" ca="1">INDEX(L$9:L$66,MATCH($V85,$V$9:$V$66,0),0)</f>
        <v>Asset Integration - CMMS Uplift (Placeholder)</v>
      </c>
      <c r="M85" s="33" t="str" cm="1">
        <f t="array" aca="1" ref="M85" ca="1">INDEX(M$9:M$66,MATCH($V85,$V$9:$V$66,0),0)</f>
        <v>2024/25</v>
      </c>
      <c r="N85" s="33" t="str" cm="1">
        <f t="array" aca="1" ref="N85" ca="1">INDEX(N$9:N$66,MATCH($V85,$V$9:$V$66,0),0)</f>
        <v>Transmission Assets</v>
      </c>
      <c r="O85" s="33" t="str" cm="1">
        <f t="array" aca="1" ref="O85" ca="1">INDEX(O$9:O$66,MATCH($V85,$V$9:$V$66,0),0)</f>
        <v>Replacement expenditure</v>
      </c>
      <c r="P85" s="33"/>
      <c r="Q85" s="33" cm="1">
        <f t="array" aca="1" ref="Q85" ca="1">INDEX(Q$9:Q$66,MATCH($V85,$V$9:$V$66,0),0)</f>
        <v>272976</v>
      </c>
      <c r="R85" s="33" cm="1">
        <f t="array" aca="1" ref="R85" ca="1">INDEX(R$9:R$66,MATCH($V85,$V$9:$V$66,0),0)</f>
        <v>136488</v>
      </c>
      <c r="S85" s="33" cm="1">
        <f t="array" aca="1" ref="S85" ca="1">INDEX(S$9:S$66,MATCH($V85,$V$9:$V$66,0),0)</f>
        <v>0</v>
      </c>
      <c r="T85" s="33" cm="1">
        <f t="array" aca="1" ref="T85" ca="1">INDEX(T$9:T$66,MATCH($V85,$V$9:$V$66,0),0)</f>
        <v>0</v>
      </c>
      <c r="U85" s="33" cm="1">
        <f t="array" aca="1" ref="U85" ca="1">INDEX(U$9:U$66,MATCH($V85,$V$9:$V$66,0),0)</f>
        <v>0</v>
      </c>
      <c r="V85" s="45">
        <f t="shared" ca="1" si="17"/>
        <v>409464</v>
      </c>
    </row>
    <row r="86" spans="1:26">
      <c r="A86" s="33" t="str" cm="1">
        <f t="array" ref="A86">INDEX(A$9:A$40,MATCH($J86,$J$9:$J$40,0),0)</f>
        <v>Optic Fibres</v>
      </c>
      <c r="B86" s="33" t="str" cm="1">
        <f t="array" ref="B86">INDEX(B$9:B$40,MATCH($A86,$A$9:$A$40,0),0)</f>
        <v>2024/25</v>
      </c>
      <c r="C86" s="33" t="str" cm="1">
        <f t="array" ref="C86">INDEX(C$9:C$40,MATCH($J86,$J$9:$J$40,0),0)</f>
        <v>Transmission Assets</v>
      </c>
      <c r="D86" s="33" t="str" cm="1">
        <f t="array" ref="D86">INDEX(D$9:D$40,MATCH($J86,$J$9:$J$40,0),0)</f>
        <v>Replacement expenditure</v>
      </c>
      <c r="E86" s="33" cm="1">
        <f t="array" ref="E86">INDEX(E$9:E$40,MATCH($J86,$J$9:$J$40,0),0)</f>
        <v>134532.24782725965</v>
      </c>
      <c r="F86" s="33" cm="1">
        <f t="array" ref="F86">INDEX(F$9:F$40,MATCH($J86,$J$9:$J$40,0),0)</f>
        <v>0</v>
      </c>
      <c r="G86" s="33" cm="1">
        <f t="array" ref="G86">INDEX(G$9:G$40,MATCH($J86,$J$9:$J$40,0),0)</f>
        <v>3093.4143050800003</v>
      </c>
      <c r="H86" s="33" cm="1">
        <f t="array" ref="H86">INDEX(H$9:H$40,MATCH($J86,$J$9:$J$40,0),0)</f>
        <v>0</v>
      </c>
      <c r="I86" s="33" cm="1">
        <f t="array" ref="I86">INDEX(I$9:I$40,MATCH($J86,$J$9:$J$40,0),0)</f>
        <v>0</v>
      </c>
      <c r="J86" s="45">
        <f t="shared" si="16"/>
        <v>137625.66213233964</v>
      </c>
      <c r="L86" s="33" t="str" cm="1">
        <f t="array" aca="1" ref="L86" ca="1">INDEX(L$9:L$66,MATCH($V86,$V$9:$V$66,0),0)</f>
        <v>Operations Asset Integration</v>
      </c>
      <c r="M86" s="33" t="str" cm="1">
        <f t="array" aca="1" ref="M86" ca="1">INDEX(M$9:M$66,MATCH($V86,$V$9:$V$66,0),0)</f>
        <v>2024/25</v>
      </c>
      <c r="N86" s="33" t="str" cm="1">
        <f t="array" aca="1" ref="N86" ca="1">INDEX(N$9:N$66,MATCH($V86,$V$9:$V$66,0),0)</f>
        <v>Transmission Assets</v>
      </c>
      <c r="O86" s="33" t="str" cm="1">
        <f t="array" aca="1" ref="O86" ca="1">INDEX(O$9:O$66,MATCH($V86,$V$9:$V$66,0),0)</f>
        <v>Replacement expenditure</v>
      </c>
      <c r="P86" s="33"/>
      <c r="Q86" s="33" cm="1">
        <f t="array" aca="1" ref="Q86" ca="1">INDEX(Q$9:Q$66,MATCH($V86,$V$9:$V$66,0),0)</f>
        <v>92811.839999999997</v>
      </c>
      <c r="R86" s="33" cm="1">
        <f t="array" aca="1" ref="R86" ca="1">INDEX(R$9:R$66,MATCH($V86,$V$9:$V$66,0),0)</f>
        <v>92811.839999999997</v>
      </c>
      <c r="S86" s="33" cm="1">
        <f t="array" aca="1" ref="S86" ca="1">INDEX(S$9:S$66,MATCH($V86,$V$9:$V$66,0),0)</f>
        <v>92811.839999999997</v>
      </c>
      <c r="T86" s="33" cm="1">
        <f t="array" aca="1" ref="T86" ca="1">INDEX(T$9:T$66,MATCH($V86,$V$9:$V$66,0),0)</f>
        <v>92811.839999999997</v>
      </c>
      <c r="U86" s="33" cm="1">
        <f t="array" aca="1" ref="U86" ca="1">INDEX(U$9:U$66,MATCH($V86,$V$9:$V$66,0),0)</f>
        <v>0</v>
      </c>
      <c r="V86" s="45">
        <f t="shared" ca="1" si="17"/>
        <v>371247.35999999999</v>
      </c>
    </row>
    <row r="87" spans="1:26">
      <c r="A87" s="33" t="str" cm="1">
        <f t="array" ref="A87">INDEX(A$9:A$40,MATCH($J87,$J$9:$J$40,0),0)</f>
        <v xml:space="preserve">Cable Modification Program
</v>
      </c>
      <c r="B87" s="33" t="str" cm="1">
        <f t="array" ref="B87">INDEX(B$9:B$40,MATCH($A87,$A$9:$A$40,0),0)</f>
        <v>2024/25</v>
      </c>
      <c r="C87" s="33" t="str" cm="1">
        <f t="array" ref="C87">INDEX(C$9:C$40,MATCH($J87,$J$9:$J$40,0),0)</f>
        <v>Transmission Assets</v>
      </c>
      <c r="D87" s="33" t="str" cm="1">
        <f t="array" ref="D87">INDEX(D$9:D$40,MATCH($J87,$J$9:$J$40,0),0)</f>
        <v>Replacement expenditure</v>
      </c>
      <c r="E87" s="33" cm="1">
        <f t="array" ref="E87">INDEX(E$9:E$40,MATCH($J87,$J$9:$J$40,0),0)</f>
        <v>0</v>
      </c>
      <c r="F87" s="33" cm="1">
        <f t="array" ref="F87">INDEX(F$9:F$40,MATCH($J87,$J$9:$J$40,0),0)</f>
        <v>56880.509987485973</v>
      </c>
      <c r="G87" s="33" cm="1">
        <f t="array" ref="G87">INDEX(G$9:G$40,MATCH($J87,$J$9:$J$40,0),0)</f>
        <v>72040.984177800012</v>
      </c>
      <c r="H87" s="33" cm="1">
        <f t="array" ref="H87">INDEX(H$9:H$40,MATCH($J87,$J$9:$J$40,0),0)</f>
        <v>0</v>
      </c>
      <c r="I87" s="33" cm="1">
        <f t="array" ref="I87">INDEX(I$9:I$40,MATCH($J87,$J$9:$J$40,0),0)</f>
        <v>0</v>
      </c>
      <c r="J87" s="45">
        <f t="shared" si="16"/>
        <v>128921.49416528599</v>
      </c>
      <c r="L87" s="33" t="str" cm="1">
        <f t="array" aca="1" ref="L87" ca="1">INDEX(L$9:L$66,MATCH($V87,$V$9:$V$66,0),0)</f>
        <v>Cable Tray Install and Cable Relocation</v>
      </c>
      <c r="M87" s="33" t="str" cm="1">
        <f t="array" aca="1" ref="M87" ca="1">INDEX(M$9:M$66,MATCH($V87,$V$9:$V$66,0),0)</f>
        <v>2024/25</v>
      </c>
      <c r="N87" s="33" t="str" cm="1">
        <f t="array" aca="1" ref="N87" ca="1">INDEX(N$9:N$66,MATCH($V87,$V$9:$V$66,0),0)</f>
        <v>Transmission Assets</v>
      </c>
      <c r="O87" s="33" t="str" cm="1">
        <f t="array" aca="1" ref="O87" ca="1">INDEX(O$9:O$66,MATCH($V87,$V$9:$V$66,0),0)</f>
        <v>Replacement expenditure</v>
      </c>
      <c r="P87" s="33"/>
      <c r="Q87" s="33" cm="1">
        <f t="array" aca="1" ref="Q87" ca="1">INDEX(Q$9:Q$66,MATCH($V87,$V$9:$V$66,0),0)</f>
        <v>0</v>
      </c>
      <c r="R87" s="33" cm="1">
        <f t="array" aca="1" ref="R87" ca="1">INDEX(R$9:R$66,MATCH($V87,$V$9:$V$66,0),0)</f>
        <v>341220</v>
      </c>
      <c r="S87" s="33" cm="1">
        <f t="array" aca="1" ref="S87" ca="1">INDEX(S$9:S$66,MATCH($V87,$V$9:$V$66,0),0)</f>
        <v>0</v>
      </c>
      <c r="T87" s="33" cm="1">
        <f t="array" aca="1" ref="T87" ca="1">INDEX(T$9:T$66,MATCH($V87,$V$9:$V$66,0),0)</f>
        <v>0</v>
      </c>
      <c r="U87" s="33" cm="1">
        <f t="array" aca="1" ref="U87" ca="1">INDEX(U$9:U$66,MATCH($V87,$V$9:$V$66,0),0)</f>
        <v>0</v>
      </c>
      <c r="V87" s="45">
        <f t="shared" ca="1" si="17"/>
        <v>341220</v>
      </c>
    </row>
    <row r="88" spans="1:26">
      <c r="A88" s="33" t="str" cm="1">
        <f t="array" ref="A88">INDEX(A$9:A$40,MATCH($J88,$J$9:$J$40,0),0)</f>
        <v>DL Mullumbimby Facilities Impr</v>
      </c>
      <c r="B88" s="33" t="str" cm="1">
        <f t="array" ref="B88">INDEX(B$9:B$40,MATCH($A88,$A$9:$A$40,0),0)</f>
        <v>2024/25</v>
      </c>
      <c r="C88" s="33" t="str" cm="1">
        <f t="array" ref="C88">INDEX(C$9:C$40,MATCH($J88,$J$9:$J$40,0),0)</f>
        <v>Buildings</v>
      </c>
      <c r="D88" s="33" t="str" cm="1">
        <f t="array" ref="D88">INDEX(D$9:D$40,MATCH($J88,$J$9:$J$40,0),0)</f>
        <v>Replacement expenditure</v>
      </c>
      <c r="E88" s="33" cm="1">
        <f t="array" ref="E88">INDEX(E$9:E$40,MATCH($J88,$J$9:$J$40,0),0)</f>
        <v>0</v>
      </c>
      <c r="F88" s="33" cm="1">
        <f t="array" ref="F88">INDEX(F$9:F$40,MATCH($J88,$J$9:$J$40,0),0)</f>
        <v>0</v>
      </c>
      <c r="G88" s="33" cm="1">
        <f t="array" ref="G88">INDEX(G$9:G$40,MATCH($J88,$J$9:$J$40,0),0)</f>
        <v>126782.27799644001</v>
      </c>
      <c r="H88" s="33" cm="1">
        <f t="array" ref="H88">INDEX(H$9:H$40,MATCH($J88,$J$9:$J$40,0),0)</f>
        <v>0</v>
      </c>
      <c r="I88" s="33" cm="1">
        <f t="array" ref="I88">INDEX(I$9:I$40,MATCH($J88,$J$9:$J$40,0),0)</f>
        <v>0</v>
      </c>
      <c r="J88" s="45">
        <f t="shared" si="16"/>
        <v>126782.27799644001</v>
      </c>
      <c r="L88" s="33" t="str" cm="1">
        <f t="array" aca="1" ref="L88" ca="1">INDEX(L$9:L$66,MATCH($V88,$V$9:$V$66,0),0)</f>
        <v>Bungalora Storage Facilities</v>
      </c>
      <c r="M88" s="33" t="str" cm="1">
        <f t="array" aca="1" ref="M88" ca="1">INDEX(M$9:M$66,MATCH($V88,$V$9:$V$66,0),0)</f>
        <v>2024/25</v>
      </c>
      <c r="N88" s="33" t="str" cm="1">
        <f t="array" aca="1" ref="N88" ca="1">INDEX(N$9:N$66,MATCH($V88,$V$9:$V$66,0),0)</f>
        <v>Buildings</v>
      </c>
      <c r="O88" s="33" t="str" cm="1">
        <f t="array" aca="1" ref="O88" ca="1">INDEX(O$9:O$66,MATCH($V88,$V$9:$V$66,0),0)</f>
        <v>Replacement expenditure</v>
      </c>
      <c r="P88" s="33"/>
      <c r="Q88" s="33" cm="1">
        <f t="array" aca="1" ref="Q88" ca="1">INDEX(Q$9:Q$66,MATCH($V88,$V$9:$V$66,0),0)</f>
        <v>337807.8</v>
      </c>
      <c r="R88" s="33" cm="1">
        <f t="array" aca="1" ref="R88" ca="1">INDEX(R$9:R$66,MATCH($V88,$V$9:$V$66,0),0)</f>
        <v>0</v>
      </c>
      <c r="S88" s="33" cm="1">
        <f t="array" aca="1" ref="S88" ca="1">INDEX(S$9:S$66,MATCH($V88,$V$9:$V$66,0),0)</f>
        <v>0</v>
      </c>
      <c r="T88" s="33" cm="1">
        <f t="array" aca="1" ref="T88" ca="1">INDEX(T$9:T$66,MATCH($V88,$V$9:$V$66,0),0)</f>
        <v>0</v>
      </c>
      <c r="U88" s="33" cm="1">
        <f t="array" aca="1" ref="U88" ca="1">INDEX(U$9:U$66,MATCH($V88,$V$9:$V$66,0),0)</f>
        <v>0</v>
      </c>
      <c r="V88" s="45">
        <f t="shared" ca="1" si="17"/>
        <v>337807.8</v>
      </c>
    </row>
    <row r="89" spans="1:26">
      <c r="A89" s="33" t="str" cm="1">
        <f t="array" ref="A89">INDEX(A$9:A$40,MATCH($J89,$J$9:$J$40,0),0)</f>
        <v>Mid-Life Criticality Assessment</v>
      </c>
      <c r="B89" s="33" t="str" cm="1">
        <f t="array" ref="B89">INDEX(B$9:B$40,MATCH($A89,$A$9:$A$40,0),0)</f>
        <v>2024/25</v>
      </c>
      <c r="C89" s="33" t="str" cm="1">
        <f t="array" ref="C89">INDEX(C$9:C$40,MATCH($J89,$J$9:$J$40,0),0)</f>
        <v>Transmission Assets</v>
      </c>
      <c r="D89" s="33" t="str" cm="1">
        <f t="array" ref="D89">INDEX(D$9:D$40,MATCH($J89,$J$9:$J$40,0),0)</f>
        <v>Replacement expenditure</v>
      </c>
      <c r="E89" s="33" cm="1">
        <f t="array" ref="E89">INDEX(E$9:E$40,MATCH($J89,$J$9:$J$40,0),0)</f>
        <v>0</v>
      </c>
      <c r="F89" s="33" cm="1">
        <f t="array" ref="F89">INDEX(F$9:F$40,MATCH($J89,$J$9:$J$40,0),0)</f>
        <v>0</v>
      </c>
      <c r="G89" s="33" cm="1">
        <f t="array" ref="G89">INDEX(G$9:G$40,MATCH($J89,$J$9:$J$40,0),0)</f>
        <v>0</v>
      </c>
      <c r="H89" s="33" cm="1">
        <f t="array" ref="H89">INDEX(H$9:H$40,MATCH($J89,$J$9:$J$40,0),0)</f>
        <v>113740.00000000001</v>
      </c>
      <c r="I89" s="33" cm="1">
        <f t="array" ref="I89">INDEX(I$9:I$40,MATCH($J89,$J$9:$J$40,0),0)</f>
        <v>0</v>
      </c>
      <c r="J89" s="45">
        <f t="shared" si="16"/>
        <v>113740.00000000001</v>
      </c>
      <c r="L89" s="33" t="str" cm="1">
        <f t="array" aca="1" ref="L89" ca="1">INDEX(L$9:L$66,MATCH($V89,$V$9:$V$66,0),0)</f>
        <v>Transmission Determination cost</v>
      </c>
      <c r="M89" s="33" t="str" cm="1">
        <f t="array" aca="1" ref="M89" ca="1">INDEX(M$9:M$66,MATCH($V89,$V$9:$V$66,0),0)</f>
        <v>2024/25</v>
      </c>
      <c r="N89" s="33" t="str" cm="1">
        <f t="array" aca="1" ref="N89" ca="1">INDEX(N$9:N$66,MATCH($V89,$V$9:$V$66,0),0)</f>
        <v>Transmission Determination Costs</v>
      </c>
      <c r="O89" s="33" t="str" cm="1">
        <f t="array" aca="1" ref="O89" ca="1">INDEX(O$9:O$66,MATCH($V89,$V$9:$V$66,0),0)</f>
        <v>Replacement expenditure</v>
      </c>
      <c r="P89" s="33"/>
      <c r="Q89" s="33" cm="1">
        <f t="array" aca="1" ref="Q89" ca="1">INDEX(Q$9:Q$66,MATCH($V89,$V$9:$V$66,0),0)</f>
        <v>0</v>
      </c>
      <c r="R89" s="33" cm="1">
        <f t="array" aca="1" ref="R89" ca="1">INDEX(R$9:R$66,MATCH($V89,$V$9:$V$66,0),0)</f>
        <v>0</v>
      </c>
      <c r="S89" s="33" cm="1">
        <f t="array" aca="1" ref="S89" ca="1">INDEX(S$9:S$66,MATCH($V89,$V$9:$V$66,0),0)</f>
        <v>0</v>
      </c>
      <c r="T89" s="33" cm="1">
        <f t="array" aca="1" ref="T89" ca="1">INDEX(T$9:T$66,MATCH($V89,$V$9:$V$66,0),0)</f>
        <v>146388.55000000002</v>
      </c>
      <c r="U89" s="33" cm="1">
        <f t="array" aca="1" ref="U89" ca="1">INDEX(U$9:U$66,MATCH($V89,$V$9:$V$66,0),0)</f>
        <v>146388.55000000002</v>
      </c>
      <c r="V89" s="45">
        <f t="shared" ca="1" si="17"/>
        <v>292777.10000000003</v>
      </c>
    </row>
    <row r="91" spans="1:26" ht="19.5">
      <c r="A91" s="2" t="s">
        <v>171</v>
      </c>
      <c r="B91" s="2"/>
      <c r="C91" s="2"/>
      <c r="D91" s="2"/>
      <c r="E91" s="2"/>
      <c r="F91" s="2"/>
      <c r="G91" s="2"/>
      <c r="H91" s="2"/>
      <c r="I91" s="2"/>
      <c r="J91" s="2"/>
      <c r="K91" s="2"/>
      <c r="L91" s="2" t="s">
        <v>172</v>
      </c>
      <c r="M91" s="2"/>
      <c r="N91" s="2"/>
      <c r="O91" s="2"/>
      <c r="P91" s="2"/>
      <c r="Q91" s="2"/>
      <c r="R91" s="2"/>
      <c r="S91" s="2"/>
      <c r="T91" s="2"/>
      <c r="U91" s="2"/>
      <c r="V91" s="2"/>
      <c r="W91" s="2"/>
      <c r="X91" s="2"/>
      <c r="Y91" s="2"/>
      <c r="Z91" s="2"/>
    </row>
    <row r="92" spans="1:26" ht="16.5">
      <c r="A92" s="4" t="str">
        <f>A69</f>
        <v>Current Period ($2018 '000)</v>
      </c>
      <c r="B92" s="4"/>
      <c r="C92" s="4"/>
      <c r="D92" s="4"/>
      <c r="E92" s="4"/>
      <c r="F92" s="4"/>
      <c r="G92" s="4"/>
      <c r="H92" s="4"/>
      <c r="I92" s="4"/>
      <c r="J92" s="4"/>
      <c r="L92" s="4" t="str">
        <f>L69</f>
        <v>Forecast Period ($FY 2022/23 '000)</v>
      </c>
      <c r="M92" s="4"/>
      <c r="N92" s="4"/>
      <c r="O92" s="4"/>
      <c r="P92" s="4"/>
      <c r="Q92" s="4"/>
      <c r="R92" s="4"/>
      <c r="S92" s="4"/>
      <c r="T92" s="4"/>
      <c r="U92" s="4"/>
      <c r="V92" s="4"/>
    </row>
    <row r="93" spans="1:26">
      <c r="A93" s="3" t="str">
        <f>A70</f>
        <v>Project</v>
      </c>
      <c r="B93" s="3" t="str">
        <f t="shared" ref="B93:J93" si="18">B70</f>
        <v>$</v>
      </c>
      <c r="C93" s="3" t="str">
        <f t="shared" si="18"/>
        <v>Asset Class</v>
      </c>
      <c r="D93" s="3" t="str">
        <f t="shared" si="18"/>
        <v>Asset Driver</v>
      </c>
      <c r="E93" s="3" t="str">
        <f t="shared" si="18"/>
        <v>2020/21</v>
      </c>
      <c r="F93" s="3" t="str">
        <f t="shared" si="18"/>
        <v>2021/22</v>
      </c>
      <c r="G93" s="3" t="str">
        <f t="shared" si="18"/>
        <v>2022/23</v>
      </c>
      <c r="H93" s="3" t="str">
        <f t="shared" si="18"/>
        <v>2023/24</v>
      </c>
      <c r="I93" s="3" t="str">
        <f t="shared" si="18"/>
        <v>2024/25</v>
      </c>
      <c r="J93" s="3" t="str">
        <f t="shared" si="18"/>
        <v>Total</v>
      </c>
      <c r="L93" s="3" t="str">
        <f>L70</f>
        <v>Project</v>
      </c>
      <c r="M93" s="3" t="str">
        <f t="shared" ref="M93:V93" si="19">M70</f>
        <v>input</v>
      </c>
      <c r="N93" s="3" t="str">
        <f t="shared" si="19"/>
        <v>Asset Class</v>
      </c>
      <c r="O93" s="3" t="str">
        <f t="shared" si="19"/>
        <v>Asset Driver</v>
      </c>
      <c r="P93" s="3"/>
      <c r="Q93" s="3" t="str">
        <f t="shared" si="19"/>
        <v>2025/26</v>
      </c>
      <c r="R93" s="3" t="str">
        <f t="shared" si="19"/>
        <v>2026/27</v>
      </c>
      <c r="S93" s="3" t="str">
        <f t="shared" si="19"/>
        <v>2027/28</v>
      </c>
      <c r="T93" s="3" t="str">
        <f t="shared" si="19"/>
        <v>2028/29</v>
      </c>
      <c r="U93" s="3" t="str">
        <f t="shared" si="19"/>
        <v>2029/30</v>
      </c>
      <c r="V93" s="3" t="str">
        <f t="shared" si="19"/>
        <v>Total</v>
      </c>
    </row>
    <row r="95" spans="1:26">
      <c r="A95" s="43" t="str">
        <f>IF(J72&gt;1500000,A72,"")</f>
        <v>Obsolete IGBTs</v>
      </c>
      <c r="B95" s="43" t="str">
        <f>IF($J72&gt;1500000,B72,"")</f>
        <v>2024/25</v>
      </c>
      <c r="C95" s="43" t="str">
        <f>IF($J72&gt;1500000,C72,"")</f>
        <v>Transmission Assets</v>
      </c>
      <c r="D95" s="43" t="str">
        <f>IF($J72&gt;1500000,D72,"")</f>
        <v>Replacement expenditure</v>
      </c>
      <c r="E95" s="33">
        <f>IF($J72&gt;1500000,E72,"")</f>
        <v>0</v>
      </c>
      <c r="F95" s="33">
        <f t="shared" ref="F95:I95" si="20">IF($J72&gt;1500000,F72,"")</f>
        <v>1317832.5746397122</v>
      </c>
      <c r="G95" s="33">
        <f t="shared" si="20"/>
        <v>6610911.1557249213</v>
      </c>
      <c r="H95" s="33">
        <f t="shared" si="20"/>
        <v>10627280.976400001</v>
      </c>
      <c r="I95" s="33">
        <f t="shared" si="20"/>
        <v>1438086.1547795087</v>
      </c>
      <c r="J95" s="45">
        <f>SUM(E95:I95)</f>
        <v>19994110.861544143</v>
      </c>
      <c r="L95" s="43" t="str">
        <f ca="1">IF(V72&gt;1500000,L72,"")</f>
        <v>Spares Management</v>
      </c>
      <c r="M95" s="43" t="str">
        <f ca="1">IF($V72&gt;1500000,M72,"")</f>
        <v>2024/25</v>
      </c>
      <c r="N95" s="43" t="str">
        <f ca="1">IF($V72&gt;1500000,N72,"")</f>
        <v>Transmission Assets</v>
      </c>
      <c r="O95" s="43" t="str">
        <f ca="1">IF($V72&gt;1500000,O72,"")</f>
        <v>Replacement expenditure</v>
      </c>
      <c r="P95" s="43"/>
      <c r="Q95" s="33">
        <f ca="1">IF($V72&gt;1500000,Q72,"")</f>
        <v>1836136.7809400002</v>
      </c>
      <c r="R95" s="33">
        <f t="shared" ref="R95:U95" ca="1" si="21">IF($V72&gt;1500000,R72,"")</f>
        <v>1216547.2301400003</v>
      </c>
      <c r="S95" s="33">
        <f t="shared" ca="1" si="21"/>
        <v>1698511.3809400003</v>
      </c>
      <c r="T95" s="33">
        <f t="shared" ca="1" si="21"/>
        <v>1548374.5809400002</v>
      </c>
      <c r="U95" s="33">
        <f t="shared" ca="1" si="21"/>
        <v>6211830.0270400019</v>
      </c>
      <c r="V95" s="45">
        <f ca="1">SUM(Q95:U95)</f>
        <v>12511400.000000004</v>
      </c>
    </row>
    <row r="96" spans="1:26">
      <c r="A96" s="43" t="str">
        <f t="shared" ref="A96:A104" si="22">IF(J73&gt;1500000,A73,"")</f>
        <v>HVDC Spare Cable Order</v>
      </c>
      <c r="B96" s="43" t="str">
        <f t="shared" ref="B96:I96" si="23">IF($J73&gt;1500000,B73,"")</f>
        <v>2024/25</v>
      </c>
      <c r="C96" s="43" t="str">
        <f t="shared" si="23"/>
        <v>Transmission Assets</v>
      </c>
      <c r="D96" s="43" t="str">
        <f t="shared" si="23"/>
        <v>Replacement expenditure</v>
      </c>
      <c r="E96" s="33">
        <f t="shared" si="23"/>
        <v>0</v>
      </c>
      <c r="F96" s="33">
        <f t="shared" si="23"/>
        <v>0</v>
      </c>
      <c r="G96" s="33">
        <f t="shared" si="23"/>
        <v>0</v>
      </c>
      <c r="H96" s="33">
        <f t="shared" si="23"/>
        <v>796180.00000000012</v>
      </c>
      <c r="I96" s="33">
        <f t="shared" si="23"/>
        <v>712932.22970655549</v>
      </c>
      <c r="J96" s="45">
        <f>SUM(E96:I96)</f>
        <v>1509112.2297065556</v>
      </c>
      <c r="L96" s="43" t="str">
        <f t="shared" ref="L96:L98" ca="1" si="24">IF(V73&gt;1500000,L73,"")</f>
        <v>IGBT Generation 3 Upgrade</v>
      </c>
      <c r="M96" s="43" t="str">
        <f t="shared" ref="M96:O96" ca="1" si="25">IF($V73&gt;1500000,M73,"")</f>
        <v>2024/25</v>
      </c>
      <c r="N96" s="43" t="str">
        <f t="shared" ca="1" si="25"/>
        <v>Transmission Assets</v>
      </c>
      <c r="O96" s="43" t="str">
        <f t="shared" ca="1" si="25"/>
        <v>Replacement expenditure</v>
      </c>
      <c r="P96" s="43"/>
      <c r="Q96" s="33">
        <f t="shared" ref="Q96:U96" ca="1" si="26">IF($V73&gt;1500000,Q73,"")</f>
        <v>6058148.406200001</v>
      </c>
      <c r="R96" s="33">
        <f t="shared" ca="1" si="26"/>
        <v>0</v>
      </c>
      <c r="S96" s="33">
        <f t="shared" ca="1" si="26"/>
        <v>0</v>
      </c>
      <c r="T96" s="33">
        <f t="shared" ca="1" si="26"/>
        <v>0</v>
      </c>
      <c r="U96" s="33">
        <f t="shared" ca="1" si="26"/>
        <v>0</v>
      </c>
      <c r="V96" s="45">
        <f ca="1">SUM(Q96:U96)</f>
        <v>6058148.406200001</v>
      </c>
    </row>
    <row r="97" spans="1:27">
      <c r="A97" s="43" t="str">
        <f t="shared" si="22"/>
        <v/>
      </c>
      <c r="B97" s="43" t="str">
        <f t="shared" ref="B97:I97" si="27">IF($J74&gt;1500000,B74,"")</f>
        <v/>
      </c>
      <c r="C97" s="43" t="str">
        <f t="shared" si="27"/>
        <v/>
      </c>
      <c r="D97" s="43" t="str">
        <f t="shared" si="27"/>
        <v/>
      </c>
      <c r="E97" s="33" t="str">
        <f t="shared" si="27"/>
        <v/>
      </c>
      <c r="F97" s="33" t="str">
        <f t="shared" si="27"/>
        <v/>
      </c>
      <c r="G97" s="33" t="str">
        <f t="shared" si="27"/>
        <v/>
      </c>
      <c r="H97" s="33" t="str">
        <f t="shared" si="27"/>
        <v/>
      </c>
      <c r="I97" s="33" t="str">
        <f t="shared" si="27"/>
        <v/>
      </c>
      <c r="J97" s="45">
        <f>SUM(E97:I97)</f>
        <v>0</v>
      </c>
      <c r="L97" s="43" t="str">
        <f t="shared" ca="1" si="24"/>
        <v>Physical Site Security and Public Protection - Mullumbimby</v>
      </c>
      <c r="M97" s="43" t="str">
        <f t="shared" ref="M97:O97" ca="1" si="28">IF($V74&gt;1500000,M74,"")</f>
        <v>2024/25</v>
      </c>
      <c r="N97" s="43" t="str">
        <f t="shared" ca="1" si="28"/>
        <v>Buildings</v>
      </c>
      <c r="O97" s="43" t="str">
        <f t="shared" ca="1" si="28"/>
        <v>Replacement expenditure</v>
      </c>
      <c r="P97" s="43"/>
      <c r="Q97" s="33">
        <f t="shared" ref="Q97:U97" ca="1" si="29">IF($V74&gt;1500000,Q74,"")</f>
        <v>1487257.8544152684</v>
      </c>
      <c r="R97" s="33">
        <f t="shared" ca="1" si="29"/>
        <v>703616.2994075364</v>
      </c>
      <c r="S97" s="33">
        <f t="shared" ca="1" si="29"/>
        <v>0</v>
      </c>
      <c r="T97" s="33">
        <f t="shared" ca="1" si="29"/>
        <v>0</v>
      </c>
      <c r="U97" s="33">
        <f t="shared" ca="1" si="29"/>
        <v>0</v>
      </c>
      <c r="V97" s="45">
        <f ca="1">SUM(Q97:U97)</f>
        <v>2190874.1538228048</v>
      </c>
    </row>
    <row r="98" spans="1:27">
      <c r="A98" s="43" t="str">
        <f t="shared" si="22"/>
        <v/>
      </c>
      <c r="B98" s="43" t="str">
        <f t="shared" ref="B98:I98" si="30">IF($J75&gt;1500000,B75,"")</f>
        <v/>
      </c>
      <c r="C98" s="43" t="str">
        <f t="shared" si="30"/>
        <v/>
      </c>
      <c r="D98" s="43" t="str">
        <f t="shared" si="30"/>
        <v/>
      </c>
      <c r="E98" s="33" t="str">
        <f t="shared" si="30"/>
        <v/>
      </c>
      <c r="F98" s="33" t="str">
        <f t="shared" si="30"/>
        <v/>
      </c>
      <c r="G98" s="33" t="str">
        <f t="shared" si="30"/>
        <v/>
      </c>
      <c r="H98" s="33" t="str">
        <f t="shared" si="30"/>
        <v/>
      </c>
      <c r="I98" s="33" t="str">
        <f t="shared" si="30"/>
        <v/>
      </c>
      <c r="J98" s="45">
        <f>SUM(E98:I98)</f>
        <v>0</v>
      </c>
      <c r="L98" s="43" t="str">
        <f t="shared" ca="1" si="24"/>
        <v>Reactor cooling enhancements</v>
      </c>
      <c r="M98" s="43" t="str">
        <f t="shared" ref="M98:O98" ca="1" si="31">IF($V75&gt;1500000,M75,"")</f>
        <v>2024/25</v>
      </c>
      <c r="N98" s="43" t="str">
        <f t="shared" ca="1" si="31"/>
        <v>Transmission Assets</v>
      </c>
      <c r="O98" s="43" t="str">
        <f t="shared" ca="1" si="31"/>
        <v>Replacement expenditure</v>
      </c>
      <c r="P98" s="43"/>
      <c r="Q98" s="33">
        <f t="shared" ref="Q98:U98" ca="1" si="32">IF($V75&gt;1500000,Q75,"")</f>
        <v>356233.68</v>
      </c>
      <c r="R98" s="33">
        <f t="shared" ca="1" si="32"/>
        <v>853050.00000000012</v>
      </c>
      <c r="S98" s="33">
        <f t="shared" ca="1" si="32"/>
        <v>853050.00000000012</v>
      </c>
      <c r="T98" s="33">
        <f t="shared" ca="1" si="32"/>
        <v>0</v>
      </c>
      <c r="U98" s="33">
        <f t="shared" ca="1" si="32"/>
        <v>0</v>
      </c>
      <c r="V98" s="45">
        <f ca="1">SUM(Q98:U98)</f>
        <v>2062333.6800000002</v>
      </c>
    </row>
    <row r="99" spans="1:27">
      <c r="A99" s="43" t="str">
        <f t="shared" si="22"/>
        <v/>
      </c>
      <c r="B99" s="43" t="str">
        <f t="shared" ref="B99:I99" si="33">IF($J76&gt;1500000,B76,"")</f>
        <v/>
      </c>
      <c r="C99" s="43" t="str">
        <f t="shared" si="33"/>
        <v/>
      </c>
      <c r="D99" s="43" t="str">
        <f t="shared" si="33"/>
        <v/>
      </c>
      <c r="E99" s="33" t="str">
        <f t="shared" si="33"/>
        <v/>
      </c>
      <c r="F99" s="33" t="str">
        <f t="shared" si="33"/>
        <v/>
      </c>
      <c r="G99" s="33" t="str">
        <f t="shared" si="33"/>
        <v/>
      </c>
      <c r="H99" s="33" t="str">
        <f t="shared" si="33"/>
        <v/>
      </c>
      <c r="I99" s="33" t="str">
        <f t="shared" si="33"/>
        <v/>
      </c>
      <c r="J99" s="45">
        <f>SUM(E99:I99)</f>
        <v>0</v>
      </c>
      <c r="L99" s="43" t="str">
        <f t="shared" ref="L99:L104" ca="1" si="34">IF(V76&gt;2000000,L76,"")</f>
        <v/>
      </c>
      <c r="M99" s="43" t="str">
        <f t="shared" ref="M99:O104" ca="1" si="35">IF($V76&gt;2000000,M76,"")</f>
        <v/>
      </c>
      <c r="N99" s="43" t="str">
        <f t="shared" ca="1" si="35"/>
        <v/>
      </c>
      <c r="O99" s="43" t="str">
        <f t="shared" ca="1" si="35"/>
        <v/>
      </c>
      <c r="P99" s="43"/>
      <c r="Q99" s="33" t="str">
        <f t="shared" ref="Q99:U104" ca="1" si="36">IF($V76&gt;2000000,Q76,"")</f>
        <v/>
      </c>
      <c r="R99" s="33" t="str">
        <f t="shared" ca="1" si="36"/>
        <v/>
      </c>
      <c r="S99" s="33" t="str">
        <f t="shared" ca="1" si="36"/>
        <v/>
      </c>
      <c r="T99" s="33" t="str">
        <f t="shared" ca="1" si="36"/>
        <v/>
      </c>
      <c r="U99" s="33" t="str">
        <f t="shared" ca="1" si="36"/>
        <v/>
      </c>
      <c r="V99" s="45">
        <f ca="1">SUM(Q99:U99)</f>
        <v>0</v>
      </c>
    </row>
    <row r="100" spans="1:27">
      <c r="A100" s="43" t="str">
        <f t="shared" si="22"/>
        <v/>
      </c>
      <c r="B100" s="43" t="str">
        <f t="shared" ref="B100:I100" si="37">IF($J77&gt;1500000,B77,"")</f>
        <v/>
      </c>
      <c r="C100" s="43" t="str">
        <f t="shared" si="37"/>
        <v/>
      </c>
      <c r="D100" s="43" t="str">
        <f t="shared" si="37"/>
        <v/>
      </c>
      <c r="E100" s="33" t="str">
        <f t="shared" si="37"/>
        <v/>
      </c>
      <c r="F100" s="33" t="str">
        <f t="shared" si="37"/>
        <v/>
      </c>
      <c r="G100" s="33" t="str">
        <f t="shared" si="37"/>
        <v/>
      </c>
      <c r="H100" s="33" t="str">
        <f t="shared" si="37"/>
        <v/>
      </c>
      <c r="I100" s="33" t="str">
        <f t="shared" si="37"/>
        <v/>
      </c>
      <c r="J100" s="45"/>
      <c r="L100" s="43" t="str">
        <f t="shared" ca="1" si="34"/>
        <v/>
      </c>
      <c r="M100" s="43" t="str">
        <f t="shared" ca="1" si="35"/>
        <v/>
      </c>
      <c r="N100" s="43" t="str">
        <f t="shared" ca="1" si="35"/>
        <v/>
      </c>
      <c r="O100" s="43" t="str">
        <f t="shared" ca="1" si="35"/>
        <v/>
      </c>
      <c r="P100" s="43"/>
      <c r="Q100" s="33" t="str">
        <f t="shared" ca="1" si="36"/>
        <v/>
      </c>
      <c r="R100" s="33" t="str">
        <f t="shared" ca="1" si="36"/>
        <v/>
      </c>
      <c r="S100" s="33" t="str">
        <f t="shared" ca="1" si="36"/>
        <v/>
      </c>
      <c r="T100" s="33" t="str">
        <f t="shared" ca="1" si="36"/>
        <v/>
      </c>
      <c r="U100" s="33" t="str">
        <f t="shared" ca="1" si="36"/>
        <v/>
      </c>
      <c r="V100" s="45">
        <f t="shared" ref="V100:V104" ca="1" si="38">SUM(Q100:U100)</f>
        <v>0</v>
      </c>
    </row>
    <row r="101" spans="1:27">
      <c r="A101" s="43" t="str">
        <f t="shared" si="22"/>
        <v/>
      </c>
      <c r="B101" s="43" t="str">
        <f t="shared" ref="B101:I101" si="39">IF($J78&gt;1500000,B78,"")</f>
        <v/>
      </c>
      <c r="C101" s="43" t="str">
        <f t="shared" si="39"/>
        <v/>
      </c>
      <c r="D101" s="43" t="str">
        <f t="shared" si="39"/>
        <v/>
      </c>
      <c r="E101" s="33" t="str">
        <f t="shared" si="39"/>
        <v/>
      </c>
      <c r="F101" s="33" t="str">
        <f t="shared" si="39"/>
        <v/>
      </c>
      <c r="G101" s="33" t="str">
        <f t="shared" si="39"/>
        <v/>
      </c>
      <c r="H101" s="33" t="str">
        <f t="shared" si="39"/>
        <v/>
      </c>
      <c r="I101" s="33" t="str">
        <f t="shared" si="39"/>
        <v/>
      </c>
      <c r="J101" s="45"/>
      <c r="L101" s="43" t="str">
        <f t="shared" ca="1" si="34"/>
        <v/>
      </c>
      <c r="M101" s="43" t="str">
        <f t="shared" ca="1" si="35"/>
        <v/>
      </c>
      <c r="N101" s="43" t="str">
        <f t="shared" ca="1" si="35"/>
        <v/>
      </c>
      <c r="O101" s="43" t="str">
        <f t="shared" ca="1" si="35"/>
        <v/>
      </c>
      <c r="P101" s="43"/>
      <c r="Q101" s="33" t="str">
        <f t="shared" ca="1" si="36"/>
        <v/>
      </c>
      <c r="R101" s="33" t="str">
        <f t="shared" ca="1" si="36"/>
        <v/>
      </c>
      <c r="S101" s="33" t="str">
        <f t="shared" ca="1" si="36"/>
        <v/>
      </c>
      <c r="T101" s="33" t="str">
        <f t="shared" ca="1" si="36"/>
        <v/>
      </c>
      <c r="U101" s="33" t="str">
        <f t="shared" ca="1" si="36"/>
        <v/>
      </c>
      <c r="V101" s="45">
        <f t="shared" ca="1" si="38"/>
        <v>0</v>
      </c>
    </row>
    <row r="102" spans="1:27">
      <c r="A102" s="43" t="str">
        <f t="shared" si="22"/>
        <v/>
      </c>
      <c r="B102" s="43" t="str">
        <f t="shared" ref="B102:I102" si="40">IF($J79&gt;1500000,B79,"")</f>
        <v/>
      </c>
      <c r="C102" s="43" t="str">
        <f t="shared" si="40"/>
        <v/>
      </c>
      <c r="D102" s="43" t="str">
        <f t="shared" si="40"/>
        <v/>
      </c>
      <c r="E102" s="33" t="str">
        <f t="shared" si="40"/>
        <v/>
      </c>
      <c r="F102" s="33" t="str">
        <f t="shared" si="40"/>
        <v/>
      </c>
      <c r="G102" s="33" t="str">
        <f t="shared" si="40"/>
        <v/>
      </c>
      <c r="H102" s="33" t="str">
        <f t="shared" si="40"/>
        <v/>
      </c>
      <c r="I102" s="33" t="str">
        <f t="shared" si="40"/>
        <v/>
      </c>
      <c r="J102" s="45"/>
      <c r="L102" s="43" t="str">
        <f t="shared" ca="1" si="34"/>
        <v/>
      </c>
      <c r="M102" s="43" t="str">
        <f t="shared" ca="1" si="35"/>
        <v/>
      </c>
      <c r="N102" s="43" t="str">
        <f t="shared" ca="1" si="35"/>
        <v/>
      </c>
      <c r="O102" s="43" t="str">
        <f t="shared" ca="1" si="35"/>
        <v/>
      </c>
      <c r="P102" s="43"/>
      <c r="Q102" s="33" t="str">
        <f t="shared" ca="1" si="36"/>
        <v/>
      </c>
      <c r="R102" s="33" t="str">
        <f t="shared" ca="1" si="36"/>
        <v/>
      </c>
      <c r="S102" s="33" t="str">
        <f t="shared" ca="1" si="36"/>
        <v/>
      </c>
      <c r="T102" s="33" t="str">
        <f t="shared" ca="1" si="36"/>
        <v/>
      </c>
      <c r="U102" s="33" t="str">
        <f t="shared" ca="1" si="36"/>
        <v/>
      </c>
      <c r="V102" s="45">
        <f t="shared" ca="1" si="38"/>
        <v>0</v>
      </c>
    </row>
    <row r="103" spans="1:27">
      <c r="A103" s="43" t="str">
        <f t="shared" si="22"/>
        <v/>
      </c>
      <c r="B103" s="43" t="str">
        <f t="shared" ref="B103:I103" si="41">IF($J80&gt;1500000,B80,"")</f>
        <v/>
      </c>
      <c r="C103" s="43" t="str">
        <f t="shared" si="41"/>
        <v/>
      </c>
      <c r="D103" s="43" t="str">
        <f t="shared" si="41"/>
        <v/>
      </c>
      <c r="E103" s="33" t="str">
        <f t="shared" si="41"/>
        <v/>
      </c>
      <c r="F103" s="33" t="str">
        <f t="shared" si="41"/>
        <v/>
      </c>
      <c r="G103" s="33" t="str">
        <f t="shared" si="41"/>
        <v/>
      </c>
      <c r="H103" s="33" t="str">
        <f t="shared" si="41"/>
        <v/>
      </c>
      <c r="I103" s="33" t="str">
        <f t="shared" si="41"/>
        <v/>
      </c>
      <c r="J103" s="45"/>
      <c r="L103" s="43" t="str">
        <f t="shared" ca="1" si="34"/>
        <v/>
      </c>
      <c r="M103" s="43" t="str">
        <f t="shared" ca="1" si="35"/>
        <v/>
      </c>
      <c r="N103" s="43" t="str">
        <f t="shared" ca="1" si="35"/>
        <v/>
      </c>
      <c r="O103" s="43" t="str">
        <f t="shared" ca="1" si="35"/>
        <v/>
      </c>
      <c r="P103" s="43"/>
      <c r="Q103" s="33" t="str">
        <f t="shared" ca="1" si="36"/>
        <v/>
      </c>
      <c r="R103" s="33" t="str">
        <f t="shared" ca="1" si="36"/>
        <v/>
      </c>
      <c r="S103" s="33" t="str">
        <f t="shared" ca="1" si="36"/>
        <v/>
      </c>
      <c r="T103" s="33" t="str">
        <f t="shared" ca="1" si="36"/>
        <v/>
      </c>
      <c r="U103" s="33" t="str">
        <f t="shared" ca="1" si="36"/>
        <v/>
      </c>
      <c r="V103" s="45">
        <f t="shared" ca="1" si="38"/>
        <v>0</v>
      </c>
    </row>
    <row r="104" spans="1:27">
      <c r="A104" s="43" t="str">
        <f t="shared" si="22"/>
        <v/>
      </c>
      <c r="B104" s="43" t="str">
        <f t="shared" ref="B104:I104" si="42">IF($J81&gt;1500000,B81,"")</f>
        <v/>
      </c>
      <c r="C104" s="43" t="str">
        <f t="shared" si="42"/>
        <v/>
      </c>
      <c r="D104" s="43" t="str">
        <f t="shared" si="42"/>
        <v/>
      </c>
      <c r="E104" s="33" t="str">
        <f t="shared" si="42"/>
        <v/>
      </c>
      <c r="F104" s="33" t="str">
        <f t="shared" si="42"/>
        <v/>
      </c>
      <c r="G104" s="33" t="str">
        <f t="shared" si="42"/>
        <v/>
      </c>
      <c r="H104" s="33" t="str">
        <f t="shared" si="42"/>
        <v/>
      </c>
      <c r="I104" s="33" t="str">
        <f t="shared" si="42"/>
        <v/>
      </c>
      <c r="J104" s="45"/>
      <c r="L104" s="43" t="str">
        <f t="shared" ca="1" si="34"/>
        <v/>
      </c>
      <c r="M104" s="43" t="str">
        <f t="shared" ca="1" si="35"/>
        <v/>
      </c>
      <c r="N104" s="43" t="str">
        <f t="shared" ca="1" si="35"/>
        <v/>
      </c>
      <c r="O104" s="43" t="str">
        <f t="shared" ca="1" si="35"/>
        <v/>
      </c>
      <c r="P104" s="43"/>
      <c r="Q104" s="33" t="str">
        <f t="shared" ca="1" si="36"/>
        <v/>
      </c>
      <c r="R104" s="33" t="str">
        <f t="shared" ca="1" si="36"/>
        <v/>
      </c>
      <c r="S104" s="33" t="str">
        <f t="shared" ca="1" si="36"/>
        <v/>
      </c>
      <c r="T104" s="33" t="str">
        <f t="shared" ca="1" si="36"/>
        <v/>
      </c>
      <c r="U104" s="33" t="str">
        <f t="shared" ca="1" si="36"/>
        <v/>
      </c>
      <c r="V104" s="45">
        <f t="shared" ca="1" si="38"/>
        <v>0</v>
      </c>
    </row>
    <row r="105" spans="1:27" ht="16.5" customHeight="1"/>
    <row r="106" spans="1:27" ht="19.5">
      <c r="A106" s="2" t="s">
        <v>173</v>
      </c>
      <c r="B106" s="2"/>
      <c r="C106" s="2"/>
      <c r="D106" s="2"/>
      <c r="E106" s="2"/>
      <c r="F106" s="2"/>
      <c r="G106" s="2"/>
      <c r="H106" s="2"/>
      <c r="I106" s="2"/>
      <c r="J106" s="2"/>
      <c r="K106" s="2"/>
      <c r="L106" s="2" t="s">
        <v>173</v>
      </c>
      <c r="M106" s="2"/>
      <c r="N106" s="2"/>
      <c r="O106" s="2"/>
      <c r="P106" s="2"/>
      <c r="Q106" s="2"/>
      <c r="R106" s="2"/>
      <c r="S106" s="2"/>
      <c r="T106" s="2"/>
      <c r="U106" s="2"/>
      <c r="V106" s="2"/>
      <c r="W106" s="2"/>
      <c r="X106" s="2"/>
      <c r="Y106" s="2"/>
      <c r="Z106" s="2"/>
    </row>
    <row r="107" spans="1:27">
      <c r="A107" s="3" t="s">
        <v>6</v>
      </c>
      <c r="B107" s="3" t="s">
        <v>4</v>
      </c>
      <c r="C107" s="3"/>
      <c r="D107" s="3"/>
      <c r="E107" s="3" t="str">
        <f>E8</f>
        <v>2020/21</v>
      </c>
      <c r="F107" s="3" t="str">
        <f>F8</f>
        <v>2021/22</v>
      </c>
      <c r="G107" s="3" t="str">
        <f>G8</f>
        <v>2022/23</v>
      </c>
      <c r="H107" s="3" t="str">
        <f>H8</f>
        <v>2023/24</v>
      </c>
      <c r="I107" s="3" t="str">
        <f>I8</f>
        <v>2024/25</v>
      </c>
      <c r="J107" s="3" t="s">
        <v>16</v>
      </c>
      <c r="L107" s="3" t="s">
        <v>174</v>
      </c>
      <c r="M107" s="3" t="str">
        <f>M93</f>
        <v>input</v>
      </c>
      <c r="N107" s="3" t="str">
        <f>N93</f>
        <v>Asset Class</v>
      </c>
      <c r="O107" s="3" t="str">
        <f>O93</f>
        <v>Asset Driver</v>
      </c>
      <c r="P107" s="3"/>
      <c r="Q107" s="3" t="str">
        <f>Q8</f>
        <v>2025/26</v>
      </c>
      <c r="R107" s="3" t="str">
        <f>R8</f>
        <v>2026/27</v>
      </c>
      <c r="S107" s="3" t="str">
        <f>S8</f>
        <v>2027/28</v>
      </c>
      <c r="T107" s="3" t="str">
        <f>T8</f>
        <v>2028/29</v>
      </c>
      <c r="U107" s="3" t="str">
        <f>U8</f>
        <v>2029/30</v>
      </c>
      <c r="V107" s="3" t="s">
        <v>16</v>
      </c>
      <c r="W107" s="3"/>
      <c r="X107" s="3"/>
      <c r="Y107" s="3"/>
      <c r="Z107" s="3"/>
      <c r="AA107" s="3"/>
    </row>
    <row r="109" spans="1:27">
      <c r="A109" s="6" t="str">
        <f>'1.1 Input'!A20</f>
        <v>Transmission Assets</v>
      </c>
      <c r="B109" s="6" t="str">
        <f>$B$9</f>
        <v>2024/25</v>
      </c>
      <c r="C109" s="6"/>
      <c r="D109" s="6"/>
      <c r="E109" s="6">
        <f t="shared" ref="E109:I113" si="43">SUMIF($C$9:$C$66,$A109,E$9:E$66)</f>
        <v>2463006.1766451197</v>
      </c>
      <c r="F109" s="6">
        <f t="shared" si="43"/>
        <v>2984249.617290644</v>
      </c>
      <c r="G109" s="6">
        <f t="shared" si="43"/>
        <v>8002708.8241918413</v>
      </c>
      <c r="H109" s="6">
        <f t="shared" si="43"/>
        <v>12179831.976400001</v>
      </c>
      <c r="I109" s="6">
        <f t="shared" si="43"/>
        <v>3042183.6716192584</v>
      </c>
      <c r="J109" s="45">
        <f t="shared" ref="J109:J114" si="44">SUM(E109:I109)</f>
        <v>28671980.266146865</v>
      </c>
      <c r="L109" s="6" t="str">
        <f>'1.1 Input'!C20</f>
        <v>Transmission Assets</v>
      </c>
      <c r="M109" s="6" t="str">
        <f>$M$9</f>
        <v>2024/25</v>
      </c>
      <c r="N109" s="6"/>
      <c r="O109" s="6"/>
      <c r="P109" s="6"/>
      <c r="Q109" s="6">
        <f>SUMIF($N$9:$N$66,$L109,Q$9:Q$66)</f>
        <v>11004051.669452321</v>
      </c>
      <c r="R109" s="6">
        <f>SUMIF($N$9:$N$66,$L109,R$9:R$66)</f>
        <v>3408912.72894111</v>
      </c>
      <c r="S109" s="6">
        <f>SUMIF($N$9:$N$66,$L109,S$9:S$66)</f>
        <v>4051523.6540737478</v>
      </c>
      <c r="T109" s="6">
        <f>SUMIF($N$9:$N$66,$L109,T$9:T$66)</f>
        <v>2763958.7999208458</v>
      </c>
      <c r="U109" s="6">
        <f>SUMIF($N$9:$N$66,$L109,U$9:U$66)</f>
        <v>7217059.6341897137</v>
      </c>
      <c r="V109" s="45">
        <f t="shared" ref="V109:V113" si="45">SUM(Q109:U109)</f>
        <v>28445506.486577738</v>
      </c>
    </row>
    <row r="110" spans="1:27">
      <c r="A110" s="6" t="str">
        <f>'1.1 Input'!A21</f>
        <v>Transmission Determination Costs</v>
      </c>
      <c r="B110" s="6" t="str">
        <f t="shared" ref="B110:B113" si="46">$B$9</f>
        <v>2024/25</v>
      </c>
      <c r="C110" s="6"/>
      <c r="D110" s="6"/>
      <c r="E110" s="6">
        <f t="shared" si="43"/>
        <v>0</v>
      </c>
      <c r="F110" s="6">
        <f t="shared" si="43"/>
        <v>0</v>
      </c>
      <c r="G110" s="6">
        <f t="shared" si="43"/>
        <v>0</v>
      </c>
      <c r="H110" s="6">
        <f t="shared" si="43"/>
        <v>0</v>
      </c>
      <c r="I110" s="6">
        <f t="shared" si="43"/>
        <v>0</v>
      </c>
      <c r="J110" s="45">
        <f t="shared" si="44"/>
        <v>0</v>
      </c>
      <c r="L110" s="6" t="str">
        <f>'1.1 Input'!C21</f>
        <v>Transmission Determination Costs</v>
      </c>
      <c r="M110" s="6" t="str">
        <f t="shared" ref="M110:M113" si="47">$M$9</f>
        <v>2024/25</v>
      </c>
      <c r="N110" s="6"/>
      <c r="O110" s="6"/>
      <c r="P110" s="6"/>
      <c r="Q110" s="6">
        <f t="shared" ref="Q110:S111" si="48">SUMIF($N$9:$N$66,$L110,Q$9:Q$66)</f>
        <v>0</v>
      </c>
      <c r="R110" s="6">
        <f t="shared" si="48"/>
        <v>0</v>
      </c>
      <c r="S110" s="6">
        <f t="shared" si="48"/>
        <v>0</v>
      </c>
      <c r="T110" s="6">
        <f ca="1">T66</f>
        <v>0</v>
      </c>
      <c r="U110" s="6">
        <f ca="1">U66</f>
        <v>0</v>
      </c>
      <c r="V110" s="45">
        <f t="shared" ca="1" si="45"/>
        <v>0</v>
      </c>
    </row>
    <row r="111" spans="1:27">
      <c r="A111" s="6" t="str">
        <f>'1.1 Input'!A22</f>
        <v>Easements</v>
      </c>
      <c r="B111" s="6" t="str">
        <f t="shared" si="46"/>
        <v>2024/25</v>
      </c>
      <c r="C111" s="6"/>
      <c r="D111" s="6"/>
      <c r="E111" s="6">
        <f t="shared" si="43"/>
        <v>0</v>
      </c>
      <c r="F111" s="6">
        <f t="shared" si="43"/>
        <v>0</v>
      </c>
      <c r="G111" s="6">
        <f t="shared" si="43"/>
        <v>8560.1977828399995</v>
      </c>
      <c r="H111" s="6">
        <f t="shared" si="43"/>
        <v>352366.52</v>
      </c>
      <c r="I111" s="6">
        <f t="shared" si="43"/>
        <v>282015.62057963602</v>
      </c>
      <c r="J111" s="45">
        <f t="shared" si="44"/>
        <v>642942.33836247609</v>
      </c>
      <c r="L111" s="6" t="str">
        <f>'1.1 Input'!C22</f>
        <v>Easements</v>
      </c>
      <c r="M111" s="6" t="str">
        <f t="shared" si="47"/>
        <v>2024/25</v>
      </c>
      <c r="N111" s="6"/>
      <c r="O111" s="6"/>
      <c r="P111" s="6"/>
      <c r="Q111" s="6">
        <f t="shared" si="48"/>
        <v>179367.98</v>
      </c>
      <c r="R111" s="6">
        <f t="shared" si="48"/>
        <v>0</v>
      </c>
      <c r="S111" s="6">
        <f t="shared" si="48"/>
        <v>0</v>
      </c>
      <c r="T111" s="6">
        <f>SUMIF($N$9:$N$70,$L111,T$9:T$70)</f>
        <v>0</v>
      </c>
      <c r="U111" s="6">
        <f>SUMIF($N$9:$N$70,$L111,U$9:U$70)</f>
        <v>0</v>
      </c>
      <c r="V111" s="45">
        <f t="shared" si="45"/>
        <v>179367.98</v>
      </c>
    </row>
    <row r="112" spans="1:27">
      <c r="A112" s="6" t="str">
        <f>'1.1 Input'!A23</f>
        <v>Land</v>
      </c>
      <c r="B112" s="6" t="str">
        <f t="shared" si="46"/>
        <v>2024/25</v>
      </c>
      <c r="C112" s="6"/>
      <c r="D112" s="6"/>
      <c r="E112" s="6">
        <f t="shared" si="43"/>
        <v>0</v>
      </c>
      <c r="F112" s="6">
        <f t="shared" si="43"/>
        <v>0</v>
      </c>
      <c r="G112" s="6">
        <f t="shared" si="43"/>
        <v>0</v>
      </c>
      <c r="H112" s="6">
        <f t="shared" si="43"/>
        <v>0</v>
      </c>
      <c r="I112" s="6">
        <f t="shared" si="43"/>
        <v>0</v>
      </c>
      <c r="J112" s="45">
        <f t="shared" si="44"/>
        <v>0</v>
      </c>
      <c r="L112" s="6" t="str">
        <f>'1.1 Input'!C23</f>
        <v>Land</v>
      </c>
      <c r="M112" s="6" t="str">
        <f t="shared" si="47"/>
        <v>2024/25</v>
      </c>
      <c r="N112" s="6"/>
      <c r="O112" s="6"/>
      <c r="P112" s="6"/>
      <c r="Q112" s="6">
        <f>SUMIF($N$9:$N$70,$L112,Q$9:Q$70)</f>
        <v>0</v>
      </c>
      <c r="R112" s="6">
        <f t="shared" ref="R112:U113" si="49">SUMIF($N$9:$N$66,$L112,R$9:R$66)</f>
        <v>0</v>
      </c>
      <c r="S112" s="6">
        <f t="shared" si="49"/>
        <v>0</v>
      </c>
      <c r="T112" s="6">
        <f t="shared" si="49"/>
        <v>0</v>
      </c>
      <c r="U112" s="6">
        <f t="shared" si="49"/>
        <v>0</v>
      </c>
      <c r="V112" s="45">
        <f t="shared" si="45"/>
        <v>0</v>
      </c>
    </row>
    <row r="113" spans="1:27" ht="15.75" thickBot="1">
      <c r="A113" s="6" t="str">
        <f>'1.1 Input'!A24</f>
        <v>Buildings</v>
      </c>
      <c r="B113" s="6" t="str">
        <f t="shared" si="46"/>
        <v>2024/25</v>
      </c>
      <c r="C113" s="6"/>
      <c r="D113" s="6"/>
      <c r="E113" s="6">
        <f t="shared" si="43"/>
        <v>0</v>
      </c>
      <c r="F113" s="6">
        <f t="shared" si="43"/>
        <v>0</v>
      </c>
      <c r="G113" s="6">
        <f t="shared" si="43"/>
        <v>126782.27799644001</v>
      </c>
      <c r="H113" s="6">
        <f t="shared" si="43"/>
        <v>0</v>
      </c>
      <c r="I113" s="6">
        <f t="shared" si="43"/>
        <v>1455244.0571077801</v>
      </c>
      <c r="J113" s="45">
        <f t="shared" si="44"/>
        <v>1582026.3351042201</v>
      </c>
      <c r="L113" s="6" t="str">
        <f>'1.1 Input'!C24</f>
        <v>Buildings</v>
      </c>
      <c r="M113" s="6" t="str">
        <f t="shared" si="47"/>
        <v>2024/25</v>
      </c>
      <c r="N113" s="6"/>
      <c r="O113" s="6"/>
      <c r="P113" s="6"/>
      <c r="Q113" s="6">
        <f>SUMIF($N$9:$N$66,$L113,Q$9:Q$66)</f>
        <v>2622481.8562401561</v>
      </c>
      <c r="R113" s="6">
        <f t="shared" si="49"/>
        <v>1124725.9674787314</v>
      </c>
      <c r="S113" s="6">
        <f t="shared" si="49"/>
        <v>148868.78417257598</v>
      </c>
      <c r="T113" s="6">
        <f t="shared" si="49"/>
        <v>988043.04668013402</v>
      </c>
      <c r="U113" s="6">
        <f t="shared" si="49"/>
        <v>0</v>
      </c>
      <c r="V113" s="45">
        <f t="shared" si="45"/>
        <v>4884119.6545715975</v>
      </c>
    </row>
    <row r="114" spans="1:27" ht="16.5" thickTop="1" thickBot="1">
      <c r="A114" s="27" t="s">
        <v>16</v>
      </c>
      <c r="B114" s="27"/>
      <c r="C114" s="27"/>
      <c r="D114" s="27"/>
      <c r="E114" s="27">
        <f>SUM(E109:E113)</f>
        <v>2463006.1766451197</v>
      </c>
      <c r="F114" s="27">
        <f>SUM(F109:F113)</f>
        <v>2984249.617290644</v>
      </c>
      <c r="G114" s="27">
        <f>SUM(G109:G113)</f>
        <v>8138051.2999711214</v>
      </c>
      <c r="H114" s="27">
        <f>SUM(H109:H113)</f>
        <v>12532198.496400001</v>
      </c>
      <c r="I114" s="27">
        <f>SUM(I109:I113)</f>
        <v>4779443.3493066747</v>
      </c>
      <c r="J114" s="27">
        <f t="shared" si="44"/>
        <v>30896948.939613558</v>
      </c>
      <c r="L114" s="27" t="s">
        <v>16</v>
      </c>
      <c r="M114" s="27"/>
      <c r="N114" s="27"/>
      <c r="O114" s="27"/>
      <c r="P114" s="27"/>
      <c r="Q114" s="27">
        <f>SUM(Q109:Q113)</f>
        <v>13805901.505692478</v>
      </c>
      <c r="R114" s="27">
        <f>SUM(R109:R113)</f>
        <v>4533638.6964198416</v>
      </c>
      <c r="S114" s="27">
        <f>SUM(S109:S113)</f>
        <v>4200392.4382463237</v>
      </c>
      <c r="T114" s="27">
        <f ca="1">SUM(T109:T113)</f>
        <v>3752001.8466009796</v>
      </c>
      <c r="U114" s="27">
        <f ca="1">SUM(U109:U113)</f>
        <v>7217059.6341897137</v>
      </c>
      <c r="V114" s="27">
        <f ca="1">SUM(Q114:U114)</f>
        <v>33508994.121149339</v>
      </c>
      <c r="X114" s="46">
        <f ca="1">V114-V5</f>
        <v>-292777.10000000149</v>
      </c>
    </row>
    <row r="115" spans="1:27" ht="15.75" thickTop="1"/>
    <row r="116" spans="1:27" ht="19.5">
      <c r="A116" s="2" t="s">
        <v>175</v>
      </c>
      <c r="B116" s="2"/>
      <c r="C116" s="2"/>
      <c r="D116" s="2"/>
      <c r="E116" s="2"/>
      <c r="F116" s="2"/>
      <c r="G116" s="2"/>
      <c r="H116" s="2"/>
      <c r="I116" s="2"/>
      <c r="J116" s="2"/>
      <c r="K116" s="2"/>
      <c r="L116" s="2" t="s">
        <v>175</v>
      </c>
      <c r="M116" s="2"/>
      <c r="N116" s="2"/>
      <c r="O116" s="2"/>
      <c r="P116" s="2"/>
      <c r="Q116" s="2"/>
      <c r="R116" s="2"/>
      <c r="S116" s="2"/>
      <c r="T116" s="2"/>
      <c r="U116" s="2"/>
      <c r="V116" s="2"/>
      <c r="W116" s="2"/>
      <c r="X116" s="2"/>
      <c r="Y116" s="2"/>
      <c r="Z116" s="2"/>
      <c r="AA116" s="2"/>
    </row>
    <row r="117" spans="1:27">
      <c r="A117" s="3" t="s">
        <v>138</v>
      </c>
      <c r="B117" s="3" t="s">
        <v>4</v>
      </c>
      <c r="C117" s="3"/>
      <c r="D117" s="3"/>
      <c r="E117" s="3" t="str">
        <f t="shared" ref="E117:J117" si="50">E107</f>
        <v>2020/21</v>
      </c>
      <c r="F117" s="3" t="str">
        <f t="shared" si="50"/>
        <v>2021/22</v>
      </c>
      <c r="G117" s="3" t="str">
        <f t="shared" si="50"/>
        <v>2022/23</v>
      </c>
      <c r="H117" s="3" t="str">
        <f t="shared" si="50"/>
        <v>2023/24</v>
      </c>
      <c r="I117" s="3" t="str">
        <f t="shared" si="50"/>
        <v>2024/25</v>
      </c>
      <c r="J117" s="3" t="str">
        <f t="shared" si="50"/>
        <v>Total</v>
      </c>
      <c r="L117" s="3" t="s">
        <v>138</v>
      </c>
      <c r="M117" s="3" t="s">
        <v>4</v>
      </c>
      <c r="N117" s="3"/>
      <c r="O117" s="3"/>
      <c r="P117" s="3"/>
      <c r="Q117" s="3" t="str">
        <f t="shared" ref="Q117:V117" si="51">Q107</f>
        <v>2025/26</v>
      </c>
      <c r="R117" s="3" t="str">
        <f t="shared" si="51"/>
        <v>2026/27</v>
      </c>
      <c r="S117" s="3" t="str">
        <f t="shared" si="51"/>
        <v>2027/28</v>
      </c>
      <c r="T117" s="3" t="str">
        <f t="shared" si="51"/>
        <v>2028/29</v>
      </c>
      <c r="U117" s="3" t="str">
        <f t="shared" si="51"/>
        <v>2029/30</v>
      </c>
      <c r="V117" s="3" t="str">
        <f t="shared" si="51"/>
        <v>Total</v>
      </c>
      <c r="W117" s="3"/>
      <c r="X117" s="3"/>
      <c r="Y117" s="3"/>
      <c r="Z117" s="3"/>
      <c r="AA117" s="3"/>
    </row>
    <row r="119" spans="1:27">
      <c r="A119" s="6" t="str">
        <f>'1.1 Input'!B20</f>
        <v>Replacement expenditure</v>
      </c>
      <c r="B119" s="6" t="str">
        <f>$B$9</f>
        <v>2024/25</v>
      </c>
      <c r="C119" s="6"/>
      <c r="D119" s="6"/>
      <c r="E119" s="17">
        <f t="shared" ref="E119:I122" si="52">SUMIF($D$9:$D$66,$A119,E$9:E$66)</f>
        <v>2463006.1766451197</v>
      </c>
      <c r="F119" s="17">
        <f t="shared" si="52"/>
        <v>2984249.617290644</v>
      </c>
      <c r="G119" s="17">
        <f t="shared" si="52"/>
        <v>8138051.2999711204</v>
      </c>
      <c r="H119" s="17">
        <f t="shared" si="52"/>
        <v>12532198.496400001</v>
      </c>
      <c r="I119" s="17">
        <f t="shared" si="52"/>
        <v>4779443.3493066747</v>
      </c>
      <c r="J119" s="45">
        <f>SUM(E119:I119)</f>
        <v>30896948.939613558</v>
      </c>
      <c r="L119" s="6" t="str">
        <f>A119</f>
        <v>Replacement expenditure</v>
      </c>
      <c r="M119" s="6" t="str">
        <f>$M$9</f>
        <v>2024/25</v>
      </c>
      <c r="N119" s="6"/>
      <c r="O119" s="6"/>
      <c r="P119" s="6"/>
      <c r="Q119" s="6">
        <f>SUMIF($O$9:$O$66,$L119,Q$9:Q$66)</f>
        <v>13805901.505692476</v>
      </c>
      <c r="R119" s="6">
        <f>SUMIF($O$9:$O$66,$L119,R$9:R$66)</f>
        <v>4533638.6964198416</v>
      </c>
      <c r="S119" s="6">
        <f ca="1">SUMIF($O$9:$O$66,$L119,S$10:S$66)</f>
        <v>4200392.4382463237</v>
      </c>
      <c r="T119" s="6">
        <f>SUMIF($O$9:$O$66,$L119,T$9:T$66)</f>
        <v>3898390.3966009794</v>
      </c>
      <c r="U119" s="6">
        <f>SUMIF($O$9:$O$66,$L119,U$9:U$66)</f>
        <v>7363448.1841897136</v>
      </c>
      <c r="V119" s="45">
        <f ca="1">SUM(Q119:U119)</f>
        <v>33801771.221149333</v>
      </c>
    </row>
    <row r="120" spans="1:27">
      <c r="A120" s="6" t="str">
        <f>'1.1 Input'!B21</f>
        <v>Connections</v>
      </c>
      <c r="B120" s="6" t="str">
        <f>$B$9</f>
        <v>2024/25</v>
      </c>
      <c r="C120" s="6"/>
      <c r="D120" s="6"/>
      <c r="E120" s="17">
        <f t="shared" si="52"/>
        <v>0</v>
      </c>
      <c r="F120" s="17">
        <f t="shared" si="52"/>
        <v>0</v>
      </c>
      <c r="G120" s="17">
        <f t="shared" si="52"/>
        <v>0</v>
      </c>
      <c r="H120" s="17">
        <f t="shared" si="52"/>
        <v>0</v>
      </c>
      <c r="I120" s="17">
        <f t="shared" si="52"/>
        <v>0</v>
      </c>
      <c r="J120" s="45">
        <f>SUM(E120:I120)</f>
        <v>0</v>
      </c>
      <c r="L120" s="6" t="str">
        <f>A120</f>
        <v>Connections</v>
      </c>
      <c r="M120" s="6" t="str">
        <f>$M$9</f>
        <v>2024/25</v>
      </c>
      <c r="N120" s="6"/>
      <c r="O120" s="6"/>
      <c r="P120" s="6"/>
      <c r="Q120" s="6">
        <f>SUMIF($O$9:$O$66,$L120,Q$9:Q$66)</f>
        <v>0</v>
      </c>
      <c r="R120" s="6">
        <f>SUMIF($O$9:$O$70,$L120,R$9:R$70)</f>
        <v>0</v>
      </c>
      <c r="S120" s="6">
        <f>SUMIF($O$9:$O$70,$L120,S$9:S$70)</f>
        <v>0</v>
      </c>
      <c r="T120" s="6">
        <f>SUMIF($O$9:$O$70,$L120,T$9:T$70)</f>
        <v>0</v>
      </c>
      <c r="U120" s="6">
        <f>SUMIF($O$9:$O$70,$L120,U$9:U$70)</f>
        <v>0</v>
      </c>
      <c r="V120" s="45">
        <f>SUM(Q120:U120)</f>
        <v>0</v>
      </c>
    </row>
    <row r="121" spans="1:27">
      <c r="A121" s="6" t="str">
        <f>'1.1 Input'!B22</f>
        <v>Augmentation Expenditure</v>
      </c>
      <c r="B121" s="6" t="str">
        <f>$B$9</f>
        <v>2024/25</v>
      </c>
      <c r="C121" s="6"/>
      <c r="D121" s="6"/>
      <c r="E121" s="17">
        <f t="shared" si="52"/>
        <v>0</v>
      </c>
      <c r="F121" s="17">
        <f t="shared" si="52"/>
        <v>0</v>
      </c>
      <c r="G121" s="17">
        <f t="shared" si="52"/>
        <v>0</v>
      </c>
      <c r="H121" s="17">
        <f t="shared" si="52"/>
        <v>0</v>
      </c>
      <c r="I121" s="17">
        <f t="shared" si="52"/>
        <v>0</v>
      </c>
      <c r="J121" s="45">
        <f>SUM(E121:I121)</f>
        <v>0</v>
      </c>
      <c r="L121" s="6" t="str">
        <f>A121</f>
        <v>Augmentation Expenditure</v>
      </c>
      <c r="M121" s="6" t="str">
        <f>$M$9</f>
        <v>2024/25</v>
      </c>
      <c r="N121" s="6"/>
      <c r="O121" s="6"/>
      <c r="P121" s="6"/>
      <c r="Q121" s="6">
        <f>SUMIF($O$9:$O$70,$L121,Q$9:Q$70)</f>
        <v>0</v>
      </c>
      <c r="R121" s="6">
        <f>SUMIF($O$9:$O$66,$L121,R$9:R$66)</f>
        <v>0</v>
      </c>
      <c r="S121" s="6">
        <f t="shared" ref="S121:U122" si="53">SUMIF($O$9:$O$70,$L121,S$9:S$70)</f>
        <v>0</v>
      </c>
      <c r="T121" s="6">
        <f t="shared" si="53"/>
        <v>0</v>
      </c>
      <c r="U121" s="6">
        <f t="shared" si="53"/>
        <v>0</v>
      </c>
      <c r="V121" s="45">
        <f>SUM(Q121:U121)</f>
        <v>0</v>
      </c>
    </row>
    <row r="122" spans="1:27" ht="15.75" thickBot="1">
      <c r="A122" s="6" t="str">
        <f>'1.1 Input'!B23</f>
        <v>Non-network</v>
      </c>
      <c r="B122" s="6" t="str">
        <f>$B$9</f>
        <v>2024/25</v>
      </c>
      <c r="C122" s="6"/>
      <c r="D122" s="6"/>
      <c r="E122" s="17">
        <f t="shared" si="52"/>
        <v>0</v>
      </c>
      <c r="F122" s="17">
        <f t="shared" si="52"/>
        <v>0</v>
      </c>
      <c r="G122" s="17">
        <f t="shared" si="52"/>
        <v>0</v>
      </c>
      <c r="H122" s="17">
        <f t="shared" si="52"/>
        <v>0</v>
      </c>
      <c r="I122" s="17">
        <f t="shared" si="52"/>
        <v>0</v>
      </c>
      <c r="J122" s="45">
        <f>SUM(E122:I122)</f>
        <v>0</v>
      </c>
      <c r="L122" s="6" t="str">
        <f>A122</f>
        <v>Non-network</v>
      </c>
      <c r="M122" s="6" t="str">
        <f>$M$9</f>
        <v>2024/25</v>
      </c>
      <c r="N122" s="6"/>
      <c r="O122" s="6"/>
      <c r="P122" s="6"/>
      <c r="Q122" s="6">
        <f>SUMIF($O$9:$O$70,$L122,Q$9:Q$70)</f>
        <v>0</v>
      </c>
      <c r="R122" s="6">
        <f>SUMIF($O$9:$O$70,$L122,R$9:R$70)</f>
        <v>0</v>
      </c>
      <c r="S122" s="6">
        <f t="shared" si="53"/>
        <v>0</v>
      </c>
      <c r="T122" s="6">
        <f t="shared" si="53"/>
        <v>0</v>
      </c>
      <c r="U122" s="6">
        <f t="shared" si="53"/>
        <v>0</v>
      </c>
      <c r="V122" s="45">
        <f>SUM(Q122:U122)</f>
        <v>0</v>
      </c>
    </row>
    <row r="123" spans="1:27" ht="16.5" thickTop="1" thickBot="1">
      <c r="A123" s="27" t="s">
        <v>16</v>
      </c>
      <c r="B123" s="27"/>
      <c r="C123" s="27"/>
      <c r="D123" s="27"/>
      <c r="E123" s="27">
        <f t="shared" ref="E123:J123" si="54">SUM(E119:E122)</f>
        <v>2463006.1766451197</v>
      </c>
      <c r="F123" s="27">
        <f t="shared" si="54"/>
        <v>2984249.617290644</v>
      </c>
      <c r="G123" s="27">
        <f t="shared" si="54"/>
        <v>8138051.2999711204</v>
      </c>
      <c r="H123" s="27">
        <f t="shared" si="54"/>
        <v>12532198.496400001</v>
      </c>
      <c r="I123" s="27">
        <f t="shared" si="54"/>
        <v>4779443.3493066747</v>
      </c>
      <c r="J123" s="27">
        <f t="shared" si="54"/>
        <v>30896948.939613558</v>
      </c>
      <c r="L123" s="27" t="s">
        <v>16</v>
      </c>
      <c r="M123" s="27"/>
      <c r="N123" s="27"/>
      <c r="O123" s="27"/>
      <c r="P123" s="27"/>
      <c r="Q123" s="27">
        <f>SUM(Q119:Q122)</f>
        <v>13805901.505692476</v>
      </c>
      <c r="R123" s="27">
        <f>SUM(R119:R122)</f>
        <v>4533638.6964198416</v>
      </c>
      <c r="S123" s="27">
        <f t="shared" ref="S123:U123" ca="1" si="55">SUM(S119:S122)</f>
        <v>4200392.4382463237</v>
      </c>
      <c r="T123" s="27">
        <f t="shared" si="55"/>
        <v>3898390.3966009794</v>
      </c>
      <c r="U123" s="27">
        <f t="shared" si="55"/>
        <v>7363448.1841897136</v>
      </c>
      <c r="V123" s="27">
        <f ca="1">SUM(Q123:U123)</f>
        <v>33801771.221149333</v>
      </c>
      <c r="X123" s="46">
        <f ca="1">V123-V114</f>
        <v>292777.09999999404</v>
      </c>
    </row>
    <row r="124" spans="1:27" ht="15.75" thickTop="1"/>
    <row r="125" spans="1:27" ht="19.5">
      <c r="A125" s="2" t="s">
        <v>176</v>
      </c>
      <c r="B125" s="2"/>
      <c r="C125" s="2"/>
      <c r="D125" s="2"/>
      <c r="E125" s="2"/>
      <c r="F125" s="2"/>
      <c r="G125" s="2"/>
      <c r="H125" s="2"/>
      <c r="I125" s="2"/>
      <c r="J125" s="2"/>
      <c r="K125" s="2"/>
      <c r="L125" s="2" t="s">
        <v>176</v>
      </c>
      <c r="M125" s="2"/>
      <c r="N125" s="2"/>
      <c r="O125" s="2"/>
      <c r="P125" s="2"/>
      <c r="Q125" s="2"/>
      <c r="R125" s="2"/>
      <c r="S125" s="2"/>
      <c r="T125" s="2"/>
      <c r="U125" s="2"/>
      <c r="V125" s="2"/>
      <c r="W125" s="2"/>
      <c r="X125" s="2"/>
      <c r="Y125" s="2"/>
      <c r="Z125" s="2"/>
      <c r="AA125" s="2"/>
    </row>
    <row r="126" spans="1:27">
      <c r="A126" s="3" t="s">
        <v>3</v>
      </c>
      <c r="B126" s="3"/>
      <c r="C126" s="3"/>
      <c r="D126" s="3"/>
      <c r="E126" s="3" t="str">
        <f>E117</f>
        <v>2020/21</v>
      </c>
      <c r="F126" s="3" t="str">
        <f>F117</f>
        <v>2021/22</v>
      </c>
      <c r="G126" s="3" t="str">
        <f>G117</f>
        <v>2022/23</v>
      </c>
      <c r="H126" s="3" t="str">
        <f>H117</f>
        <v>2023/24</v>
      </c>
      <c r="I126" s="3" t="str">
        <f>I117</f>
        <v>2024/25</v>
      </c>
      <c r="J126" s="3" t="s">
        <v>16</v>
      </c>
      <c r="L126" s="3" t="s">
        <v>3</v>
      </c>
      <c r="M126" s="3" t="s">
        <v>4</v>
      </c>
      <c r="N126" s="3" t="s">
        <v>6</v>
      </c>
      <c r="O126" s="3" t="s">
        <v>138</v>
      </c>
      <c r="P126" s="3"/>
      <c r="Q126" s="3" t="str">
        <f>Q117</f>
        <v>2025/26</v>
      </c>
      <c r="R126" s="3" t="str">
        <f>R117</f>
        <v>2026/27</v>
      </c>
      <c r="S126" s="3" t="str">
        <f>S117</f>
        <v>2027/28</v>
      </c>
      <c r="T126" s="3" t="str">
        <f>T117</f>
        <v>2028/29</v>
      </c>
      <c r="U126" s="3" t="str">
        <f>U117</f>
        <v>2029/30</v>
      </c>
      <c r="V126" s="3" t="s">
        <v>16</v>
      </c>
      <c r="W126" s="3" t="s">
        <v>177</v>
      </c>
      <c r="X126" s="3"/>
      <c r="Y126" s="3" t="s">
        <v>178</v>
      </c>
      <c r="Z126" s="3"/>
      <c r="AA126" s="3"/>
    </row>
    <row r="127" spans="1:27" ht="15.75" thickBot="1"/>
    <row r="128" spans="1:27" ht="16.5" thickTop="1" thickBot="1">
      <c r="L128" s="6" t="str">
        <f t="shared" ref="L128:O128" si="56">L9</f>
        <v>AC Isolators / Earth Switches</v>
      </c>
      <c r="M128" s="6" t="str">
        <f t="shared" si="56"/>
        <v>2024/25</v>
      </c>
      <c r="N128" s="6" t="str">
        <f t="shared" si="56"/>
        <v>Transmission Assets</v>
      </c>
      <c r="O128" s="6" t="str">
        <f t="shared" si="56"/>
        <v>Replacement expenditure</v>
      </c>
      <c r="P128" s="6"/>
      <c r="Q128" s="6">
        <f>IF($W128=0,Q9,IF(Q$126=$W128,SUM($Q9:Q9),0))</f>
        <v>280755.81600000005</v>
      </c>
      <c r="R128" s="6">
        <f>IF($W128=0,R9,IF(R$126=$W128,SUM($Q9:R9),0))</f>
        <v>0</v>
      </c>
      <c r="S128" s="6">
        <f>IF($W128=0,S9,IF(S$126=$W128,SUM($Q9:S9),0))</f>
        <v>0</v>
      </c>
      <c r="T128" s="6">
        <f>IF($W128=0,T9,IF(T$126=$W128,SUM($Q9:T9),0))</f>
        <v>0</v>
      </c>
      <c r="U128" s="6">
        <f>IF($W128=0,U9,IF(U$126=$W128,SUM($Q9:U9),0))</f>
        <v>0</v>
      </c>
      <c r="V128" s="45">
        <f t="shared" ref="V128:V134" si="57">SUM(Q128:U128)</f>
        <v>280755.81600000005</v>
      </c>
      <c r="W128" s="43" cm="1">
        <f t="array" ref="W128">_xlfn.IFNA(INDEX('1.0 Data'!$AC$9:$AC$66,MATCH($L128,'1.0 Data'!$P$9:$P$66,0),0),"")</f>
        <v>0</v>
      </c>
      <c r="Y128" s="46">
        <f>V128-V9</f>
        <v>0</v>
      </c>
    </row>
    <row r="129" spans="12:25" ht="16.5" thickTop="1" thickBot="1">
      <c r="L129" s="6" t="str">
        <f t="shared" ref="L129:O129" si="58">L10</f>
        <v>Air Inlet Sound &amp; Proofing Replacement</v>
      </c>
      <c r="M129" s="6" t="str">
        <f t="shared" si="58"/>
        <v>2024/25</v>
      </c>
      <c r="N129" s="6" t="str">
        <f t="shared" si="58"/>
        <v>Transmission Assets</v>
      </c>
      <c r="O129" s="6" t="str">
        <f t="shared" si="58"/>
        <v>Replacement expenditure</v>
      </c>
      <c r="P129" s="6"/>
      <c r="Q129" s="6">
        <f>IF($W129=0,Q10,IF(Q$126=$W129,SUM($Q10:Q10),0))</f>
        <v>0</v>
      </c>
      <c r="R129" s="6">
        <f>IF($W129=0,R10,IF(R$126=$W129,SUM($Q10:R10),0))</f>
        <v>0</v>
      </c>
      <c r="S129" s="6">
        <f>IF($W129=0,S10,IF(S$126=$W129,SUM($Q10:S10),0))</f>
        <v>0</v>
      </c>
      <c r="T129" s="6">
        <f>IF($W129=0,T10,IF(T$126=$W129,SUM($Q10:T10),0))</f>
        <v>0</v>
      </c>
      <c r="U129" s="6">
        <f>IF($W129=0,U10,IF(U$126=$W129,SUM($Q10:U10),0))</f>
        <v>0</v>
      </c>
      <c r="V129" s="45">
        <f t="shared" si="57"/>
        <v>0</v>
      </c>
      <c r="W129" s="43" cm="1">
        <f t="array" ref="W129">_xlfn.IFNA(INDEX('1.0 Data'!$AC$9:$AC$66,MATCH($L129,'1.0 Data'!$P$9:$P$66,0),0),"")</f>
        <v>0</v>
      </c>
      <c r="Y129" s="46">
        <f t="shared" ref="Y129:Y187" si="59">V129-V10</f>
        <v>0</v>
      </c>
    </row>
    <row r="130" spans="12:25" ht="16.5" thickTop="1" thickBot="1">
      <c r="L130" s="6" t="str">
        <f t="shared" ref="L130:O130" si="60">L11</f>
        <v>Annual Spraying for Corrosion</v>
      </c>
      <c r="M130" s="6" t="str">
        <f t="shared" si="60"/>
        <v>2024/25</v>
      </c>
      <c r="N130" s="6" t="str">
        <f t="shared" si="60"/>
        <v>Buildings</v>
      </c>
      <c r="O130" s="6" t="str">
        <f t="shared" si="60"/>
        <v>Replacement expenditure</v>
      </c>
      <c r="P130" s="6"/>
      <c r="Q130" s="6">
        <f>IF($W130=0,Q11,IF(Q$126=$W130,SUM($Q11:Q11),0))</f>
        <v>0</v>
      </c>
      <c r="R130" s="6">
        <f>IF($W130=0,R11,IF(R$126=$W130,SUM($Q11:R11),0))</f>
        <v>0</v>
      </c>
      <c r="S130" s="6">
        <f>IF($W130=0,S11,IF(S$126=$W130,SUM($Q11:S11),0))</f>
        <v>0</v>
      </c>
      <c r="T130" s="6">
        <f>IF($W130=0,T11,IF(T$126=$W130,SUM($Q11:T11),0))</f>
        <v>0</v>
      </c>
      <c r="U130" s="6">
        <f>IF($W130=0,U11,IF(U$126=$W130,SUM($Q11:U11),0))</f>
        <v>0</v>
      </c>
      <c r="V130" s="45">
        <f t="shared" si="57"/>
        <v>0</v>
      </c>
      <c r="W130" s="43" cm="1">
        <f t="array" ref="W130">_xlfn.IFNA(INDEX('1.0 Data'!$AC$9:$AC$66,MATCH($L130,'1.0 Data'!$P$9:$P$66,0),0),"")</f>
        <v>0</v>
      </c>
      <c r="Y130" s="46">
        <f t="shared" si="59"/>
        <v>0</v>
      </c>
    </row>
    <row r="131" spans="12:25" ht="16.5" thickTop="1" thickBot="1">
      <c r="L131" s="6" t="str">
        <f t="shared" ref="L131:O131" si="61">L12</f>
        <v>Arc Flash Study and Mitigation</v>
      </c>
      <c r="M131" s="6" t="str">
        <f t="shared" si="61"/>
        <v>2024/25</v>
      </c>
      <c r="N131" s="6" t="str">
        <f t="shared" si="61"/>
        <v>Transmission Assets</v>
      </c>
      <c r="O131" s="6" t="str">
        <f t="shared" si="61"/>
        <v>Replacement expenditure</v>
      </c>
      <c r="P131" s="6"/>
      <c r="Q131" s="6">
        <f>IF($W131=0,Q12,IF(Q$126=$W131,SUM($Q12:Q12),0))</f>
        <v>0</v>
      </c>
      <c r="R131" s="6">
        <f>IF($W131=0,R12,IF(R$126=$W131,SUM($Q12:R12),0))</f>
        <v>0</v>
      </c>
      <c r="S131" s="6">
        <f>IF($W131=0,S12,IF(S$126=$W131,SUM($Q12:S12),0))</f>
        <v>0</v>
      </c>
      <c r="T131" s="6">
        <f>IF($W131=0,T12,IF(T$126=$W131,SUM($Q12:T12),0))</f>
        <v>0</v>
      </c>
      <c r="U131" s="6">
        <f>IF($W131=0,U12,IF(U$126=$W131,SUM($Q12:U12),0))</f>
        <v>0</v>
      </c>
      <c r="V131" s="45">
        <f t="shared" si="57"/>
        <v>0</v>
      </c>
      <c r="W131" s="43" cm="1">
        <f t="array" ref="W131">_xlfn.IFNA(INDEX('1.0 Data'!$AC$9:$AC$66,MATCH($L131,'1.0 Data'!$P$9:$P$66,0),0),"")</f>
        <v>0</v>
      </c>
      <c r="Y131" s="46">
        <f t="shared" si="59"/>
        <v>0</v>
      </c>
    </row>
    <row r="132" spans="12:25" ht="16.5" thickTop="1" thickBot="1">
      <c r="L132" s="6" t="str">
        <f t="shared" ref="L132:O132" si="62">L13</f>
        <v>Asset Integration - AI3 (Placeholder)</v>
      </c>
      <c r="M132" s="6" t="str">
        <f t="shared" si="62"/>
        <v>2024/25</v>
      </c>
      <c r="N132" s="6" t="str">
        <f t="shared" si="62"/>
        <v>Transmission Assets</v>
      </c>
      <c r="O132" s="6" t="str">
        <f t="shared" si="62"/>
        <v>Replacement expenditure</v>
      </c>
      <c r="P132" s="6"/>
      <c r="Q132" s="6">
        <f>IF($W132=0,Q13,IF(Q$126=$W132,SUM($Q13:Q13),0))</f>
        <v>0</v>
      </c>
      <c r="R132" s="6">
        <f>IF($W132=0,R13,IF(R$126=$W132,SUM($Q13:R13),0))</f>
        <v>0</v>
      </c>
      <c r="S132" s="6">
        <f>IF($W132=0,S13,IF(S$126=$W132,SUM($Q13:S13),0))</f>
        <v>0</v>
      </c>
      <c r="T132" s="6">
        <f>IF($W132=0,T13,IF(T$126=$W132,SUM($Q13:T13),0))</f>
        <v>0</v>
      </c>
      <c r="U132" s="6">
        <f>IF($W132=0,U13,IF(U$126=$W132,SUM($Q13:U13),0))</f>
        <v>0</v>
      </c>
      <c r="V132" s="45">
        <f t="shared" si="57"/>
        <v>0</v>
      </c>
      <c r="W132" s="43" cm="1">
        <f t="array" ref="W132">_xlfn.IFNA(INDEX('1.0 Data'!$AC$9:$AC$66,MATCH($L132,'1.0 Data'!$P$9:$P$66,0),0),"")</f>
        <v>0</v>
      </c>
      <c r="Y132" s="46">
        <f t="shared" si="59"/>
        <v>0</v>
      </c>
    </row>
    <row r="133" spans="12:25" ht="16.5" thickTop="1" thickBot="1">
      <c r="L133" s="6" t="str">
        <f t="shared" ref="L133:O133" si="63">L14</f>
        <v>Asset Integration - Asset Information (Placeholder)</v>
      </c>
      <c r="M133" s="6" t="str">
        <f t="shared" si="63"/>
        <v>2024/25</v>
      </c>
      <c r="N133" s="6" t="str">
        <f t="shared" si="63"/>
        <v>Transmission Assets</v>
      </c>
      <c r="O133" s="6" t="str">
        <f t="shared" si="63"/>
        <v>Replacement expenditure</v>
      </c>
      <c r="P133" s="6"/>
      <c r="Q133" s="6">
        <f>IF($W133=0,Q14,IF(Q$126=$W133,SUM($Q14:Q14),0))</f>
        <v>250228.00000000003</v>
      </c>
      <c r="R133" s="6">
        <f>IF($W133=0,R14,IF(R$126=$W133,SUM($Q14:R14),0))</f>
        <v>0</v>
      </c>
      <c r="S133" s="6">
        <f>IF($W133=0,S14,IF(S$126=$W133,SUM($Q14:S14),0))</f>
        <v>0</v>
      </c>
      <c r="T133" s="6">
        <f>IF($W133=0,T14,IF(T$126=$W133,SUM($Q14:T14),0))</f>
        <v>0</v>
      </c>
      <c r="U133" s="6">
        <f>IF($W133=0,U14,IF(U$126=$W133,SUM($Q14:U14),0))</f>
        <v>0</v>
      </c>
      <c r="V133" s="45">
        <f t="shared" si="57"/>
        <v>250228.00000000003</v>
      </c>
      <c r="W133" s="43" cm="1">
        <f t="array" ref="W133">_xlfn.IFNA(INDEX('1.0 Data'!$AC$9:$AC$66,MATCH($L133,'1.0 Data'!$P$9:$P$66,0),0),"")</f>
        <v>0</v>
      </c>
      <c r="Y133" s="46">
        <f t="shared" si="59"/>
        <v>0</v>
      </c>
    </row>
    <row r="134" spans="12:25" ht="16.5" thickTop="1" thickBot="1">
      <c r="L134" s="6" t="str">
        <f t="shared" ref="L134:O134" si="64">L15</f>
        <v>Asset Integration - CMMS Uplift (Placeholder)</v>
      </c>
      <c r="M134" s="6" t="str">
        <f t="shared" si="64"/>
        <v>2024/25</v>
      </c>
      <c r="N134" s="6" t="str">
        <f t="shared" si="64"/>
        <v>Transmission Assets</v>
      </c>
      <c r="O134" s="6" t="str">
        <f t="shared" si="64"/>
        <v>Replacement expenditure</v>
      </c>
      <c r="P134" s="6"/>
      <c r="Q134" s="6">
        <f>IF($W134=0,Q15,IF(Q$126=$W134,SUM($Q15:Q15),0))</f>
        <v>0</v>
      </c>
      <c r="R134" s="6">
        <f>IF($W134=0,R15,IF(R$126=$W134,SUM($Q15:R15),0))</f>
        <v>409464</v>
      </c>
      <c r="S134" s="6">
        <f>IF($W134=0,S15,IF(S$126=$W134,SUM($Q15:S15),0))</f>
        <v>0</v>
      </c>
      <c r="T134" s="6">
        <f>IF($W134=0,T15,IF(T$126=$W134,SUM($Q15:T15),0))</f>
        <v>0</v>
      </c>
      <c r="U134" s="6">
        <f>IF($W134=0,U15,IF(U$126=$W134,SUM($Q15:U15),0))</f>
        <v>0</v>
      </c>
      <c r="V134" s="45">
        <f t="shared" si="57"/>
        <v>409464</v>
      </c>
      <c r="W134" s="43" t="str" cm="1">
        <f t="array" ref="W134">_xlfn.IFNA(INDEX('1.0 Data'!$AC$9:$AC$66,MATCH($L134,'1.0 Data'!$P$9:$P$66,0),0),"")</f>
        <v>2026/27</v>
      </c>
      <c r="Y134" s="46">
        <f t="shared" si="59"/>
        <v>0</v>
      </c>
    </row>
    <row r="135" spans="12:25" ht="16.5" thickTop="1" thickBot="1">
      <c r="L135" s="6" t="str">
        <f t="shared" ref="L135:O135" si="65">L16</f>
        <v>Asset Integration - Maintenance Strategy (Placeholder)</v>
      </c>
      <c r="M135" s="6" t="str">
        <f t="shared" si="65"/>
        <v>2024/25</v>
      </c>
      <c r="N135" s="6" t="str">
        <f t="shared" si="65"/>
        <v>Transmission Assets</v>
      </c>
      <c r="O135" s="6" t="str">
        <f t="shared" si="65"/>
        <v>Replacement expenditure</v>
      </c>
      <c r="P135" s="6"/>
      <c r="Q135" s="6">
        <f>IF($W135=0,Q16,IF(Q$126=$W135,SUM($Q16:Q16),0))</f>
        <v>113740.00000000001</v>
      </c>
      <c r="R135" s="6">
        <f>IF($W135=0,R16,IF(R$126=$W135,SUM($Q16:R16),0))</f>
        <v>0</v>
      </c>
      <c r="S135" s="6">
        <f>IF($W135=0,S16,IF(S$126=$W135,SUM($Q16:S16),0))</f>
        <v>0</v>
      </c>
      <c r="T135" s="6">
        <f>IF($W135=0,T16,IF(T$126=$W135,SUM($Q16:T16),0))</f>
        <v>0</v>
      </c>
      <c r="U135" s="6">
        <f>IF($W135=0,U16,IF(U$126=$W135,SUM($Q16:U16),0))</f>
        <v>0</v>
      </c>
      <c r="V135" s="45">
        <f t="shared" ref="V135:V187" si="66">SUM(Q135:U135)</f>
        <v>113740.00000000001</v>
      </c>
      <c r="W135" s="43" cm="1">
        <f t="array" ref="W135">_xlfn.IFNA(INDEX('1.0 Data'!$AC$9:$AC$66,MATCH($L135,'1.0 Data'!$P$9:$P$66,0),0),"")</f>
        <v>0</v>
      </c>
      <c r="Y135" s="46">
        <f t="shared" si="59"/>
        <v>0</v>
      </c>
    </row>
    <row r="136" spans="12:25" ht="16.5" thickTop="1" thickBot="1">
      <c r="L136" s="6" t="str">
        <f t="shared" ref="L136:O136" si="67">L17</f>
        <v>Barn Door Replacement</v>
      </c>
      <c r="M136" s="6" t="str">
        <f t="shared" si="67"/>
        <v>2024/25</v>
      </c>
      <c r="N136" s="6" t="str">
        <f t="shared" si="67"/>
        <v>Buildings</v>
      </c>
      <c r="O136" s="6" t="str">
        <f t="shared" si="67"/>
        <v>Replacement expenditure</v>
      </c>
      <c r="P136" s="6"/>
      <c r="Q136" s="6">
        <f>IF($W136=0,Q17,IF(Q$126=$W136,SUM($Q17:Q17),0))</f>
        <v>0</v>
      </c>
      <c r="R136" s="6">
        <f>IF($W136=0,R17,IF(R$126=$W136,SUM($Q17:R17),0))</f>
        <v>0</v>
      </c>
      <c r="S136" s="6">
        <f>IF($W136=0,S17,IF(S$126=$W136,SUM($Q17:S17),0))</f>
        <v>0</v>
      </c>
      <c r="T136" s="6">
        <f>IF($W136=0,T17,IF(T$126=$W136,SUM($Q17:T17),0))</f>
        <v>0</v>
      </c>
      <c r="U136" s="6">
        <f>IF($W136=0,U17,IF(U$126=$W136,SUM($Q17:U17),0))</f>
        <v>0</v>
      </c>
      <c r="V136" s="45">
        <f t="shared" si="66"/>
        <v>0</v>
      </c>
      <c r="W136" s="43" cm="1">
        <f t="array" ref="W136">_xlfn.IFNA(INDEX('1.0 Data'!$AC$9:$AC$66,MATCH($L136,'1.0 Data'!$P$9:$P$66,0),0),"")</f>
        <v>0</v>
      </c>
      <c r="Y136" s="46">
        <f t="shared" si="59"/>
        <v>0</v>
      </c>
    </row>
    <row r="137" spans="12:25" ht="16.5" thickTop="1" thickBot="1">
      <c r="L137" s="6" t="str">
        <f t="shared" ref="L137:O137" si="68">L18</f>
        <v>Bungalora Facilities Improvements</v>
      </c>
      <c r="M137" s="6" t="str">
        <f t="shared" si="68"/>
        <v>2024/25</v>
      </c>
      <c r="N137" s="6" t="str">
        <f t="shared" si="68"/>
        <v>Buildings</v>
      </c>
      <c r="O137" s="6" t="str">
        <f t="shared" si="68"/>
        <v>Replacement expenditure</v>
      </c>
      <c r="P137" s="6"/>
      <c r="Q137" s="6">
        <f>IF($W137=0,Q18,IF(Q$126=$W137,SUM($Q18:Q18),0))</f>
        <v>125315.43354000001</v>
      </c>
      <c r="R137" s="6">
        <f>IF($W137=0,R18,IF(R$126=$W137,SUM($Q18:R18),0))</f>
        <v>0</v>
      </c>
      <c r="S137" s="6">
        <f>IF($W137=0,S18,IF(S$126=$W137,SUM($Q18:S18),0))</f>
        <v>0</v>
      </c>
      <c r="T137" s="6">
        <f>IF($W137=0,T18,IF(T$126=$W137,SUM($Q18:T18),0))</f>
        <v>0</v>
      </c>
      <c r="U137" s="6">
        <f>IF($W137=0,U18,IF(U$126=$W137,SUM($Q18:U18),0))</f>
        <v>0</v>
      </c>
      <c r="V137" s="45">
        <f t="shared" si="66"/>
        <v>125315.43354000001</v>
      </c>
      <c r="W137" s="43" cm="1">
        <f t="array" ref="W137">_xlfn.IFNA(INDEX('1.0 Data'!$AC$9:$AC$66,MATCH($L137,'1.0 Data'!$P$9:$P$66,0),0),"")</f>
        <v>0</v>
      </c>
      <c r="Y137" s="46">
        <f t="shared" si="59"/>
        <v>0</v>
      </c>
    </row>
    <row r="138" spans="12:25" ht="16.5" thickTop="1" thickBot="1">
      <c r="L138" s="6" t="str">
        <f t="shared" ref="L138:O138" si="69">L19</f>
        <v>Bungalora Storage Facilities</v>
      </c>
      <c r="M138" s="6" t="str">
        <f t="shared" si="69"/>
        <v>2024/25</v>
      </c>
      <c r="N138" s="6" t="str">
        <f t="shared" si="69"/>
        <v>Buildings</v>
      </c>
      <c r="O138" s="6" t="str">
        <f t="shared" si="69"/>
        <v>Replacement expenditure</v>
      </c>
      <c r="P138" s="6"/>
      <c r="Q138" s="6">
        <f>IF($W138=0,Q19,IF(Q$126=$W138,SUM($Q19:Q19),0))</f>
        <v>337807.8</v>
      </c>
      <c r="R138" s="6">
        <f>IF($W138=0,R19,IF(R$126=$W138,SUM($Q19:R19),0))</f>
        <v>0</v>
      </c>
      <c r="S138" s="6">
        <f>IF($W138=0,S19,IF(S$126=$W138,SUM($Q19:S19),0))</f>
        <v>0</v>
      </c>
      <c r="T138" s="6">
        <f>IF($W138=0,T19,IF(T$126=$W138,SUM($Q19:T19),0))</f>
        <v>0</v>
      </c>
      <c r="U138" s="6">
        <f>IF($W138=0,U19,IF(U$126=$W138,SUM($Q19:U19),0))</f>
        <v>0</v>
      </c>
      <c r="V138" s="45">
        <f t="shared" si="66"/>
        <v>337807.8</v>
      </c>
      <c r="W138" s="43" cm="1">
        <f t="array" ref="W138">_xlfn.IFNA(INDEX('1.0 Data'!$AC$9:$AC$66,MATCH($L138,'1.0 Data'!$P$9:$P$66,0),0),"")</f>
        <v>0</v>
      </c>
      <c r="Y138" s="46">
        <f t="shared" si="59"/>
        <v>0</v>
      </c>
    </row>
    <row r="139" spans="12:25" ht="16.5" thickTop="1" thickBot="1">
      <c r="L139" s="6" t="str">
        <f t="shared" ref="L139:O139" si="70">L20</f>
        <v>Cable Modification (Transitions) (21-25)</v>
      </c>
      <c r="M139" s="6" t="str">
        <f t="shared" si="70"/>
        <v>2024/25</v>
      </c>
      <c r="N139" s="6" t="str">
        <f t="shared" si="70"/>
        <v>Transmission Assets</v>
      </c>
      <c r="O139" s="6" t="str">
        <f t="shared" si="70"/>
        <v>Replacement expenditure</v>
      </c>
      <c r="P139" s="6"/>
      <c r="Q139" s="6">
        <f>IF($W139=0,Q20,IF(Q$126=$W139,SUM($Q20:Q20),0))</f>
        <v>0</v>
      </c>
      <c r="R139" s="6">
        <f>IF($W139=0,R20,IF(R$126=$W139,SUM($Q20:R20),0))</f>
        <v>0</v>
      </c>
      <c r="S139" s="6">
        <f>IF($W139=0,S20,IF(S$126=$W139,SUM($Q20:S20),0))</f>
        <v>0</v>
      </c>
      <c r="T139" s="6">
        <f>IF($W139=0,T20,IF(T$126=$W139,SUM($Q20:T20),0))</f>
        <v>0</v>
      </c>
      <c r="U139" s="6">
        <f>IF($W139=0,U20,IF(U$126=$W139,SUM($Q20:U20),0))</f>
        <v>0</v>
      </c>
      <c r="V139" s="45">
        <f t="shared" si="66"/>
        <v>0</v>
      </c>
      <c r="W139" s="43" cm="1">
        <f t="array" ref="W139">_xlfn.IFNA(INDEX('1.0 Data'!$AC$9:$AC$66,MATCH($L139,'1.0 Data'!$P$9:$P$66,0),0),"")</f>
        <v>0</v>
      </c>
      <c r="Y139" s="46">
        <f t="shared" si="59"/>
        <v>0</v>
      </c>
    </row>
    <row r="140" spans="12:25" ht="16.5" thickTop="1" thickBot="1">
      <c r="L140" s="6" t="str">
        <f t="shared" ref="L140:O140" si="71">L21</f>
        <v>Cable Modification (Transitions) (26-30)</v>
      </c>
      <c r="M140" s="6" t="str">
        <f t="shared" si="71"/>
        <v>2024/25</v>
      </c>
      <c r="N140" s="6" t="str">
        <f t="shared" si="71"/>
        <v>Transmission Assets</v>
      </c>
      <c r="O140" s="6" t="str">
        <f t="shared" si="71"/>
        <v>Replacement expenditure</v>
      </c>
      <c r="P140" s="6"/>
      <c r="Q140" s="6">
        <f>IF($W140=0,Q21,IF(Q$126=$W140,SUM($Q21:Q21),0))</f>
        <v>545952</v>
      </c>
      <c r="R140" s="6">
        <f>IF($W140=0,R21,IF(R$126=$W140,SUM($Q21:R21),0))</f>
        <v>0</v>
      </c>
      <c r="S140" s="6">
        <f>IF($W140=0,S21,IF(S$126=$W140,SUM($Q21:S21),0))</f>
        <v>0</v>
      </c>
      <c r="T140" s="6">
        <f>IF($W140=0,T21,IF(T$126=$W140,SUM($Q21:T21),0))</f>
        <v>0</v>
      </c>
      <c r="U140" s="6">
        <f>IF($W140=0,U21,IF(U$126=$W140,SUM($Q21:U21),0))</f>
        <v>0</v>
      </c>
      <c r="V140" s="45">
        <f t="shared" si="66"/>
        <v>545952</v>
      </c>
      <c r="W140" s="43" cm="1">
        <f t="array" ref="W140">_xlfn.IFNA(INDEX('1.0 Data'!$AC$9:$AC$66,MATCH($L140,'1.0 Data'!$P$9:$P$66,0),0),"")</f>
        <v>0</v>
      </c>
      <c r="Y140" s="46">
        <f t="shared" si="59"/>
        <v>0</v>
      </c>
    </row>
    <row r="141" spans="12:25" ht="16.5" thickTop="1" thickBot="1">
      <c r="L141" s="6" t="str">
        <f t="shared" ref="L141:O141" si="72">L22</f>
        <v>Cable Tray Install and Cable Relocation</v>
      </c>
      <c r="M141" s="6" t="str">
        <f t="shared" si="72"/>
        <v>2024/25</v>
      </c>
      <c r="N141" s="6" t="str">
        <f t="shared" si="72"/>
        <v>Transmission Assets</v>
      </c>
      <c r="O141" s="6" t="str">
        <f t="shared" si="72"/>
        <v>Replacement expenditure</v>
      </c>
      <c r="P141" s="6"/>
      <c r="Q141" s="6">
        <f>IF($W141=0,Q22,IF(Q$126=$W141,SUM($Q22:Q22),0))</f>
        <v>0</v>
      </c>
      <c r="R141" s="6">
        <f>IF($W141=0,R22,IF(R$126=$W141,SUM($Q22:R22),0))</f>
        <v>341220</v>
      </c>
      <c r="S141" s="6">
        <f>IF($W141=0,S22,IF(S$126=$W141,SUM($Q22:S22),0))</f>
        <v>0</v>
      </c>
      <c r="T141" s="6">
        <f>IF($W141=0,T22,IF(T$126=$W141,SUM($Q22:T22),0))</f>
        <v>0</v>
      </c>
      <c r="U141" s="6">
        <f>IF($W141=0,U22,IF(U$126=$W141,SUM($Q22:U22),0))</f>
        <v>0</v>
      </c>
      <c r="V141" s="45">
        <f t="shared" si="66"/>
        <v>341220</v>
      </c>
      <c r="W141" s="43" cm="1">
        <f t="array" ref="W141">_xlfn.IFNA(INDEX('1.0 Data'!$AC$9:$AC$66,MATCH($L141,'1.0 Data'!$P$9:$P$66,0),0),"")</f>
        <v>0</v>
      </c>
      <c r="Y141" s="46">
        <f t="shared" si="59"/>
        <v>0</v>
      </c>
    </row>
    <row r="142" spans="12:25" ht="16.5" thickTop="1" thickBot="1">
      <c r="L142" s="6" t="str">
        <f t="shared" ref="L142:O142" si="73">L23</f>
        <v>Cameras for Inspections</v>
      </c>
      <c r="M142" s="6" t="str">
        <f t="shared" si="73"/>
        <v>2024/25</v>
      </c>
      <c r="N142" s="6" t="str">
        <f t="shared" si="73"/>
        <v>Buildings</v>
      </c>
      <c r="O142" s="6" t="str">
        <f t="shared" si="73"/>
        <v>Replacement expenditure</v>
      </c>
      <c r="P142" s="6"/>
      <c r="Q142" s="6">
        <f>IF($W142=0,Q23,IF(Q$126=$W142,SUM($Q23:Q23),0))</f>
        <v>0</v>
      </c>
      <c r="R142" s="6">
        <f>IF($W142=0,R23,IF(R$126=$W142,SUM($Q23:R23),0))</f>
        <v>0</v>
      </c>
      <c r="S142" s="6">
        <f>IF($W142=0,S23,IF(S$126=$W142,SUM($Q23:S23),0))</f>
        <v>88190.356320000006</v>
      </c>
      <c r="T142" s="6">
        <f>IF($W142=0,T23,IF(T$126=$W142,SUM($Q23:T23),0))</f>
        <v>0</v>
      </c>
      <c r="U142" s="6">
        <f>IF($W142=0,U23,IF(U$126=$W142,SUM($Q23:U23),0))</f>
        <v>0</v>
      </c>
      <c r="V142" s="45">
        <f t="shared" si="66"/>
        <v>88190.356320000006</v>
      </c>
      <c r="W142" s="43" cm="1">
        <f t="array" ref="W142">_xlfn.IFNA(INDEX('1.0 Data'!$AC$9:$AC$66,MATCH($L142,'1.0 Data'!$P$9:$P$66,0),0),"")</f>
        <v>0</v>
      </c>
      <c r="Y142" s="46">
        <f t="shared" si="59"/>
        <v>0</v>
      </c>
    </row>
    <row r="143" spans="12:25" ht="16.5" thickTop="1" thickBot="1">
      <c r="L143" s="6" t="str">
        <f t="shared" ref="L143:O143" si="74">L24</f>
        <v>Circuit Breakers</v>
      </c>
      <c r="M143" s="6" t="str">
        <f t="shared" si="74"/>
        <v>2024/25</v>
      </c>
      <c r="N143" s="6" t="str">
        <f t="shared" si="74"/>
        <v>Transmission Assets</v>
      </c>
      <c r="O143" s="6" t="str">
        <f t="shared" si="74"/>
        <v>Replacement expenditure</v>
      </c>
      <c r="P143" s="6"/>
      <c r="Q143" s="6">
        <f>IF($W143=0,Q24,IF(Q$126=$W143,SUM($Q24:Q24),0))</f>
        <v>136488</v>
      </c>
      <c r="R143" s="6">
        <f>IF($W143=0,R24,IF(R$126=$W143,SUM($Q24:R24),0))</f>
        <v>409464.00000000006</v>
      </c>
      <c r="S143" s="6">
        <f>IF($W143=0,S24,IF(S$126=$W143,SUM($Q24:S24),0))</f>
        <v>682440</v>
      </c>
      <c r="T143" s="6">
        <f>IF($W143=0,T24,IF(T$126=$W143,SUM($Q24:T24),0))</f>
        <v>136488</v>
      </c>
      <c r="U143" s="6">
        <f>IF($W143=0,U24,IF(U$126=$W143,SUM($Q24:U24),0))</f>
        <v>290285.40815999999</v>
      </c>
      <c r="V143" s="45">
        <f t="shared" si="66"/>
        <v>1655165.4081600001</v>
      </c>
      <c r="W143" s="43" cm="1">
        <f t="array" ref="W143">_xlfn.IFNA(INDEX('1.0 Data'!$AC$9:$AC$66,MATCH($L143,'1.0 Data'!$P$9:$P$66,0),0),"")</f>
        <v>0</v>
      </c>
      <c r="Y143" s="46">
        <f t="shared" si="59"/>
        <v>0</v>
      </c>
    </row>
    <row r="144" spans="12:25" ht="16.5" thickTop="1" thickBot="1">
      <c r="L144" s="6" t="str">
        <f t="shared" ref="L144:O144" si="75">L25</f>
        <v>Cooling Tower Fans</v>
      </c>
      <c r="M144" s="6" t="str">
        <f t="shared" si="75"/>
        <v>2024/25</v>
      </c>
      <c r="N144" s="6" t="str">
        <f t="shared" si="75"/>
        <v>Transmission Assets</v>
      </c>
      <c r="O144" s="6" t="str">
        <f t="shared" si="75"/>
        <v>Replacement expenditure</v>
      </c>
      <c r="P144" s="6"/>
      <c r="Q144" s="6">
        <f>IF($W144=0,Q25,IF(Q$126=$W144,SUM($Q25:Q25),0))</f>
        <v>119179.05171232164</v>
      </c>
      <c r="R144" s="6">
        <f>IF($W144=0,R25,IF(R$126=$W144,SUM($Q25:R25),0))</f>
        <v>120477.6588011096</v>
      </c>
      <c r="S144" s="6">
        <f>IF($W144=0,S25,IF(S$126=$W144,SUM($Q25:S25),0))</f>
        <v>121563.93291374719</v>
      </c>
      <c r="T144" s="6">
        <f>IF($W144=0,T25,IF(T$126=$W144,SUM($Q25:T25),0))</f>
        <v>122997.77898084531</v>
      </c>
      <c r="U144" s="6">
        <f>IF($W144=0,U25,IF(U$126=$W144,SUM($Q25:U25),0))</f>
        <v>124633.59898971194</v>
      </c>
      <c r="V144" s="45">
        <f t="shared" si="66"/>
        <v>608852.02139773569</v>
      </c>
      <c r="W144" s="43" cm="1">
        <f t="array" ref="W144">_xlfn.IFNA(INDEX('1.0 Data'!$AC$9:$AC$66,MATCH($L144,'1.0 Data'!$P$9:$P$66,0),0),"")</f>
        <v>0</v>
      </c>
      <c r="Y144" s="46">
        <f t="shared" si="59"/>
        <v>0</v>
      </c>
    </row>
    <row r="145" spans="12:25" ht="16.5" thickTop="1" thickBot="1">
      <c r="L145" s="6" t="str">
        <f t="shared" ref="L145:O145" si="76">L26</f>
        <v>Cooling Tower Sound Enclosure and Roofing Corrosion Management</v>
      </c>
      <c r="M145" s="6" t="str">
        <f t="shared" si="76"/>
        <v>2024/25</v>
      </c>
      <c r="N145" s="6" t="str">
        <f t="shared" si="76"/>
        <v>Buildings</v>
      </c>
      <c r="O145" s="6" t="str">
        <f t="shared" si="76"/>
        <v>Replacement expenditure</v>
      </c>
      <c r="P145" s="6"/>
      <c r="Q145" s="6">
        <f>IF($W145=0,Q26,IF(Q$126=$W145,SUM($Q26:Q26),0))</f>
        <v>0</v>
      </c>
      <c r="R145" s="6">
        <f>IF($W145=0,R26,IF(R$126=$W145,SUM($Q26:R26),0))</f>
        <v>0</v>
      </c>
      <c r="S145" s="6">
        <f>IF($W145=0,S26,IF(S$126=$W145,SUM($Q26:S26),0))</f>
        <v>0</v>
      </c>
      <c r="T145" s="6">
        <f>IF($W145=0,T26,IF(T$126=$W145,SUM($Q26:T26),0))</f>
        <v>988043.04668013402</v>
      </c>
      <c r="U145" s="6">
        <f>IF($W145=0,U26,IF(U$126=$W145,SUM($Q26:U26),0))</f>
        <v>0</v>
      </c>
      <c r="V145" s="45">
        <f t="shared" si="66"/>
        <v>988043.04668013402</v>
      </c>
      <c r="W145" s="43" cm="1">
        <f t="array" ref="W145">_xlfn.IFNA(INDEX('1.0 Data'!$AC$9:$AC$66,MATCH($L145,'1.0 Data'!$P$9:$P$66,0),0),"")</f>
        <v>0</v>
      </c>
      <c r="Y145" s="46">
        <f t="shared" si="59"/>
        <v>0</v>
      </c>
    </row>
    <row r="146" spans="12:25" ht="16.5" thickTop="1" thickBot="1">
      <c r="L146" s="6" t="str">
        <f t="shared" ref="L146:O146" si="77">L27</f>
        <v>Corporate Upgrade of Telstra Network</v>
      </c>
      <c r="M146" s="6" t="str">
        <f t="shared" si="77"/>
        <v>2024/25</v>
      </c>
      <c r="N146" s="6" t="str">
        <f t="shared" si="77"/>
        <v>Buildings</v>
      </c>
      <c r="O146" s="6" t="str">
        <f t="shared" si="77"/>
        <v>Replacement expenditure</v>
      </c>
      <c r="P146" s="6"/>
      <c r="Q146" s="6">
        <f>IF($W146=0,Q27,IF(Q$126=$W146,SUM($Q27:Q27),0))</f>
        <v>0</v>
      </c>
      <c r="R146" s="6">
        <f>IF($W146=0,R27,IF(R$126=$W146,SUM($Q27:R27),0))</f>
        <v>0</v>
      </c>
      <c r="S146" s="6">
        <f>IF($W146=0,S27,IF(S$126=$W146,SUM($Q27:S27),0))</f>
        <v>0</v>
      </c>
      <c r="T146" s="6">
        <f>IF($W146=0,T27,IF(T$126=$W146,SUM($Q27:T27),0))</f>
        <v>0</v>
      </c>
      <c r="U146" s="6">
        <f>IF($W146=0,U27,IF(U$126=$W146,SUM($Q27:U27),0))</f>
        <v>0</v>
      </c>
      <c r="V146" s="45">
        <f t="shared" si="66"/>
        <v>0</v>
      </c>
      <c r="W146" s="43" cm="1">
        <f t="array" ref="W146">_xlfn.IFNA(INDEX('1.0 Data'!$AC$9:$AC$66,MATCH($L146,'1.0 Data'!$P$9:$P$66,0),0),"")</f>
        <v>0</v>
      </c>
      <c r="Y146" s="46">
        <f t="shared" si="59"/>
        <v>0</v>
      </c>
    </row>
    <row r="147" spans="12:25" ht="16.5" thickTop="1" thickBot="1">
      <c r="L147" s="6" t="str">
        <f t="shared" ref="L147:O147" si="78">L28</f>
        <v>DC disconnectors</v>
      </c>
      <c r="M147" s="6" t="str">
        <f t="shared" si="78"/>
        <v>2024/25</v>
      </c>
      <c r="N147" s="6" t="str">
        <f t="shared" si="78"/>
        <v>Transmission Assets</v>
      </c>
      <c r="O147" s="6" t="str">
        <f t="shared" si="78"/>
        <v>Replacement expenditure</v>
      </c>
      <c r="P147" s="6"/>
      <c r="Q147" s="6">
        <f>IF($W147=0,Q28,IF(Q$126=$W147,SUM($Q28:Q28),0))</f>
        <v>446656.98000000016</v>
      </c>
      <c r="R147" s="6">
        <f>IF($W147=0,R28,IF(R$126=$W147,SUM($Q28:R28),0))</f>
        <v>0</v>
      </c>
      <c r="S147" s="6">
        <f>IF($W147=0,S28,IF(S$126=$W147,SUM($Q28:S28),0))</f>
        <v>0</v>
      </c>
      <c r="T147" s="6">
        <f>IF($W147=0,T28,IF(T$126=$W147,SUM($Q28:T28),0))</f>
        <v>0</v>
      </c>
      <c r="U147" s="6">
        <f>IF($W147=0,U28,IF(U$126=$W147,SUM($Q28:U28),0))</f>
        <v>0</v>
      </c>
      <c r="V147" s="45">
        <f t="shared" si="66"/>
        <v>446656.98000000016</v>
      </c>
      <c r="W147" s="43" cm="1">
        <f t="array" ref="W147">_xlfn.IFNA(INDEX('1.0 Data'!$AC$9:$AC$66,MATCH($L147,'1.0 Data'!$P$9:$P$66,0),0),"")</f>
        <v>0</v>
      </c>
      <c r="Y147" s="46">
        <f t="shared" si="59"/>
        <v>0</v>
      </c>
    </row>
    <row r="148" spans="12:25" ht="16.5" thickTop="1" thickBot="1">
      <c r="L148" s="6" t="str">
        <f t="shared" ref="L148:O148" si="79">L29</f>
        <v>Dehumidifier Spares in VCU</v>
      </c>
      <c r="M148" s="6" t="str">
        <f t="shared" si="79"/>
        <v>2024/25</v>
      </c>
      <c r="N148" s="6" t="str">
        <f t="shared" si="79"/>
        <v>Transmission Assets</v>
      </c>
      <c r="O148" s="6" t="str">
        <f t="shared" si="79"/>
        <v>Replacement expenditure</v>
      </c>
      <c r="P148" s="6"/>
      <c r="Q148" s="6">
        <f>IF($W148=0,Q29,IF(Q$126=$W148,SUM($Q29:Q29),0))</f>
        <v>0</v>
      </c>
      <c r="R148" s="6">
        <f>IF($W148=0,R29,IF(R$126=$W148,SUM($Q29:R29),0))</f>
        <v>0</v>
      </c>
      <c r="S148" s="6">
        <f>IF($W148=0,S29,IF(S$126=$W148,SUM($Q29:S29),0))</f>
        <v>0</v>
      </c>
      <c r="T148" s="6">
        <f>IF($W148=0,T29,IF(T$126=$W148,SUM($Q29:T29),0))</f>
        <v>0</v>
      </c>
      <c r="U148" s="6">
        <f>IF($W148=0,U29,IF(U$126=$W148,SUM($Q29:U29),0))</f>
        <v>0</v>
      </c>
      <c r="V148" s="45">
        <f t="shared" si="66"/>
        <v>0</v>
      </c>
      <c r="W148" s="43" cm="1">
        <f t="array" ref="W148">_xlfn.IFNA(INDEX('1.0 Data'!$AC$9:$AC$66,MATCH($L148,'1.0 Data'!$P$9:$P$66,0),0),"")</f>
        <v>0</v>
      </c>
      <c r="Y148" s="46">
        <f t="shared" si="59"/>
        <v>0</v>
      </c>
    </row>
    <row r="149" spans="12:25" ht="16.5" thickTop="1" thickBot="1">
      <c r="L149" s="6" t="str">
        <f t="shared" ref="L149:O149" si="80">L30</f>
        <v>Environmental Damage from Landslips</v>
      </c>
      <c r="M149" s="6" t="str">
        <f t="shared" si="80"/>
        <v>2024/25</v>
      </c>
      <c r="N149" s="6" t="str">
        <f t="shared" si="80"/>
        <v>Easements</v>
      </c>
      <c r="O149" s="6" t="str">
        <f t="shared" si="80"/>
        <v>Replacement expenditure</v>
      </c>
      <c r="P149" s="6"/>
      <c r="Q149" s="6">
        <f>IF($W149=0,Q30,IF(Q$126=$W149,SUM($Q30:Q30),0))</f>
        <v>179367.98</v>
      </c>
      <c r="R149" s="6">
        <f>IF($W149=0,R30,IF(R$126=$W149,SUM($Q30:R30),0))</f>
        <v>0</v>
      </c>
      <c r="S149" s="6">
        <f>IF($W149=0,S30,IF(S$126=$W149,SUM($Q30:S30),0))</f>
        <v>0</v>
      </c>
      <c r="T149" s="6">
        <f>IF($W149=0,T30,IF(T$126=$W149,SUM($Q30:T30),0))</f>
        <v>0</v>
      </c>
      <c r="U149" s="6">
        <f>IF($W149=0,U30,IF(U$126=$W149,SUM($Q30:U30),0))</f>
        <v>0</v>
      </c>
      <c r="V149" s="45">
        <f t="shared" si="66"/>
        <v>179367.98</v>
      </c>
      <c r="W149" s="43" cm="1">
        <f t="array" ref="W149">_xlfn.IFNA(INDEX('1.0 Data'!$AC$9:$AC$66,MATCH($L149,'1.0 Data'!$P$9:$P$66,0),0),"")</f>
        <v>0</v>
      </c>
      <c r="Y149" s="46">
        <f t="shared" si="59"/>
        <v>0</v>
      </c>
    </row>
    <row r="150" spans="12:25" ht="16.5" thickTop="1" thickBot="1">
      <c r="L150" s="6" t="str">
        <f t="shared" ref="L150:O150" si="81">L31</f>
        <v>Environmental Damage from Landslips (Emergency Works)</v>
      </c>
      <c r="M150" s="6" t="str">
        <f t="shared" si="81"/>
        <v>2024/25</v>
      </c>
      <c r="N150" s="6" t="str">
        <f t="shared" si="81"/>
        <v>Easements</v>
      </c>
      <c r="O150" s="6" t="str">
        <f t="shared" si="81"/>
        <v>Replacement expenditure</v>
      </c>
      <c r="P150" s="6"/>
      <c r="Q150" s="6">
        <f>IF($W150=0,Q31,IF(Q$126=$W150,SUM($Q31:Q31),0))</f>
        <v>0</v>
      </c>
      <c r="R150" s="6">
        <f>IF($W150=0,R31,IF(R$126=$W150,SUM($Q31:R31),0))</f>
        <v>0</v>
      </c>
      <c r="S150" s="6">
        <f>IF($W150=0,S31,IF(S$126=$W150,SUM($Q31:S31),0))</f>
        <v>0</v>
      </c>
      <c r="T150" s="6">
        <f>IF($W150=0,T31,IF(T$126=$W150,SUM($Q31:T31),0))</f>
        <v>0</v>
      </c>
      <c r="U150" s="6">
        <f>IF($W150=0,U31,IF(U$126=$W150,SUM($Q31:U31),0))</f>
        <v>0</v>
      </c>
      <c r="V150" s="45">
        <f t="shared" si="66"/>
        <v>0</v>
      </c>
      <c r="W150" s="43" cm="1">
        <f t="array" ref="W150">_xlfn.IFNA(INDEX('1.0 Data'!$AC$9:$AC$66,MATCH($L150,'1.0 Data'!$P$9:$P$66,0),0),"")</f>
        <v>0</v>
      </c>
      <c r="Y150" s="46">
        <f t="shared" si="59"/>
        <v>0</v>
      </c>
    </row>
    <row r="151" spans="12:25" ht="16.5" thickTop="1" thickBot="1">
      <c r="L151" s="6" t="str">
        <f t="shared" ref="L151:O151" si="82">L32</f>
        <v>Fibre Cables</v>
      </c>
      <c r="M151" s="6" t="str">
        <f t="shared" si="82"/>
        <v>2024/25</v>
      </c>
      <c r="N151" s="6" t="str">
        <f t="shared" si="82"/>
        <v>Transmission Assets</v>
      </c>
      <c r="O151" s="6" t="str">
        <f t="shared" si="82"/>
        <v>Replacement expenditure</v>
      </c>
      <c r="P151" s="6"/>
      <c r="Q151" s="6">
        <f>IF($W151=0,Q32,IF(Q$126=$W151,SUM($Q32:Q32),0))</f>
        <v>0</v>
      </c>
      <c r="R151" s="6">
        <f>IF($W151=0,R32,IF(R$126=$W151,SUM($Q32:R32),0))</f>
        <v>0</v>
      </c>
      <c r="S151" s="6">
        <f>IF($W151=0,S32,IF(S$126=$W151,SUM($Q32:S32),0))</f>
        <v>0</v>
      </c>
      <c r="T151" s="6">
        <f>IF($W151=0,T32,IF(T$126=$W151,SUM($Q32:T32),0))</f>
        <v>0</v>
      </c>
      <c r="U151" s="6">
        <f>IF($W151=0,U32,IF(U$126=$W151,SUM($Q32:U32),0))</f>
        <v>0</v>
      </c>
      <c r="V151" s="45">
        <f t="shared" si="66"/>
        <v>0</v>
      </c>
      <c r="W151" s="43" cm="1">
        <f t="array" ref="W151">_xlfn.IFNA(INDEX('1.0 Data'!$AC$9:$AC$66,MATCH($L151,'1.0 Data'!$P$9:$P$66,0),0),"")</f>
        <v>0</v>
      </c>
      <c r="Y151" s="46">
        <f t="shared" si="59"/>
        <v>0</v>
      </c>
    </row>
    <row r="152" spans="12:25" ht="16.5" thickTop="1" thickBot="1">
      <c r="L152" s="6" t="str">
        <f t="shared" ref="L152:O152" si="83">L33</f>
        <v>Fire System Upgrades (2020-25)</v>
      </c>
      <c r="M152" s="6" t="str">
        <f t="shared" si="83"/>
        <v>2024/25</v>
      </c>
      <c r="N152" s="6" t="str">
        <f t="shared" si="83"/>
        <v>Transmission Assets</v>
      </c>
      <c r="O152" s="6" t="str">
        <f t="shared" si="83"/>
        <v>Replacement expenditure</v>
      </c>
      <c r="P152" s="6"/>
      <c r="Q152" s="6">
        <f>IF($W152=0,Q33,IF(Q$126=$W152,SUM($Q33:Q33),0))</f>
        <v>0</v>
      </c>
      <c r="R152" s="6">
        <f>IF($W152=0,R33,IF(R$126=$W152,SUM($Q33:R33),0))</f>
        <v>0</v>
      </c>
      <c r="S152" s="6">
        <f>IF($W152=0,S33,IF(S$126=$W152,SUM($Q33:S33),0))</f>
        <v>0</v>
      </c>
      <c r="T152" s="6">
        <f>IF($W152=0,T33,IF(T$126=$W152,SUM($Q33:T33),0))</f>
        <v>0</v>
      </c>
      <c r="U152" s="6">
        <f>IF($W152=0,U33,IF(U$126=$W152,SUM($Q33:U33),0))</f>
        <v>0</v>
      </c>
      <c r="V152" s="45">
        <f t="shared" si="66"/>
        <v>0</v>
      </c>
      <c r="W152" s="43" cm="1">
        <f t="array" ref="W152">_xlfn.IFNA(INDEX('1.0 Data'!$AC$9:$AC$66,MATCH($L152,'1.0 Data'!$P$9:$P$66,0),0),"")</f>
        <v>0</v>
      </c>
      <c r="Y152" s="46">
        <f t="shared" si="59"/>
        <v>0</v>
      </c>
    </row>
    <row r="153" spans="12:25" ht="16.5" thickTop="1" thickBot="1">
      <c r="L153" s="6" t="str">
        <f t="shared" ref="L153:O153" si="84">L34</f>
        <v>Fire System Upgrades (2026-30)</v>
      </c>
      <c r="M153" s="6" t="str">
        <f t="shared" si="84"/>
        <v>2024/25</v>
      </c>
      <c r="N153" s="6" t="str">
        <f t="shared" si="84"/>
        <v>Transmission Assets</v>
      </c>
      <c r="O153" s="6" t="str">
        <f t="shared" si="84"/>
        <v>Replacement expenditure</v>
      </c>
      <c r="P153" s="6"/>
      <c r="Q153" s="6">
        <f>IF($W153=0,Q34,IF(Q$126=$W153,SUM($Q34:Q34),0))</f>
        <v>0</v>
      </c>
      <c r="R153" s="6">
        <f>IF($W153=0,R34,IF(R$126=$W153,SUM($Q34:R34),0))</f>
        <v>0</v>
      </c>
      <c r="S153" s="6">
        <f>IF($W153=0,S34,IF(S$126=$W153,SUM($Q34:S34),0))</f>
        <v>214968.60000000003</v>
      </c>
      <c r="T153" s="6">
        <f>IF($W153=0,T34,IF(T$126=$W153,SUM($Q34:T34),0))</f>
        <v>214968.60000000003</v>
      </c>
      <c r="U153" s="6">
        <f>IF($W153=0,U34,IF(U$126=$W153,SUM($Q34:U34),0))</f>
        <v>214968.60000000003</v>
      </c>
      <c r="V153" s="45">
        <f t="shared" si="66"/>
        <v>644905.80000000005</v>
      </c>
      <c r="W153" s="43" cm="1">
        <f t="array" ref="W153">_xlfn.IFNA(INDEX('1.0 Data'!$AC$9:$AC$66,MATCH($L153,'1.0 Data'!$P$9:$P$66,0),0),"")</f>
        <v>0</v>
      </c>
      <c r="Y153" s="46">
        <f t="shared" si="59"/>
        <v>0</v>
      </c>
    </row>
    <row r="154" spans="12:25" ht="16.5" thickTop="1" thickBot="1">
      <c r="L154" s="6" t="str">
        <f t="shared" ref="L154:O154" si="85">L35</f>
        <v>HV circuit breakers crank housing</v>
      </c>
      <c r="M154" s="6" t="str">
        <f t="shared" si="85"/>
        <v>2024/25</v>
      </c>
      <c r="N154" s="6" t="str">
        <f t="shared" si="85"/>
        <v>Transmission Assets</v>
      </c>
      <c r="O154" s="6" t="str">
        <f t="shared" si="85"/>
        <v>Replacement expenditure</v>
      </c>
      <c r="P154" s="6"/>
      <c r="Q154" s="6">
        <f>IF($W154=0,Q35,IF(Q$126=$W154,SUM($Q35:Q35),0))</f>
        <v>0</v>
      </c>
      <c r="R154" s="6">
        <f>IF($W154=0,R35,IF(R$126=$W154,SUM($Q35:R35),0))</f>
        <v>0</v>
      </c>
      <c r="S154" s="6">
        <f>IF($W154=0,S35,IF(S$126=$W154,SUM($Q35:S35),0))</f>
        <v>0</v>
      </c>
      <c r="T154" s="6">
        <f>IF($W154=0,T35,IF(T$126=$W154,SUM($Q35:T35),0))</f>
        <v>0</v>
      </c>
      <c r="U154" s="6">
        <f>IF($W154=0,U35,IF(U$126=$W154,SUM($Q35:U35),0))</f>
        <v>0</v>
      </c>
      <c r="V154" s="45">
        <f t="shared" si="66"/>
        <v>0</v>
      </c>
      <c r="W154" s="43" cm="1">
        <f t="array" ref="W154">_xlfn.IFNA(INDEX('1.0 Data'!$AC$9:$AC$66,MATCH($L154,'1.0 Data'!$P$9:$P$66,0),0),"")</f>
        <v>0</v>
      </c>
      <c r="Y154" s="46">
        <f t="shared" si="59"/>
        <v>0</v>
      </c>
    </row>
    <row r="155" spans="12:25" ht="16.5" thickTop="1" thickBot="1">
      <c r="L155" s="6" t="str">
        <f t="shared" ref="L155:O155" si="86">L36</f>
        <v>HVDC Spare Cable Management</v>
      </c>
      <c r="M155" s="6" t="str">
        <f t="shared" si="86"/>
        <v>2024/25</v>
      </c>
      <c r="N155" s="6" t="str">
        <f t="shared" si="86"/>
        <v>Transmission Assets</v>
      </c>
      <c r="O155" s="6" t="str">
        <f t="shared" si="86"/>
        <v>Replacement expenditure</v>
      </c>
      <c r="P155" s="6"/>
      <c r="Q155" s="6">
        <f>IF($W155=0,Q36,IF(Q$126=$W155,SUM($Q36:Q36),0))</f>
        <v>0</v>
      </c>
      <c r="R155" s="6">
        <f>IF($W155=0,R36,IF(R$126=$W155,SUM($Q36:R36),0))</f>
        <v>0</v>
      </c>
      <c r="S155" s="6">
        <f>IF($W155=0,S36,IF(S$126=$W155,SUM($Q36:S36),0))</f>
        <v>0</v>
      </c>
      <c r="T155" s="6">
        <f>IF($W155=0,T36,IF(T$126=$W155,SUM($Q36:T36),0))</f>
        <v>0</v>
      </c>
      <c r="U155" s="6">
        <f>IF($W155=0,U36,IF(U$126=$W155,SUM($Q36:U36),0))</f>
        <v>0</v>
      </c>
      <c r="V155" s="45">
        <f t="shared" si="66"/>
        <v>0</v>
      </c>
      <c r="W155" s="43" cm="1">
        <f t="array" ref="W155">_xlfn.IFNA(INDEX('1.0 Data'!$AC$9:$AC$66,MATCH($L155,'1.0 Data'!$P$9:$P$66,0),0),"")</f>
        <v>0</v>
      </c>
      <c r="Y155" s="46">
        <f t="shared" si="59"/>
        <v>0</v>
      </c>
    </row>
    <row r="156" spans="12:25" ht="16.5" thickTop="1" thickBot="1">
      <c r="L156" s="6" t="str">
        <f t="shared" ref="L156:O156" si="87">L37</f>
        <v>HVDC Spare Cable Order</v>
      </c>
      <c r="M156" s="6" t="str">
        <f t="shared" si="87"/>
        <v>2024/25</v>
      </c>
      <c r="N156" s="6" t="str">
        <f t="shared" si="87"/>
        <v>Transmission Assets</v>
      </c>
      <c r="O156" s="6" t="str">
        <f t="shared" si="87"/>
        <v>Replacement expenditure</v>
      </c>
      <c r="P156" s="6"/>
      <c r="Q156" s="6">
        <f>IF($W156=0,Q37,IF(Q$126=$W156,SUM($Q37:Q37),0))</f>
        <v>0</v>
      </c>
      <c r="R156" s="6">
        <f>IF($W156=0,R37,IF(R$126=$W156,SUM($Q37:R37),0))</f>
        <v>0</v>
      </c>
      <c r="S156" s="6">
        <f>IF($W156=0,S37,IF(S$126=$W156,SUM($Q37:S37),0))</f>
        <v>0</v>
      </c>
      <c r="T156" s="6">
        <f>IF($W156=0,T37,IF(T$126=$W156,SUM($Q37:T37),0))</f>
        <v>0</v>
      </c>
      <c r="U156" s="6">
        <f>IF($W156=0,U37,IF(U$126=$W156,SUM($Q37:U37),0))</f>
        <v>0</v>
      </c>
      <c r="V156" s="45">
        <f t="shared" si="66"/>
        <v>0</v>
      </c>
      <c r="W156" s="43" cm="1">
        <f t="array" ref="W156">_xlfn.IFNA(INDEX('1.0 Data'!$AC$9:$AC$66,MATCH($L156,'1.0 Data'!$P$9:$P$66,0),0),"")</f>
        <v>0</v>
      </c>
      <c r="Y156" s="46">
        <f t="shared" si="59"/>
        <v>0</v>
      </c>
    </row>
    <row r="157" spans="12:25" ht="16.5" thickTop="1" thickBot="1">
      <c r="L157" s="6" t="str">
        <f t="shared" ref="L157:O157" si="88">L38</f>
        <v>IGBT Generation 3 Upgrade</v>
      </c>
      <c r="M157" s="6" t="str">
        <f t="shared" si="88"/>
        <v>2024/25</v>
      </c>
      <c r="N157" s="6" t="str">
        <f t="shared" si="88"/>
        <v>Transmission Assets</v>
      </c>
      <c r="O157" s="6" t="str">
        <f t="shared" si="88"/>
        <v>Replacement expenditure</v>
      </c>
      <c r="P157" s="6"/>
      <c r="Q157" s="6">
        <f>IF($W157=0,Q38,IF(Q$126=$W157,SUM($Q38:Q38),0))</f>
        <v>6058148.406200001</v>
      </c>
      <c r="R157" s="6">
        <f>IF($W157=0,R38,IF(R$126=$W157,SUM($Q38:R38),0))</f>
        <v>0</v>
      </c>
      <c r="S157" s="6">
        <f>IF($W157=0,S38,IF(S$126=$W157,SUM($Q38:S38),0))</f>
        <v>0</v>
      </c>
      <c r="T157" s="6">
        <f>IF($W157=0,T38,IF(T$126=$W157,SUM($Q38:T38),0))</f>
        <v>0</v>
      </c>
      <c r="U157" s="6">
        <f>IF($W157=0,U38,IF(U$126=$W157,SUM($Q38:U38),0))</f>
        <v>0</v>
      </c>
      <c r="V157" s="45">
        <f t="shared" si="66"/>
        <v>6058148.406200001</v>
      </c>
      <c r="W157" s="43" cm="1">
        <f t="array" ref="W157">_xlfn.IFNA(INDEX('1.0 Data'!$AC$9:$AC$66,MATCH($L157,'1.0 Data'!$P$9:$P$66,0),0),"")</f>
        <v>0</v>
      </c>
      <c r="Y157" s="46">
        <f t="shared" si="59"/>
        <v>0</v>
      </c>
    </row>
    <row r="158" spans="12:25" ht="16.5" thickTop="1" thickBot="1">
      <c r="L158" s="6" t="str">
        <f t="shared" ref="L158:O158" si="89">L39</f>
        <v>IGBT Spares</v>
      </c>
      <c r="M158" s="6" t="str">
        <f t="shared" si="89"/>
        <v>2024/25</v>
      </c>
      <c r="N158" s="6" t="str">
        <f t="shared" si="89"/>
        <v>Transmission Assets</v>
      </c>
      <c r="O158" s="6" t="str">
        <f t="shared" si="89"/>
        <v>Replacement expenditure</v>
      </c>
      <c r="P158" s="6"/>
      <c r="Q158" s="6">
        <f>IF($W158=0,Q39,IF(Q$126=$W158,SUM($Q39:Q39),0))</f>
        <v>0</v>
      </c>
      <c r="R158" s="6">
        <f>IF($W158=0,R39,IF(R$126=$W158,SUM($Q39:R39),0))</f>
        <v>0</v>
      </c>
      <c r="S158" s="6">
        <f>IF($W158=0,S39,IF(S$126=$W158,SUM($Q39:S39),0))</f>
        <v>0</v>
      </c>
      <c r="T158" s="6">
        <f>IF($W158=0,T39,IF(T$126=$W158,SUM($Q39:T39),0))</f>
        <v>0</v>
      </c>
      <c r="U158" s="6">
        <f>IF($W158=0,U39,IF(U$126=$W158,SUM($Q39:U39),0))</f>
        <v>0</v>
      </c>
      <c r="V158" s="45">
        <f t="shared" si="66"/>
        <v>0</v>
      </c>
      <c r="W158" s="43" cm="1">
        <f t="array" ref="W158">_xlfn.IFNA(INDEX('1.0 Data'!$AC$9:$AC$66,MATCH($L158,'1.0 Data'!$P$9:$P$66,0),0),"")</f>
        <v>0</v>
      </c>
      <c r="Y158" s="46">
        <f t="shared" si="59"/>
        <v>0</v>
      </c>
    </row>
    <row r="159" spans="12:25" ht="16.5" thickTop="1" thickBot="1">
      <c r="L159" s="6" t="str">
        <f t="shared" ref="L159:O159" si="90">L40</f>
        <v>IGBT Water Cooling System Midlife Refurbishment</v>
      </c>
      <c r="M159" s="6" t="str">
        <f t="shared" si="90"/>
        <v>2024/25</v>
      </c>
      <c r="N159" s="6" t="str">
        <f t="shared" si="90"/>
        <v>Transmission Assets</v>
      </c>
      <c r="O159" s="6" t="str">
        <f t="shared" si="90"/>
        <v>Replacement expenditure</v>
      </c>
      <c r="P159" s="6"/>
      <c r="Q159" s="6">
        <f>IF($W159=0,Q40,IF(Q$126=$W159,SUM($Q40:Q40),0))</f>
        <v>68244</v>
      </c>
      <c r="R159" s="6">
        <f>IF($W159=0,R40,IF(R$126=$W159,SUM($Q40:R40),0))</f>
        <v>68244</v>
      </c>
      <c r="S159" s="6">
        <f>IF($W159=0,S40,IF(S$126=$W159,SUM($Q40:S40),0))</f>
        <v>154231.44</v>
      </c>
      <c r="T159" s="6">
        <f>IF($W159=0,T40,IF(T$126=$W159,SUM($Q40:T40),0))</f>
        <v>477708.00000000006</v>
      </c>
      <c r="U159" s="6">
        <f>IF($W159=0,U40,IF(U$126=$W159,SUM($Q40:U40),0))</f>
        <v>68244</v>
      </c>
      <c r="V159" s="45">
        <f t="shared" si="66"/>
        <v>836671.44000000006</v>
      </c>
      <c r="W159" s="43" cm="1">
        <f t="array" ref="W159">_xlfn.IFNA(INDEX('1.0 Data'!$AC$9:$AC$66,MATCH($L159,'1.0 Data'!$P$9:$P$66,0),0),"")</f>
        <v>0</v>
      </c>
      <c r="Y159" s="46">
        <f t="shared" si="59"/>
        <v>0</v>
      </c>
    </row>
    <row r="160" spans="12:25" ht="16.5" thickTop="1" thickBot="1">
      <c r="L160" s="6" t="str">
        <f t="shared" ref="L160:O160" si="91">L41</f>
        <v>Incoming Capacitors</v>
      </c>
      <c r="M160" s="6" t="str">
        <f t="shared" si="91"/>
        <v>2024/25</v>
      </c>
      <c r="N160" s="6" t="str">
        <f t="shared" si="91"/>
        <v>Transmission Assets</v>
      </c>
      <c r="O160" s="6" t="str">
        <f t="shared" si="91"/>
        <v>Replacement expenditure</v>
      </c>
      <c r="P160" s="6"/>
      <c r="Q160" s="6">
        <f>IF($W160=0,Q41,IF(Q$126=$W160,SUM($Q41:Q41),0))</f>
        <v>0</v>
      </c>
      <c r="R160" s="6">
        <f>IF($W160=0,R41,IF(R$126=$W160,SUM($Q41:R41),0))</f>
        <v>0</v>
      </c>
      <c r="S160" s="6">
        <f>IF($W160=0,S41,IF(S$126=$W160,SUM($Q41:S41),0))</f>
        <v>0</v>
      </c>
      <c r="T160" s="6">
        <f>IF($W160=0,T41,IF(T$126=$W160,SUM($Q41:T41),0))</f>
        <v>0</v>
      </c>
      <c r="U160" s="6">
        <f>IF($W160=0,U41,IF(U$126=$W160,SUM($Q41:U41),0))</f>
        <v>0</v>
      </c>
      <c r="V160" s="45">
        <f t="shared" si="66"/>
        <v>0</v>
      </c>
      <c r="W160" s="43" cm="1">
        <f t="array" ref="W160">_xlfn.IFNA(INDEX('1.0 Data'!$AC$9:$AC$66,MATCH($L160,'1.0 Data'!$P$9:$P$66,0),0),"")</f>
        <v>0</v>
      </c>
      <c r="Y160" s="46">
        <f t="shared" si="59"/>
        <v>0</v>
      </c>
    </row>
    <row r="161" spans="12:25" ht="16.5" thickTop="1" thickBot="1">
      <c r="L161" s="6" t="str">
        <f t="shared" ref="L161:O161" si="92">L42</f>
        <v>Internal Fencing Protection</v>
      </c>
      <c r="M161" s="6" t="str">
        <f t="shared" si="92"/>
        <v>2024/25</v>
      </c>
      <c r="N161" s="6" t="str">
        <f t="shared" si="92"/>
        <v>Buildings</v>
      </c>
      <c r="O161" s="6" t="str">
        <f t="shared" si="92"/>
        <v>Replacement expenditure</v>
      </c>
      <c r="P161" s="6"/>
      <c r="Q161" s="6">
        <f>IF($W161=0,Q42,IF(Q$126=$W161,SUM($Q42:Q42),0))</f>
        <v>0</v>
      </c>
      <c r="R161" s="6">
        <f>IF($W161=0,R42,IF(R$126=$W161,SUM($Q42:R42),0))</f>
        <v>0</v>
      </c>
      <c r="S161" s="6">
        <f>IF($W161=0,S42,IF(S$126=$W161,SUM($Q42:S42),0))</f>
        <v>0</v>
      </c>
      <c r="T161" s="6">
        <f>IF($W161=0,T42,IF(T$126=$W161,SUM($Q42:T42),0))</f>
        <v>0</v>
      </c>
      <c r="U161" s="6">
        <f>IF($W161=0,U42,IF(U$126=$W161,SUM($Q42:U42),0))</f>
        <v>0</v>
      </c>
      <c r="V161" s="45">
        <f t="shared" si="66"/>
        <v>0</v>
      </c>
      <c r="W161" s="43" cm="1">
        <f t="array" ref="W161">_xlfn.IFNA(INDEX('1.0 Data'!$AC$9:$AC$66,MATCH($L161,'1.0 Data'!$P$9:$P$66,0),0),"")</f>
        <v>0</v>
      </c>
      <c r="Y161" s="46">
        <f t="shared" si="59"/>
        <v>0</v>
      </c>
    </row>
    <row r="162" spans="12:25" ht="16.5" thickTop="1" thickBot="1">
      <c r="L162" s="6" t="str">
        <f t="shared" ref="L162:O162" si="93">L43</f>
        <v>Land Grading</v>
      </c>
      <c r="M162" s="6" t="str">
        <f t="shared" si="93"/>
        <v>2024/25</v>
      </c>
      <c r="N162" s="6" t="str">
        <f t="shared" si="93"/>
        <v>Buildings</v>
      </c>
      <c r="O162" s="6" t="str">
        <f t="shared" si="93"/>
        <v>Replacement expenditure</v>
      </c>
      <c r="P162" s="6"/>
      <c r="Q162" s="6">
        <f>IF($W162=0,Q43,IF(Q$126=$W162,SUM($Q43:Q43),0))</f>
        <v>32757.120000000006</v>
      </c>
      <c r="R162" s="6">
        <f>IF($W162=0,R43,IF(R$126=$W162,SUM($Q43:R43),0))</f>
        <v>32757.120000000006</v>
      </c>
      <c r="S162" s="6">
        <f>IF($W162=0,S43,IF(S$126=$W162,SUM($Q43:S43),0))</f>
        <v>0</v>
      </c>
      <c r="T162" s="6">
        <f>IF($W162=0,T43,IF(T$126=$W162,SUM($Q43:T43),0))</f>
        <v>0</v>
      </c>
      <c r="U162" s="6">
        <f>IF($W162=0,U43,IF(U$126=$W162,SUM($Q43:U43),0))</f>
        <v>0</v>
      </c>
      <c r="V162" s="45">
        <f t="shared" si="66"/>
        <v>65514.240000000013</v>
      </c>
      <c r="W162" s="43" cm="1">
        <f t="array" ref="W162">_xlfn.IFNA(INDEX('1.0 Data'!$AC$9:$AC$66,MATCH($L162,'1.0 Data'!$P$9:$P$66,0),0),"")</f>
        <v>0</v>
      </c>
      <c r="Y162" s="46">
        <f t="shared" si="59"/>
        <v>0</v>
      </c>
    </row>
    <row r="163" spans="12:25" ht="16.5" thickTop="1" thickBot="1">
      <c r="L163" s="6" t="str">
        <f t="shared" ref="L163:O163" si="94">L44</f>
        <v>Master Controller- FEED</v>
      </c>
      <c r="M163" s="6" t="str">
        <f t="shared" si="94"/>
        <v>2024/25</v>
      </c>
      <c r="N163" s="6" t="str">
        <f t="shared" si="94"/>
        <v>Transmission Assets</v>
      </c>
      <c r="O163" s="6" t="str">
        <f t="shared" si="94"/>
        <v>Replacement expenditure</v>
      </c>
      <c r="P163" s="6"/>
      <c r="Q163" s="6">
        <f>IF($W163=0,Q44,IF(Q$126=$W163,SUM($Q44:Q44),0))</f>
        <v>0</v>
      </c>
      <c r="R163" s="6">
        <f>IF($W163=0,R44,IF(R$126=$W163,SUM($Q44:R44),0))</f>
        <v>0</v>
      </c>
      <c r="S163" s="6">
        <f>IF($W163=0,S44,IF(S$126=$W163,SUM($Q44:S44),0))</f>
        <v>0</v>
      </c>
      <c r="T163" s="6">
        <f>IF($W163=0,T44,IF(T$126=$W163,SUM($Q44:T44),0))</f>
        <v>0</v>
      </c>
      <c r="U163" s="6">
        <f>IF($W163=0,U44,IF(U$126=$W163,SUM($Q44:U44),0))</f>
        <v>136488</v>
      </c>
      <c r="V163" s="45">
        <f t="shared" si="66"/>
        <v>136488</v>
      </c>
      <c r="W163" s="43" cm="1">
        <f t="array" ref="W163">_xlfn.IFNA(INDEX('1.0 Data'!$AC$9:$AC$66,MATCH($L163,'1.0 Data'!$P$9:$P$66,0),0),"")</f>
        <v>0</v>
      </c>
      <c r="Y163" s="46">
        <f t="shared" si="59"/>
        <v>0</v>
      </c>
    </row>
    <row r="164" spans="12:25" ht="16.5" thickTop="1" thickBot="1">
      <c r="L164" s="6" t="str">
        <f t="shared" ref="L164:O164" si="95">L45</f>
        <v>Mid-Life Criticality Assessment</v>
      </c>
      <c r="M164" s="6" t="str">
        <f t="shared" si="95"/>
        <v>2024/25</v>
      </c>
      <c r="N164" s="6" t="str">
        <f t="shared" si="95"/>
        <v>Transmission Assets</v>
      </c>
      <c r="O164" s="6" t="str">
        <f t="shared" si="95"/>
        <v>Replacement expenditure</v>
      </c>
      <c r="P164" s="6"/>
      <c r="Q164" s="6">
        <f>IF($W164=0,Q45,IF(Q$126=$W164,SUM($Q45:Q45),0))</f>
        <v>0</v>
      </c>
      <c r="R164" s="6">
        <f>IF($W164=0,R45,IF(R$126=$W164,SUM($Q45:R45),0))</f>
        <v>0</v>
      </c>
      <c r="S164" s="6">
        <f>IF($W164=0,S45,IF(S$126=$W164,SUM($Q45:S45),0))</f>
        <v>0</v>
      </c>
      <c r="T164" s="6">
        <f>IF($W164=0,T45,IF(T$126=$W164,SUM($Q45:T45),0))</f>
        <v>0</v>
      </c>
      <c r="U164" s="6">
        <f>IF($W164=0,U45,IF(U$126=$W164,SUM($Q45:U45),0))</f>
        <v>0</v>
      </c>
      <c r="V164" s="45">
        <f t="shared" si="66"/>
        <v>0</v>
      </c>
      <c r="W164" s="43" cm="1">
        <f t="array" ref="W164">_xlfn.IFNA(INDEX('1.0 Data'!$AC$9:$AC$66,MATCH($L164,'1.0 Data'!$P$9:$P$66,0),0),"")</f>
        <v>0</v>
      </c>
      <c r="Y164" s="46">
        <f t="shared" si="59"/>
        <v>0</v>
      </c>
    </row>
    <row r="165" spans="12:25" ht="16.5" thickTop="1" thickBot="1">
      <c r="L165" s="6" t="str">
        <f t="shared" ref="L165:O165" si="96">L46</f>
        <v>Network Cable Testing Equipment</v>
      </c>
      <c r="M165" s="6" t="str">
        <f t="shared" si="96"/>
        <v>2024/25</v>
      </c>
      <c r="N165" s="6" t="str">
        <f t="shared" si="96"/>
        <v>Transmission Assets</v>
      </c>
      <c r="O165" s="6" t="str">
        <f t="shared" si="96"/>
        <v>Replacement expenditure</v>
      </c>
      <c r="P165" s="6"/>
      <c r="Q165" s="6">
        <f>IF($W165=0,Q46,IF(Q$126=$W165,SUM($Q46:Q46),0))</f>
        <v>0</v>
      </c>
      <c r="R165" s="6">
        <f>IF($W165=0,R46,IF(R$126=$W165,SUM($Q46:R46),0))</f>
        <v>0</v>
      </c>
      <c r="S165" s="6">
        <f>IF($W165=0,S46,IF(S$126=$W165,SUM($Q46:S46),0))</f>
        <v>0</v>
      </c>
      <c r="T165" s="6">
        <f>IF($W165=0,T46,IF(T$126=$W165,SUM($Q46:T46),0))</f>
        <v>0</v>
      </c>
      <c r="U165" s="6">
        <f>IF($W165=0,U46,IF(U$126=$W165,SUM($Q46:U46),0))</f>
        <v>0</v>
      </c>
      <c r="V165" s="45">
        <f t="shared" si="66"/>
        <v>0</v>
      </c>
      <c r="W165" s="43" cm="1">
        <f t="array" ref="W165">_xlfn.IFNA(INDEX('1.0 Data'!$AC$9:$AC$66,MATCH($L165,'1.0 Data'!$P$9:$P$66,0),0),"")</f>
        <v>0</v>
      </c>
      <c r="Y165" s="46">
        <f t="shared" si="59"/>
        <v>0</v>
      </c>
    </row>
    <row r="166" spans="12:25" ht="16.5" thickTop="1" thickBot="1">
      <c r="L166" s="6" t="str">
        <f t="shared" ref="L166:O166" si="97">L47</f>
        <v>On-going Major Capital Maintenance</v>
      </c>
      <c r="M166" s="6" t="str">
        <f t="shared" si="97"/>
        <v>2024/25</v>
      </c>
      <c r="N166" s="6" t="str">
        <f t="shared" si="97"/>
        <v>Transmission Assets</v>
      </c>
      <c r="O166" s="6" t="str">
        <f t="shared" si="97"/>
        <v>Replacement expenditure</v>
      </c>
      <c r="P166" s="6"/>
      <c r="Q166" s="6">
        <f>IF($W166=0,Q47,IF(Q$126=$W166,SUM($Q47:Q47),0))</f>
        <v>170610</v>
      </c>
      <c r="R166" s="6">
        <f>IF($W166=0,R47,IF(R$126=$W166,SUM($Q47:R47),0))</f>
        <v>170610</v>
      </c>
      <c r="S166" s="6">
        <f>IF($W166=0,S47,IF(S$126=$W166,SUM($Q47:S47),0))</f>
        <v>170610</v>
      </c>
      <c r="T166" s="6">
        <f>IF($W166=0,T47,IF(T$126=$W166,SUM($Q47:T47),0))</f>
        <v>170610</v>
      </c>
      <c r="U166" s="6">
        <f>IF($W166=0,U47,IF(U$126=$W166,SUM($Q47:U47),0))</f>
        <v>170610</v>
      </c>
      <c r="V166" s="45">
        <f t="shared" si="66"/>
        <v>853050</v>
      </c>
      <c r="W166" s="43" cm="1">
        <f t="array" ref="W166">_xlfn.IFNA(INDEX('1.0 Data'!$AC$9:$AC$66,MATCH($L166,'1.0 Data'!$P$9:$P$66,0),0),"")</f>
        <v>0</v>
      </c>
      <c r="Y166" s="46">
        <f t="shared" si="59"/>
        <v>0</v>
      </c>
    </row>
    <row r="167" spans="12:25" ht="16.5" thickTop="1" thickBot="1">
      <c r="L167" s="6" t="str">
        <f t="shared" ref="L167:O167" si="98">L48</f>
        <v>Operations Asset Integration</v>
      </c>
      <c r="M167" s="6" t="str">
        <f t="shared" si="98"/>
        <v>2024/25</v>
      </c>
      <c r="N167" s="6" t="str">
        <f t="shared" si="98"/>
        <v>Transmission Assets</v>
      </c>
      <c r="O167" s="6" t="str">
        <f t="shared" si="98"/>
        <v>Replacement expenditure</v>
      </c>
      <c r="P167" s="6"/>
      <c r="Q167" s="6">
        <f>IF($W167=0,Q48,IF(Q$126=$W167,SUM($Q48:Q48),0))</f>
        <v>92811.839999999997</v>
      </c>
      <c r="R167" s="6">
        <f>IF($W167=0,R48,IF(R$126=$W167,SUM($Q48:R48),0))</f>
        <v>92811.839999999997</v>
      </c>
      <c r="S167" s="6">
        <f>IF($W167=0,S48,IF(S$126=$W167,SUM($Q48:S48),0))</f>
        <v>92811.839999999997</v>
      </c>
      <c r="T167" s="6">
        <f>IF($W167=0,T48,IF(T$126=$W167,SUM($Q48:T48),0))</f>
        <v>92811.839999999997</v>
      </c>
      <c r="U167" s="6">
        <f>IF($W167=0,U48,IF(U$126=$W167,SUM($Q48:U48),0))</f>
        <v>0</v>
      </c>
      <c r="V167" s="45">
        <f t="shared" si="66"/>
        <v>371247.35999999999</v>
      </c>
      <c r="W167" s="43" cm="1">
        <f t="array" ref="W167">_xlfn.IFNA(INDEX('1.0 Data'!$AC$9:$AC$66,MATCH($L167,'1.0 Data'!$P$9:$P$66,0),0),"")</f>
        <v>0</v>
      </c>
      <c r="Y167" s="46">
        <f t="shared" si="59"/>
        <v>0</v>
      </c>
    </row>
    <row r="168" spans="12:25" ht="16.5" thickTop="1" thickBot="1">
      <c r="L168" s="6" t="str">
        <f t="shared" ref="L168:O168" si="99">L49</f>
        <v>Physical Site Security and Public Protection - Bangalora</v>
      </c>
      <c r="M168" s="6" t="str">
        <f t="shared" si="99"/>
        <v>2024/25</v>
      </c>
      <c r="N168" s="6" t="str">
        <f t="shared" si="99"/>
        <v>Buildings</v>
      </c>
      <c r="O168" s="6" t="str">
        <f t="shared" si="99"/>
        <v>Replacement expenditure</v>
      </c>
      <c r="P168" s="6"/>
      <c r="Q168" s="6">
        <f>IF($W168=0,Q49,IF(Q$126=$W168,SUM($Q49:Q49),0))</f>
        <v>0</v>
      </c>
      <c r="R168" s="6">
        <f>IF($W168=0,R49,IF(R$126=$W168,SUM($Q49:R49),0))</f>
        <v>0</v>
      </c>
      <c r="S168" s="6">
        <f>IF($W168=0,S49,IF(S$126=$W168,SUM($Q49:S49),0))</f>
        <v>1088374.6242086587</v>
      </c>
      <c r="T168" s="6">
        <f>IF($W168=0,T49,IF(T$126=$W168,SUM($Q49:T49),0))</f>
        <v>0</v>
      </c>
      <c r="U168" s="6">
        <f>IF($W168=0,U49,IF(U$126=$W168,SUM($Q49:U49),0))</f>
        <v>0</v>
      </c>
      <c r="V168" s="45">
        <f t="shared" si="66"/>
        <v>1088374.6242086587</v>
      </c>
      <c r="W168" s="43" t="str" cm="1">
        <f t="array" ref="W168">_xlfn.IFNA(INDEX('1.0 Data'!$AC$9:$AC$66,MATCH($L168,'1.0 Data'!$P$9:$P$66,0),0),"")</f>
        <v>2027/28</v>
      </c>
      <c r="Y168" s="46">
        <f t="shared" si="59"/>
        <v>0</v>
      </c>
    </row>
    <row r="169" spans="12:25" ht="16.5" thickTop="1" thickBot="1">
      <c r="L169" s="6" t="str">
        <f t="shared" ref="L169:O169" si="100">L50</f>
        <v>Physical Site Security and Public Protection - Mullumbimby</v>
      </c>
      <c r="M169" s="6" t="str">
        <f t="shared" si="100"/>
        <v>2024/25</v>
      </c>
      <c r="N169" s="6" t="str">
        <f t="shared" si="100"/>
        <v>Buildings</v>
      </c>
      <c r="O169" s="6" t="str">
        <f t="shared" si="100"/>
        <v>Replacement expenditure</v>
      </c>
      <c r="P169" s="6"/>
      <c r="Q169" s="6">
        <f>IF($W169=0,Q50,IF(Q$126=$W169,SUM($Q50:Q50),0))</f>
        <v>0</v>
      </c>
      <c r="R169" s="6">
        <f>IF($W169=0,R50,IF(R$126=$W169,SUM($Q50:R50),0))</f>
        <v>2190874.1538228048</v>
      </c>
      <c r="S169" s="6">
        <f>IF($W169=0,S50,IF(S$126=$W169,SUM($Q50:S50),0))</f>
        <v>0</v>
      </c>
      <c r="T169" s="6">
        <f>IF($W169=0,T50,IF(T$126=$W169,SUM($Q50:T50),0))</f>
        <v>0</v>
      </c>
      <c r="U169" s="6">
        <f>IF($W169=0,U50,IF(U$126=$W169,SUM($Q50:U50),0))</f>
        <v>0</v>
      </c>
      <c r="V169" s="45">
        <f t="shared" si="66"/>
        <v>2190874.1538228048</v>
      </c>
      <c r="W169" s="43" t="str" cm="1">
        <f t="array" ref="W169">_xlfn.IFNA(INDEX('1.0 Data'!$AC$9:$AC$66,MATCH($L169,'1.0 Data'!$P$9:$P$66,0),0),"")</f>
        <v>2026/27</v>
      </c>
      <c r="Y169" s="46">
        <f t="shared" si="59"/>
        <v>0</v>
      </c>
    </row>
    <row r="170" spans="12:25" ht="16.5" thickTop="1" thickBot="1">
      <c r="L170" s="6" t="str">
        <f t="shared" ref="L170:O170" si="101">L51</f>
        <v>PLC Reactor Filters</v>
      </c>
      <c r="M170" s="6" t="str">
        <f t="shared" si="101"/>
        <v>2024/25</v>
      </c>
      <c r="N170" s="6" t="str">
        <f t="shared" si="101"/>
        <v>Transmission Assets</v>
      </c>
      <c r="O170" s="6" t="str">
        <f t="shared" si="101"/>
        <v>Replacement expenditure</v>
      </c>
      <c r="P170" s="6"/>
      <c r="Q170" s="6">
        <f>IF($W170=0,Q51,IF(Q$126=$W170,SUM($Q51:Q51),0))</f>
        <v>0</v>
      </c>
      <c r="R170" s="6">
        <f>IF($W170=0,R51,IF(R$126=$W170,SUM($Q51:R51),0))</f>
        <v>0</v>
      </c>
      <c r="S170" s="6">
        <f>IF($W170=0,S51,IF(S$126=$W170,SUM($Q51:S51),0))</f>
        <v>0</v>
      </c>
      <c r="T170" s="6">
        <f>IF($W170=0,T51,IF(T$126=$W170,SUM($Q51:T51),0))</f>
        <v>0</v>
      </c>
      <c r="U170" s="6">
        <f>IF($W170=0,U51,IF(U$126=$W170,SUM($Q51:U51),0))</f>
        <v>0</v>
      </c>
      <c r="V170" s="45">
        <f t="shared" si="66"/>
        <v>0</v>
      </c>
      <c r="W170" s="43" cm="1">
        <f t="array" ref="W170">_xlfn.IFNA(INDEX('1.0 Data'!$AC$9:$AC$66,MATCH($L170,'1.0 Data'!$P$9:$P$66,0),0),"")</f>
        <v>0</v>
      </c>
      <c r="Y170" s="46">
        <f t="shared" si="59"/>
        <v>0</v>
      </c>
    </row>
    <row r="171" spans="12:25" ht="16.5" thickTop="1" thickBot="1">
      <c r="L171" s="6" t="str">
        <f t="shared" ref="L171:O171" si="102">L52</f>
        <v>PLC Reactor Filters (2026 - 30)</v>
      </c>
      <c r="M171" s="6" t="str">
        <f t="shared" si="102"/>
        <v>2024/25</v>
      </c>
      <c r="N171" s="6" t="str">
        <f t="shared" si="102"/>
        <v>Transmission Assets</v>
      </c>
      <c r="O171" s="6" t="str">
        <f t="shared" si="102"/>
        <v>Replacement expenditure</v>
      </c>
      <c r="P171" s="6"/>
      <c r="Q171" s="6">
        <f>IF($W171=0,Q52,IF(Q$126=$W171,SUM($Q52:Q52),0))</f>
        <v>0</v>
      </c>
      <c r="R171" s="6">
        <f>IF($W171=0,R52,IF(R$126=$W171,SUM($Q52:R52),0))</f>
        <v>0</v>
      </c>
      <c r="S171" s="6">
        <f>IF($W171=0,S52,IF(S$126=$W171,SUM($Q52:S52),0))</f>
        <v>0</v>
      </c>
      <c r="T171" s="6">
        <f>IF($W171=0,T52,IF(T$126=$W171,SUM($Q52:T52),0))</f>
        <v>0</v>
      </c>
      <c r="U171" s="6">
        <f>IF($W171=0,U52,IF(U$126=$W171,SUM($Q52:U52),0))</f>
        <v>0</v>
      </c>
      <c r="V171" s="45">
        <f t="shared" si="66"/>
        <v>0</v>
      </c>
      <c r="W171" s="43" cm="1">
        <f t="array" ref="W171">_xlfn.IFNA(INDEX('1.0 Data'!$AC$9:$AC$66,MATCH($L171,'1.0 Data'!$P$9:$P$66,0),0),"")</f>
        <v>0</v>
      </c>
      <c r="Y171" s="46">
        <f t="shared" si="59"/>
        <v>0</v>
      </c>
    </row>
    <row r="172" spans="12:25" ht="16.5" thickTop="1" thickBot="1">
      <c r="L172" s="6" t="str">
        <f t="shared" ref="L172:O172" si="103">L53</f>
        <v>Power Quality Metering</v>
      </c>
      <c r="M172" s="6" t="str">
        <f t="shared" si="103"/>
        <v>2024/25</v>
      </c>
      <c r="N172" s="6" t="str">
        <f t="shared" si="103"/>
        <v>Transmission Assets</v>
      </c>
      <c r="O172" s="6" t="str">
        <f t="shared" si="103"/>
        <v>Replacement expenditure</v>
      </c>
      <c r="P172" s="6"/>
      <c r="Q172" s="6">
        <f>IF($W172=0,Q53,IF(Q$126=$W172,SUM($Q53:Q53),0))</f>
        <v>0</v>
      </c>
      <c r="R172" s="6">
        <f>IF($W172=0,R53,IF(R$126=$W172,SUM($Q53:R53),0))</f>
        <v>0</v>
      </c>
      <c r="S172" s="6">
        <f>IF($W172=0,S53,IF(S$126=$W172,SUM($Q53:S53),0))</f>
        <v>0</v>
      </c>
      <c r="T172" s="6">
        <f>IF($W172=0,T53,IF(T$126=$W172,SUM($Q53:T53),0))</f>
        <v>0</v>
      </c>
      <c r="U172" s="6">
        <f>IF($W172=0,U53,IF(U$126=$W172,SUM($Q53:U53),0))</f>
        <v>0</v>
      </c>
      <c r="V172" s="45">
        <f t="shared" si="66"/>
        <v>0</v>
      </c>
      <c r="W172" s="43" cm="1">
        <f t="array" ref="W172">_xlfn.IFNA(INDEX('1.0 Data'!$AC$9:$AC$66,MATCH($L172,'1.0 Data'!$P$9:$P$66,0),0),"")</f>
        <v>0</v>
      </c>
      <c r="Y172" s="46">
        <f t="shared" si="59"/>
        <v>0</v>
      </c>
    </row>
    <row r="173" spans="12:25" ht="16.5" thickTop="1" thickBot="1">
      <c r="L173" s="6" t="str">
        <f t="shared" ref="L173:O173" si="104">L54</f>
        <v>Power Supply Upgrade - Phase 2</v>
      </c>
      <c r="M173" s="6" t="str">
        <f t="shared" si="104"/>
        <v>2024/25</v>
      </c>
      <c r="N173" s="6" t="str">
        <f t="shared" si="104"/>
        <v>Transmission Assets</v>
      </c>
      <c r="O173" s="6" t="str">
        <f t="shared" si="104"/>
        <v>Replacement expenditure</v>
      </c>
      <c r="P173" s="6"/>
      <c r="Q173" s="6">
        <f>IF($W173=0,Q54,IF(Q$126=$W173,SUM($Q54:Q54),0))</f>
        <v>0</v>
      </c>
      <c r="R173" s="6">
        <f>IF($W173=0,R54,IF(R$126=$W173,SUM($Q54:R54),0))</f>
        <v>0</v>
      </c>
      <c r="S173" s="6">
        <f>IF($W173=0,S54,IF(S$126=$W173,SUM($Q54:S54),0))</f>
        <v>0</v>
      </c>
      <c r="T173" s="6">
        <f>IF($W173=0,T54,IF(T$126=$W173,SUM($Q54:T54),0))</f>
        <v>0</v>
      </c>
      <c r="U173" s="6">
        <f>IF($W173=0,U54,IF(U$126=$W173,SUM($Q54:U54),0))</f>
        <v>0</v>
      </c>
      <c r="V173" s="45">
        <f t="shared" si="66"/>
        <v>0</v>
      </c>
      <c r="W173" s="43" cm="1">
        <f t="array" ref="W173">_xlfn.IFNA(INDEX('1.0 Data'!$AC$9:$AC$66,MATCH($L173,'1.0 Data'!$P$9:$P$66,0),0),"")</f>
        <v>0</v>
      </c>
      <c r="Y173" s="46">
        <f t="shared" si="59"/>
        <v>0</v>
      </c>
    </row>
    <row r="174" spans="12:25" ht="16.5" thickTop="1" thickBot="1">
      <c r="L174" s="6" t="str">
        <f t="shared" ref="L174:O174" si="105">L55</f>
        <v>Reactor cooling enhancements</v>
      </c>
      <c r="M174" s="6" t="str">
        <f t="shared" si="105"/>
        <v>2024/25</v>
      </c>
      <c r="N174" s="6" t="str">
        <f t="shared" si="105"/>
        <v>Transmission Assets</v>
      </c>
      <c r="O174" s="6" t="str">
        <f t="shared" si="105"/>
        <v>Replacement expenditure</v>
      </c>
      <c r="P174" s="6"/>
      <c r="Q174" s="6">
        <f>IF($W174=0,Q55,IF(Q$126=$W174,SUM($Q55:Q55),0))</f>
        <v>356233.68</v>
      </c>
      <c r="R174" s="6">
        <f>IF($W174=0,R55,IF(R$126=$W174,SUM($Q55:R55),0))</f>
        <v>853050.00000000012</v>
      </c>
      <c r="S174" s="6">
        <f>IF($W174=0,S55,IF(S$126=$W174,SUM($Q55:S55),0))</f>
        <v>853050.00000000012</v>
      </c>
      <c r="T174" s="6">
        <f>IF($W174=0,T55,IF(T$126=$W174,SUM($Q55:T55),0))</f>
        <v>0</v>
      </c>
      <c r="U174" s="6">
        <f>IF($W174=0,U55,IF(U$126=$W174,SUM($Q55:U55),0))</f>
        <v>0</v>
      </c>
      <c r="V174" s="45">
        <f t="shared" si="66"/>
        <v>2062333.6800000002</v>
      </c>
      <c r="W174" s="43" cm="1">
        <f t="array" ref="W174">_xlfn.IFNA(INDEX('1.0 Data'!$AC$9:$AC$66,MATCH($L174,'1.0 Data'!$P$9:$P$66,0),0),"")</f>
        <v>0</v>
      </c>
      <c r="Y174" s="46">
        <f t="shared" si="59"/>
        <v>0</v>
      </c>
    </row>
    <row r="175" spans="12:25" ht="16.5" thickTop="1" thickBot="1">
      <c r="L175" s="6" t="str">
        <f t="shared" ref="L175:O175" si="106">L56</f>
        <v>Reposition Nitrogen Tanks</v>
      </c>
      <c r="M175" s="6" t="str">
        <f t="shared" si="106"/>
        <v>2024/25</v>
      </c>
      <c r="N175" s="6" t="str">
        <f t="shared" si="106"/>
        <v>Transmission Assets</v>
      </c>
      <c r="O175" s="6" t="str">
        <f t="shared" si="106"/>
        <v>Replacement expenditure</v>
      </c>
      <c r="P175" s="6"/>
      <c r="Q175" s="6">
        <f>IF($W175=0,Q56,IF(Q$126=$W175,SUM($Q56:Q56),0))</f>
        <v>228320.53860000006</v>
      </c>
      <c r="R175" s="6">
        <f>IF($W175=0,R56,IF(R$126=$W175,SUM($Q56:R56),0))</f>
        <v>0</v>
      </c>
      <c r="S175" s="6">
        <f>IF($W175=0,S56,IF(S$126=$W175,SUM($Q56:S56),0))</f>
        <v>0</v>
      </c>
      <c r="T175" s="6">
        <f>IF($W175=0,T56,IF(T$126=$W175,SUM($Q56:T56),0))</f>
        <v>0</v>
      </c>
      <c r="U175" s="6">
        <f>IF($W175=0,U56,IF(U$126=$W175,SUM($Q56:U56),0))</f>
        <v>0</v>
      </c>
      <c r="V175" s="45">
        <f t="shared" si="66"/>
        <v>228320.53860000006</v>
      </c>
      <c r="W175" s="43" cm="1">
        <f t="array" ref="W175">_xlfn.IFNA(INDEX('1.0 Data'!$AC$9:$AC$66,MATCH($L175,'1.0 Data'!$P$9:$P$66,0),0),"")</f>
        <v>0</v>
      </c>
      <c r="Y175" s="46">
        <f t="shared" si="59"/>
        <v>0</v>
      </c>
    </row>
    <row r="176" spans="12:25" ht="16.5" thickTop="1" thickBot="1">
      <c r="L176" s="6" t="str">
        <f t="shared" ref="L176:O176" si="107">L57</f>
        <v>RTU Upgrade - Comms Interface to EE and AEMO</v>
      </c>
      <c r="M176" s="6" t="str">
        <f t="shared" si="107"/>
        <v>2024/25</v>
      </c>
      <c r="N176" s="6" t="str">
        <f t="shared" si="107"/>
        <v>Transmission Assets</v>
      </c>
      <c r="O176" s="6" t="str">
        <f t="shared" si="107"/>
        <v>Replacement expenditure</v>
      </c>
      <c r="P176" s="6"/>
      <c r="Q176" s="6">
        <f>IF($W176=0,Q57,IF(Q$126=$W176,SUM($Q57:Q57),0))</f>
        <v>0</v>
      </c>
      <c r="R176" s="6">
        <f>IF($W176=0,R57,IF(R$126=$W176,SUM($Q57:R57),0))</f>
        <v>0</v>
      </c>
      <c r="S176" s="6">
        <f>IF($W176=0,S57,IF(S$126=$W176,SUM($Q57:S57),0))</f>
        <v>0</v>
      </c>
      <c r="T176" s="6">
        <f>IF($W176=0,T57,IF(T$126=$W176,SUM($Q57:T57),0))</f>
        <v>0</v>
      </c>
      <c r="U176" s="6">
        <f>IF($W176=0,U57,IF(U$126=$W176,SUM($Q57:U57),0))</f>
        <v>0</v>
      </c>
      <c r="V176" s="45">
        <f t="shared" si="66"/>
        <v>0</v>
      </c>
      <c r="W176" s="43" cm="1">
        <f t="array" ref="W176">_xlfn.IFNA(INDEX('1.0 Data'!$AC$9:$AC$66,MATCH($L176,'1.0 Data'!$P$9:$P$66,0),0),"")</f>
        <v>0</v>
      </c>
      <c r="Y176" s="46">
        <f t="shared" si="59"/>
        <v>0</v>
      </c>
    </row>
    <row r="177" spans="1:27" ht="16.5" thickTop="1" thickBot="1">
      <c r="L177" s="6" t="str">
        <f t="shared" ref="L177:O177" si="108">L58</f>
        <v>SCADA Hardware Lifecycle Management</v>
      </c>
      <c r="M177" s="6" t="str">
        <f t="shared" si="108"/>
        <v>2024/25</v>
      </c>
      <c r="N177" s="6" t="str">
        <f t="shared" si="108"/>
        <v>Transmission Assets</v>
      </c>
      <c r="O177" s="6" t="str">
        <f t="shared" si="108"/>
        <v>Replacement expenditure</v>
      </c>
      <c r="P177" s="6"/>
      <c r="Q177" s="6">
        <f>IF($W177=0,Q58,IF(Q$126=$W177,SUM($Q58:Q58),0))</f>
        <v>0</v>
      </c>
      <c r="R177" s="6">
        <f>IF($W177=0,R58,IF(R$126=$W177,SUM($Q58:R58),0))</f>
        <v>0</v>
      </c>
      <c r="S177" s="6">
        <f>IF($W177=0,S58,IF(S$126=$W177,SUM($Q58:S58),0))</f>
        <v>0</v>
      </c>
      <c r="T177" s="6">
        <f>IF($W177=0,T58,IF(T$126=$W177,SUM($Q58:T58),0))</f>
        <v>0</v>
      </c>
      <c r="U177" s="6">
        <f>IF($W177=0,U58,IF(U$126=$W177,SUM($Q58:U58),0))</f>
        <v>0</v>
      </c>
      <c r="V177" s="45">
        <f t="shared" si="66"/>
        <v>0</v>
      </c>
      <c r="W177" s="43" cm="1">
        <f t="array" ref="W177">_xlfn.IFNA(INDEX('1.0 Data'!$AC$9:$AC$66,MATCH($L177,'1.0 Data'!$P$9:$P$66,0),0),"")</f>
        <v>0</v>
      </c>
      <c r="Y177" s="46">
        <f t="shared" si="59"/>
        <v>0</v>
      </c>
    </row>
    <row r="178" spans="1:27" ht="16.5" thickTop="1" thickBot="1">
      <c r="L178" s="6" t="str">
        <f t="shared" ref="L178:O178" si="109">L59</f>
        <v>Sound Wall Earthing</v>
      </c>
      <c r="M178" s="6" t="str">
        <f t="shared" si="109"/>
        <v>2024/25</v>
      </c>
      <c r="N178" s="6" t="str">
        <f t="shared" si="109"/>
        <v>Transmission Assets</v>
      </c>
      <c r="O178" s="6" t="str">
        <f t="shared" si="109"/>
        <v>Replacement expenditure</v>
      </c>
      <c r="P178" s="6"/>
      <c r="Q178" s="6">
        <f>IF($W178=0,Q59,IF(Q$126=$W178,SUM($Q59:Q59),0))</f>
        <v>0</v>
      </c>
      <c r="R178" s="6">
        <f>IF($W178=0,R59,IF(R$126=$W178,SUM($Q59:R59),0))</f>
        <v>0</v>
      </c>
      <c r="S178" s="6">
        <f>IF($W178=0,S59,IF(S$126=$W178,SUM($Q59:S59),0))</f>
        <v>63336.460220000008</v>
      </c>
      <c r="T178" s="6">
        <f>IF($W178=0,T59,IF(T$126=$W178,SUM($Q59:T59),0))</f>
        <v>0</v>
      </c>
      <c r="U178" s="6">
        <f>IF($W178=0,U59,IF(U$126=$W178,SUM($Q59:U59),0))</f>
        <v>0</v>
      </c>
      <c r="V178" s="45">
        <f t="shared" si="66"/>
        <v>63336.460220000008</v>
      </c>
      <c r="W178" s="43" cm="1">
        <f t="array" ref="W178">_xlfn.IFNA(INDEX('1.0 Data'!$AC$9:$AC$66,MATCH($L178,'1.0 Data'!$P$9:$P$66,0),0),"")</f>
        <v>0</v>
      </c>
      <c r="Y178" s="46">
        <f t="shared" si="59"/>
        <v>0</v>
      </c>
    </row>
    <row r="179" spans="1:27" ht="16.5" thickTop="1" thickBot="1">
      <c r="L179" s="6" t="str">
        <f t="shared" ref="L179:O179" si="110">L60</f>
        <v>Sparing for Obsolescence Placeholder</v>
      </c>
      <c r="M179" s="6" t="str">
        <f t="shared" si="110"/>
        <v>2024/25</v>
      </c>
      <c r="N179" s="6" t="str">
        <f t="shared" si="110"/>
        <v>Transmission Assets</v>
      </c>
      <c r="O179" s="6" t="str">
        <f t="shared" si="110"/>
        <v>Replacement expenditure</v>
      </c>
      <c r="P179" s="6"/>
      <c r="Q179" s="6">
        <f>IF($W179=0,Q60,IF(Q$126=$W179,SUM($Q60:Q60),0))</f>
        <v>0</v>
      </c>
      <c r="R179" s="6">
        <f>IF($W179=0,R60,IF(R$126=$W179,SUM($Q60:R60),0))</f>
        <v>0</v>
      </c>
      <c r="S179" s="6">
        <f>IF($W179=0,S60,IF(S$126=$W179,SUM($Q60:S60),0))</f>
        <v>0</v>
      </c>
      <c r="T179" s="6">
        <f>IF($W179=0,T60,IF(T$126=$W179,SUM($Q60:T60),0))</f>
        <v>0</v>
      </c>
      <c r="U179" s="6">
        <f>IF($W179=0,U60,IF(U$126=$W179,SUM($Q60:U60),0))</f>
        <v>0</v>
      </c>
      <c r="V179" s="45">
        <f t="shared" si="66"/>
        <v>0</v>
      </c>
      <c r="W179" s="43" cm="1">
        <f t="array" ref="W179">_xlfn.IFNA(INDEX('1.0 Data'!$AC$9:$AC$66,MATCH($L179,'1.0 Data'!$P$9:$P$66,0),0),"")</f>
        <v>0</v>
      </c>
      <c r="Y179" s="46">
        <f t="shared" si="59"/>
        <v>0</v>
      </c>
    </row>
    <row r="180" spans="1:27" ht="16.5" thickTop="1" thickBot="1">
      <c r="L180" s="6" t="str">
        <f t="shared" ref="L180:O180" si="111">L61</f>
        <v>UTV 4x4</v>
      </c>
      <c r="M180" s="6" t="str">
        <f t="shared" si="111"/>
        <v>2024/25</v>
      </c>
      <c r="N180" s="6" t="str">
        <f t="shared" si="111"/>
        <v>Transmission Assets</v>
      </c>
      <c r="O180" s="6" t="str">
        <f t="shared" si="111"/>
        <v>Replacement expenditure</v>
      </c>
      <c r="P180" s="6"/>
      <c r="Q180" s="6">
        <f>IF($W180=0,Q61,IF(Q$126=$W180,SUM($Q61:Q61),0))</f>
        <v>27570.576000000005</v>
      </c>
      <c r="R180" s="6">
        <f>IF($W180=0,R61,IF(R$126=$W180,SUM($Q61:R61),0))</f>
        <v>0</v>
      </c>
      <c r="S180" s="6">
        <f>IF($W180=0,S61,IF(S$126=$W180,SUM($Q61:S61),0))</f>
        <v>0</v>
      </c>
      <c r="T180" s="6">
        <f>IF($W180=0,T61,IF(T$126=$W180,SUM($Q61:T61),0))</f>
        <v>0</v>
      </c>
      <c r="U180" s="6">
        <f>IF($W180=0,U61,IF(U$126=$W180,SUM($Q61:U61),0))</f>
        <v>0</v>
      </c>
      <c r="V180" s="45">
        <f t="shared" si="66"/>
        <v>27570.576000000005</v>
      </c>
      <c r="W180" s="43" cm="1">
        <f t="array" ref="W180">_xlfn.IFNA(INDEX('1.0 Data'!$AC$9:$AC$66,MATCH($L180,'1.0 Data'!$P$9:$P$66,0),0),"")</f>
        <v>0</v>
      </c>
      <c r="Y180" s="46">
        <f t="shared" si="59"/>
        <v>0</v>
      </c>
    </row>
    <row r="181" spans="1:27" ht="16.5" thickTop="1" thickBot="1">
      <c r="L181" s="6" t="str">
        <f t="shared" ref="L181:O181" si="112">L62</f>
        <v>Spares Management</v>
      </c>
      <c r="M181" s="6" t="str">
        <f t="shared" si="112"/>
        <v>2024/25</v>
      </c>
      <c r="N181" s="6" t="str">
        <f t="shared" si="112"/>
        <v>Transmission Assets</v>
      </c>
      <c r="O181" s="6" t="str">
        <f t="shared" si="112"/>
        <v>Replacement expenditure</v>
      </c>
      <c r="P181" s="6"/>
      <c r="Q181" s="6">
        <f>IF($W181=0,Q62,IF(Q$126=$W181,SUM($Q62:Q62),0))</f>
        <v>0</v>
      </c>
      <c r="R181" s="6">
        <f>IF($W181=0,R62,IF(R$126=$W181,SUM($Q62:R62),0))</f>
        <v>0</v>
      </c>
      <c r="S181" s="6">
        <f>IF($W181=0,S62,IF(S$126=$W181,SUM($Q62:S62),0))</f>
        <v>0</v>
      </c>
      <c r="T181" s="6">
        <f>IF($W181=0,T62,IF(T$126=$W181,SUM($Q62:T62),0))</f>
        <v>0</v>
      </c>
      <c r="U181" s="6">
        <f>IF($W181=0,U62,IF(U$126=$W181,SUM($Q62:U62),0))</f>
        <v>12511400.000000004</v>
      </c>
      <c r="V181" s="45">
        <f t="shared" si="66"/>
        <v>12511400.000000004</v>
      </c>
      <c r="W181" s="43" t="str" cm="1">
        <f t="array" ref="W181">_xlfn.IFNA(INDEX('1.0 Data'!$AC$9:$AC$66,MATCH($L181,'1.0 Data'!$P$9:$P$66,0),0),"")</f>
        <v>2029/30</v>
      </c>
      <c r="Y181" s="46">
        <f t="shared" si="59"/>
        <v>0</v>
      </c>
    </row>
    <row r="182" spans="1:27" ht="16.5" thickTop="1" thickBot="1">
      <c r="L182" s="6" t="str">
        <f t="shared" ref="L182:O182" si="113">L63</f>
        <v>Transmission Determination cost</v>
      </c>
      <c r="M182" s="6" t="str">
        <f t="shared" si="113"/>
        <v>2024/25</v>
      </c>
      <c r="N182" s="6" t="str">
        <f t="shared" si="113"/>
        <v>Transmission Determination Costs</v>
      </c>
      <c r="O182" s="6" t="str">
        <f t="shared" si="113"/>
        <v>Replacement expenditure</v>
      </c>
      <c r="P182" s="6"/>
      <c r="Q182" s="6">
        <f>IF($W182=0,Q63,IF(Q$126=$W182,SUM($Q63:Q63),0))</f>
        <v>0</v>
      </c>
      <c r="R182" s="6">
        <f>IF($W182=0,R63,IF(R$126=$W182,SUM($Q63:R63),0))</f>
        <v>0</v>
      </c>
      <c r="S182" s="6">
        <f>IF($W182=0,S63,IF(S$126=$W182,SUM($Q63:S63),0))</f>
        <v>0</v>
      </c>
      <c r="T182" s="6">
        <f>IF($W182=0,T63,IF(T$126=$W182,SUM($Q63:T63),0))</f>
        <v>146388.55000000002</v>
      </c>
      <c r="U182" s="6">
        <f>IF($W182=0,U63,IF(U$126=$W182,SUM($Q63:U63),0))</f>
        <v>146388.55000000002</v>
      </c>
      <c r="V182" s="45">
        <f t="shared" si="66"/>
        <v>292777.10000000003</v>
      </c>
      <c r="W182" s="43" cm="1">
        <f t="array" ref="W182">_xlfn.IFNA(INDEX('1.0 Data'!$AC$9:$AC$66,MATCH($L182,'1.0 Data'!$P$9:$P$66,0),0),"")</f>
        <v>0</v>
      </c>
      <c r="Y182" s="46">
        <f t="shared" si="59"/>
        <v>0</v>
      </c>
    </row>
    <row r="183" spans="1:27" ht="16.5" thickTop="1" thickBot="1">
      <c r="L183" s="6" t="str">
        <f t="shared" ref="L183:O183" si="114">L64</f>
        <v/>
      </c>
      <c r="M183" s="6" t="str">
        <f t="shared" si="114"/>
        <v/>
      </c>
      <c r="N183" s="6" t="str">
        <f t="shared" si="114"/>
        <v/>
      </c>
      <c r="O183" s="6" t="str">
        <f t="shared" si="114"/>
        <v/>
      </c>
      <c r="P183" s="6"/>
      <c r="Q183" s="6">
        <f>IF($W183=0,Q64,IF(Q$126=$W183,SUM($Q64:Q64),0))</f>
        <v>0</v>
      </c>
      <c r="R183" s="6">
        <f>IF($W183=0,R64,IF(R$126=$W183,SUM($Q64:R64),0))</f>
        <v>0</v>
      </c>
      <c r="S183" s="6">
        <f>IF($W183=0,S64,IF(S$126=$W183,SUM($Q64:S64),0))</f>
        <v>0</v>
      </c>
      <c r="T183" s="6">
        <f>IF($W183=0,T64,IF(T$126=$W183,SUM($Q64:T64),0))</f>
        <v>0</v>
      </c>
      <c r="U183" s="6">
        <f>IF($W183=0,U64,IF(U$126=$W183,SUM($Q64:U64),0))</f>
        <v>0</v>
      </c>
      <c r="V183" s="45">
        <f t="shared" si="66"/>
        <v>0</v>
      </c>
      <c r="W183" s="43" t="str" cm="1">
        <f t="array" ref="W183">_xlfn.IFNA(INDEX('1.0 Data'!$AC$9:$AC$66,MATCH($L183,'1.0 Data'!$P$9:$P$66,0),0),"")</f>
        <v/>
      </c>
      <c r="Y183" s="46">
        <f t="shared" si="59"/>
        <v>0</v>
      </c>
    </row>
    <row r="184" spans="1:27" ht="16.5" thickTop="1" thickBot="1">
      <c r="L184" s="6"/>
      <c r="M184" s="6"/>
      <c r="N184" s="6"/>
      <c r="O184" s="6"/>
      <c r="P184" s="6"/>
      <c r="Q184" s="6">
        <f>IF($W184=0,Q65,IF(Q$126=$W184,SUM($Q65:Q65),0))</f>
        <v>0</v>
      </c>
      <c r="R184" s="6">
        <f>IF($W184=0,R65,IF(R$126=$W184,SUM($Q65:R65),0))</f>
        <v>0</v>
      </c>
      <c r="S184" s="6">
        <f>IF($W184=0,S65,IF(S$126=$W184,SUM($Q65:S65),0))</f>
        <v>0</v>
      </c>
      <c r="T184" s="6">
        <f>IF($W184=0,T65,IF(T$126=$W184,SUM($Q65:T65),0))</f>
        <v>0</v>
      </c>
      <c r="U184" s="6">
        <f>IF($W184=0,U65,IF(U$126=$W184,SUM($Q65:U65),0))</f>
        <v>0</v>
      </c>
      <c r="V184" s="45">
        <f t="shared" si="66"/>
        <v>0</v>
      </c>
      <c r="W184" s="43" t="str" cm="1">
        <f t="array" ref="W184">_xlfn.IFNA(INDEX('1.0 Data'!$AC$9:$AC$66,MATCH($L184,'1.0 Data'!$P$9:$P$66,0),0),"")</f>
        <v/>
      </c>
      <c r="Y184" s="46">
        <f t="shared" si="59"/>
        <v>0</v>
      </c>
    </row>
    <row r="185" spans="1:27" ht="16.5" thickTop="1" thickBot="1">
      <c r="L185" s="6"/>
      <c r="M185" s="6"/>
      <c r="N185" s="6"/>
      <c r="O185" s="6"/>
      <c r="P185" s="6"/>
      <c r="Q185" s="6">
        <f>IF($W185=0,Q66,IF(Q$126=$W185,SUM($Q66:Q66),0))</f>
        <v>0</v>
      </c>
      <c r="R185" s="6">
        <f>IF($W185=0,R66,IF(R$126=$W185,SUM($Q66:R66),0))</f>
        <v>0</v>
      </c>
      <c r="S185" s="6">
        <f>IF($W185=0,S66,IF(S$126=$W185,SUM($Q66:S66),0))</f>
        <v>0</v>
      </c>
      <c r="T185" s="6">
        <f>IF($W185=0,T66,IF(T$126=$W185,SUM($Q66:T66),0))</f>
        <v>0</v>
      </c>
      <c r="U185" s="6">
        <f>IF($W185=0,U66,IF(U$126=$W185,SUM($Q66:U66),0))</f>
        <v>0</v>
      </c>
      <c r="V185" s="45">
        <f t="shared" si="66"/>
        <v>0</v>
      </c>
      <c r="W185" s="43" t="str" cm="1">
        <f t="array" ref="W185">_xlfn.IFNA(INDEX('1.0 Data'!$AC$9:$AC$66,MATCH($L185,'1.0 Data'!$P$9:$P$66,0),0),"")</f>
        <v/>
      </c>
      <c r="Y185" s="46">
        <f t="shared" ca="1" si="59"/>
        <v>0</v>
      </c>
    </row>
    <row r="186" spans="1:27" ht="16.5" thickTop="1" thickBot="1">
      <c r="L186" s="6"/>
      <c r="M186" s="6"/>
      <c r="N186" s="6"/>
      <c r="O186" s="6"/>
      <c r="P186" s="6"/>
      <c r="Q186" s="6">
        <f>IF($W186=0,Q67,IF(Q$126=$W186,SUM($Q67:Q67),0))</f>
        <v>0</v>
      </c>
      <c r="R186" s="6">
        <f>IF($W186=0,R67,IF(R$126=$W186,SUM($Q67:R67),0))</f>
        <v>0</v>
      </c>
      <c r="S186" s="6">
        <f>IF($W186=0,S67,IF(S$126=$W186,SUM($Q67:S67),0))</f>
        <v>0</v>
      </c>
      <c r="T186" s="6">
        <f>IF($W186=0,T67,IF(T$126=$W186,SUM($Q67:T67),0))</f>
        <v>0</v>
      </c>
      <c r="U186" s="6">
        <f>IF($W186=0,U67,IF(U$126=$W186,SUM($Q67:U67),0))</f>
        <v>0</v>
      </c>
      <c r="V186" s="45">
        <f t="shared" si="66"/>
        <v>0</v>
      </c>
      <c r="W186" s="43" t="str" cm="1">
        <f t="array" ref="W186">_xlfn.IFNA(INDEX('1.0 Data'!$AC$9:$AC$66,MATCH($L186,'1.0 Data'!$P$9:$P$66,0),0),"")</f>
        <v/>
      </c>
      <c r="Y186" s="46">
        <f t="shared" si="59"/>
        <v>0</v>
      </c>
    </row>
    <row r="187" spans="1:27" ht="16.5" thickTop="1" thickBot="1">
      <c r="L187" s="6"/>
      <c r="M187" s="6"/>
      <c r="N187" s="6"/>
      <c r="O187" s="6"/>
      <c r="P187" s="6"/>
      <c r="Q187" s="6">
        <f>IF($W187=0,Q68,IF(Q$126=$W187,SUM($Q68:Q68),0))</f>
        <v>0</v>
      </c>
      <c r="R187" s="6">
        <f>IF($W187=0,R68,IF(R$126=$W187,SUM($Q68:R68),0))</f>
        <v>0</v>
      </c>
      <c r="S187" s="6">
        <f>IF($W187=0,S68,IF(S$126=$W187,SUM($Q68:S68),0))</f>
        <v>0</v>
      </c>
      <c r="T187" s="6">
        <f>IF($W187=0,T68,IF(T$126=$W187,SUM($Q68:T68),0))</f>
        <v>0</v>
      </c>
      <c r="U187" s="6">
        <f>IF($W187=0,U68,IF(U$126=$W187,SUM($Q68:U68),0))</f>
        <v>0</v>
      </c>
      <c r="V187" s="45">
        <f t="shared" si="66"/>
        <v>0</v>
      </c>
      <c r="W187" s="43" t="str" cm="1">
        <f t="array" ref="W187">_xlfn.IFNA(INDEX('1.0 Data'!$AC$9:$AC$66,MATCH($L187,'1.0 Data'!$P$9:$P$66,0),0),"")</f>
        <v/>
      </c>
      <c r="Y187" s="46">
        <f t="shared" si="59"/>
        <v>0</v>
      </c>
    </row>
    <row r="188" spans="1:27" ht="16.5" thickTop="1" thickBot="1">
      <c r="L188" s="27" t="s">
        <v>16</v>
      </c>
      <c r="M188" s="27"/>
      <c r="N188" s="27"/>
      <c r="O188" s="27"/>
      <c r="P188" s="27"/>
      <c r="Q188" s="27">
        <f t="shared" ref="Q188:V188" si="115">SUM(Q128:Q137)</f>
        <v>770039.24954000011</v>
      </c>
      <c r="R188" s="27">
        <f t="shared" si="115"/>
        <v>409464</v>
      </c>
      <c r="S188" s="27">
        <f t="shared" si="115"/>
        <v>0</v>
      </c>
      <c r="T188" s="27">
        <f t="shared" si="115"/>
        <v>0</v>
      </c>
      <c r="U188" s="27">
        <f t="shared" si="115"/>
        <v>0</v>
      </c>
      <c r="V188" s="27">
        <f t="shared" si="115"/>
        <v>1179503.2495400002</v>
      </c>
      <c r="X188" s="46">
        <f ca="1">V188-V123</f>
        <v>-32622267.971609332</v>
      </c>
    </row>
    <row r="189" spans="1:27" ht="15.75" thickTop="1"/>
    <row r="190" spans="1:27" ht="19.5">
      <c r="A190" s="2" t="s">
        <v>179</v>
      </c>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3" t="s">
        <v>6</v>
      </c>
      <c r="B191" s="3" t="s">
        <v>4</v>
      </c>
      <c r="C191" s="3"/>
      <c r="D191" s="3"/>
      <c r="E191" s="3" t="str">
        <f t="shared" ref="E191:J191" si="116">E126</f>
        <v>2020/21</v>
      </c>
      <c r="F191" s="3" t="str">
        <f t="shared" si="116"/>
        <v>2021/22</v>
      </c>
      <c r="G191" s="3" t="str">
        <f t="shared" si="116"/>
        <v>2022/23</v>
      </c>
      <c r="H191" s="3" t="str">
        <f t="shared" si="116"/>
        <v>2023/24</v>
      </c>
      <c r="I191" s="3" t="str">
        <f t="shared" si="116"/>
        <v>2024/25</v>
      </c>
      <c r="J191" s="3" t="str">
        <f t="shared" si="116"/>
        <v>Total</v>
      </c>
      <c r="K191" s="3"/>
      <c r="L191" s="3" t="s">
        <v>6</v>
      </c>
      <c r="M191" s="3" t="s">
        <v>4</v>
      </c>
      <c r="N191" s="3"/>
      <c r="O191" s="3"/>
      <c r="P191" s="3"/>
      <c r="Q191" s="3" t="str">
        <f>Q126</f>
        <v>2025/26</v>
      </c>
      <c r="R191" s="3" t="str">
        <f>R126</f>
        <v>2026/27</v>
      </c>
      <c r="S191" s="3" t="str">
        <f>S126</f>
        <v>2027/28</v>
      </c>
      <c r="T191" s="3" t="str">
        <f>T126</f>
        <v>2028/29</v>
      </c>
      <c r="U191" s="3" t="str">
        <f>U126</f>
        <v>2029/30</v>
      </c>
      <c r="V191" s="3" t="s">
        <v>16</v>
      </c>
      <c r="W191" s="3"/>
      <c r="X191" s="3"/>
      <c r="Y191" s="3"/>
      <c r="Z191" s="3"/>
      <c r="AA191" s="3"/>
    </row>
    <row r="193" spans="12:24">
      <c r="L193" s="6" t="str">
        <f>'1.1 Input'!C20</f>
        <v>Transmission Assets</v>
      </c>
      <c r="M193" s="6" t="str">
        <f>$M$9</f>
        <v>2024/25</v>
      </c>
      <c r="N193" s="6"/>
      <c r="O193" s="6"/>
      <c r="P193" s="6"/>
      <c r="Q193" s="6">
        <f t="shared" ref="Q193:U201" si="117">SUMIF($N$128:$N$189,$L193,Q$128:Q$189)</f>
        <v>8894938.8885123227</v>
      </c>
      <c r="R193" s="6">
        <f t="shared" si="117"/>
        <v>2465341.4988011098</v>
      </c>
      <c r="S193" s="6">
        <f t="shared" si="117"/>
        <v>2353012.2731337473</v>
      </c>
      <c r="T193" s="6">
        <f t="shared" si="117"/>
        <v>1215584.2189808455</v>
      </c>
      <c r="U193" s="6">
        <f t="shared" si="117"/>
        <v>13516629.607149716</v>
      </c>
      <c r="V193" s="45">
        <f t="shared" ref="V193:V201" si="118">SUM(Q193:U193)</f>
        <v>28445506.486577742</v>
      </c>
    </row>
    <row r="194" spans="12:24">
      <c r="L194" s="6" t="str">
        <f>'1.1 Input'!C21</f>
        <v>Transmission Determination Costs</v>
      </c>
      <c r="M194" s="6" t="str">
        <f t="shared" ref="M194:M201" si="119">$M$9</f>
        <v>2024/25</v>
      </c>
      <c r="N194" s="6"/>
      <c r="O194" s="6"/>
      <c r="P194" s="6"/>
      <c r="Q194" s="6">
        <f t="shared" si="117"/>
        <v>0</v>
      </c>
      <c r="R194" s="6">
        <f t="shared" si="117"/>
        <v>0</v>
      </c>
      <c r="S194" s="6">
        <f t="shared" si="117"/>
        <v>0</v>
      </c>
      <c r="T194" s="6">
        <f t="shared" si="117"/>
        <v>146388.55000000002</v>
      </c>
      <c r="U194" s="6">
        <f t="shared" si="117"/>
        <v>146388.55000000002</v>
      </c>
      <c r="V194" s="45">
        <f t="shared" si="118"/>
        <v>292777.10000000003</v>
      </c>
    </row>
    <row r="195" spans="12:24">
      <c r="L195" s="6" t="str">
        <f>'1.1 Input'!C22</f>
        <v>Easements</v>
      </c>
      <c r="M195" s="6" t="str">
        <f t="shared" si="119"/>
        <v>2024/25</v>
      </c>
      <c r="N195" s="6"/>
      <c r="O195" s="6"/>
      <c r="P195" s="6"/>
      <c r="Q195" s="6">
        <f t="shared" si="117"/>
        <v>179367.98</v>
      </c>
      <c r="R195" s="6">
        <f t="shared" si="117"/>
        <v>0</v>
      </c>
      <c r="S195" s="6">
        <f t="shared" si="117"/>
        <v>0</v>
      </c>
      <c r="T195" s="6">
        <f t="shared" si="117"/>
        <v>0</v>
      </c>
      <c r="U195" s="6">
        <f t="shared" si="117"/>
        <v>0</v>
      </c>
      <c r="V195" s="45">
        <f t="shared" si="118"/>
        <v>179367.98</v>
      </c>
    </row>
    <row r="196" spans="12:24">
      <c r="L196" s="6" t="str">
        <f>'1.1 Input'!C23</f>
        <v>Land</v>
      </c>
      <c r="M196" s="6" t="str">
        <f t="shared" si="119"/>
        <v>2024/25</v>
      </c>
      <c r="N196" s="6"/>
      <c r="O196" s="6"/>
      <c r="P196" s="6"/>
      <c r="Q196" s="6">
        <f t="shared" si="117"/>
        <v>0</v>
      </c>
      <c r="R196" s="6">
        <f t="shared" si="117"/>
        <v>0</v>
      </c>
      <c r="S196" s="6">
        <f t="shared" si="117"/>
        <v>0</v>
      </c>
      <c r="T196" s="6">
        <f t="shared" si="117"/>
        <v>0</v>
      </c>
      <c r="U196" s="6">
        <f t="shared" si="117"/>
        <v>0</v>
      </c>
      <c r="V196" s="45">
        <f t="shared" si="118"/>
        <v>0</v>
      </c>
    </row>
    <row r="197" spans="12:24">
      <c r="L197" s="6" t="str">
        <f>'1.1 Input'!C24</f>
        <v>Buildings</v>
      </c>
      <c r="M197" s="6" t="str">
        <f t="shared" si="119"/>
        <v>2024/25</v>
      </c>
      <c r="N197" s="6"/>
      <c r="O197" s="6"/>
      <c r="P197" s="6"/>
      <c r="Q197" s="6">
        <f t="shared" si="117"/>
        <v>495880.35353999998</v>
      </c>
      <c r="R197" s="6">
        <f t="shared" si="117"/>
        <v>2223631.2738228049</v>
      </c>
      <c r="S197" s="6">
        <f t="shared" si="117"/>
        <v>1176564.9805286587</v>
      </c>
      <c r="T197" s="6">
        <f t="shared" si="117"/>
        <v>988043.04668013402</v>
      </c>
      <c r="U197" s="6">
        <f t="shared" si="117"/>
        <v>0</v>
      </c>
      <c r="V197" s="45">
        <f t="shared" si="118"/>
        <v>4884119.6545715975</v>
      </c>
    </row>
    <row r="198" spans="12:24">
      <c r="L198" s="6">
        <f>'1.1 Input'!C25</f>
        <v>0</v>
      </c>
      <c r="M198" s="6" t="str">
        <f t="shared" si="119"/>
        <v>2024/25</v>
      </c>
      <c r="N198" s="6"/>
      <c r="O198" s="6"/>
      <c r="P198" s="6"/>
      <c r="Q198" s="6">
        <f t="shared" si="117"/>
        <v>0</v>
      </c>
      <c r="R198" s="6">
        <f t="shared" si="117"/>
        <v>0</v>
      </c>
      <c r="S198" s="6">
        <f t="shared" si="117"/>
        <v>0</v>
      </c>
      <c r="T198" s="6">
        <f t="shared" si="117"/>
        <v>0</v>
      </c>
      <c r="U198" s="6">
        <f t="shared" si="117"/>
        <v>0</v>
      </c>
      <c r="V198" s="45">
        <f t="shared" si="118"/>
        <v>0</v>
      </c>
    </row>
    <row r="199" spans="12:24">
      <c r="L199" s="6">
        <f>'1.1 Input'!C26</f>
        <v>0</v>
      </c>
      <c r="M199" s="6" t="str">
        <f t="shared" si="119"/>
        <v>2024/25</v>
      </c>
      <c r="N199" s="6"/>
      <c r="O199" s="6"/>
      <c r="P199" s="6"/>
      <c r="Q199" s="6">
        <f t="shared" si="117"/>
        <v>0</v>
      </c>
      <c r="R199" s="6">
        <f t="shared" si="117"/>
        <v>0</v>
      </c>
      <c r="S199" s="6">
        <f t="shared" si="117"/>
        <v>0</v>
      </c>
      <c r="T199" s="6">
        <f t="shared" si="117"/>
        <v>0</v>
      </c>
      <c r="U199" s="6">
        <f t="shared" si="117"/>
        <v>0</v>
      </c>
      <c r="V199" s="45">
        <f t="shared" si="118"/>
        <v>0</v>
      </c>
    </row>
    <row r="200" spans="12:24">
      <c r="L200" s="6" t="str">
        <f>'1.1 Input'!C27</f>
        <v>2018/19</v>
      </c>
      <c r="M200" s="6" t="str">
        <f t="shared" si="119"/>
        <v>2024/25</v>
      </c>
      <c r="N200" s="6"/>
      <c r="O200" s="6"/>
      <c r="P200" s="6"/>
      <c r="Q200" s="6">
        <f t="shared" si="117"/>
        <v>0</v>
      </c>
      <c r="R200" s="6">
        <f t="shared" si="117"/>
        <v>0</v>
      </c>
      <c r="S200" s="6">
        <f t="shared" si="117"/>
        <v>0</v>
      </c>
      <c r="T200" s="6">
        <f t="shared" si="117"/>
        <v>0</v>
      </c>
      <c r="U200" s="6">
        <f t="shared" si="117"/>
        <v>0</v>
      </c>
      <c r="V200" s="45">
        <f t="shared" si="118"/>
        <v>0</v>
      </c>
    </row>
    <row r="201" spans="12:24" ht="15.75" thickBot="1">
      <c r="L201" s="6">
        <f>'1.1 Input'!C28</f>
        <v>0</v>
      </c>
      <c r="M201" s="6" t="str">
        <f t="shared" si="119"/>
        <v>2024/25</v>
      </c>
      <c r="N201" s="6"/>
      <c r="O201" s="6"/>
      <c r="P201" s="6"/>
      <c r="Q201" s="6">
        <f t="shared" si="117"/>
        <v>0</v>
      </c>
      <c r="R201" s="6">
        <f t="shared" si="117"/>
        <v>0</v>
      </c>
      <c r="S201" s="6">
        <f t="shared" si="117"/>
        <v>0</v>
      </c>
      <c r="T201" s="6">
        <f t="shared" si="117"/>
        <v>0</v>
      </c>
      <c r="U201" s="6">
        <f t="shared" si="117"/>
        <v>0</v>
      </c>
      <c r="V201" s="45">
        <f t="shared" si="118"/>
        <v>0</v>
      </c>
    </row>
    <row r="202" spans="12:24" ht="16.5" thickTop="1" thickBot="1">
      <c r="L202" s="27" t="s">
        <v>16</v>
      </c>
      <c r="M202" s="27"/>
      <c r="N202" s="27"/>
      <c r="O202" s="27"/>
      <c r="P202" s="27"/>
      <c r="Q202" s="27">
        <f>SUM(Q193:Q201)</f>
        <v>9570187.2220523227</v>
      </c>
      <c r="R202" s="27">
        <f>SUM(R193:R201)</f>
        <v>4688972.7726239152</v>
      </c>
      <c r="S202" s="27">
        <f>SUM(S193:S201)</f>
        <v>3529577.253662406</v>
      </c>
      <c r="T202" s="27">
        <f>SUM(T193:T201)</f>
        <v>2350015.8156609796</v>
      </c>
      <c r="U202" s="27">
        <f>SUM(U193:U201)</f>
        <v>13663018.157149717</v>
      </c>
      <c r="V202" s="27">
        <f>SUM(Q202:U202)</f>
        <v>33801771.22114934</v>
      </c>
      <c r="X202" s="46">
        <f>V202-V188</f>
        <v>32622267.971609339</v>
      </c>
    </row>
    <row r="203" spans="12:24" ht="16.5" thickTop="1" thickBot="1"/>
    <row r="204" spans="12:24" ht="16.5" thickTop="1" thickBot="1">
      <c r="L204" s="37" t="s">
        <v>178</v>
      </c>
      <c r="M204" s="37" t="str">
        <f>M193</f>
        <v>2024/25</v>
      </c>
      <c r="Q204" s="37">
        <f t="shared" ref="Q204:V204" si="120">Q188-Q202</f>
        <v>-8800147.9725123234</v>
      </c>
      <c r="R204" s="37">
        <f t="shared" si="120"/>
        <v>-4279508.7726239152</v>
      </c>
      <c r="S204" s="37">
        <f t="shared" si="120"/>
        <v>-3529577.253662406</v>
      </c>
      <c r="T204" s="37">
        <f t="shared" si="120"/>
        <v>-2350015.8156609796</v>
      </c>
      <c r="U204" s="37">
        <f t="shared" si="120"/>
        <v>-13663018.157149717</v>
      </c>
      <c r="V204" s="37">
        <f t="shared" si="120"/>
        <v>-32622267.971609339</v>
      </c>
    </row>
    <row r="205" spans="12:24" ht="15.75" thickTop="1"/>
  </sheetData>
  <autoFilter ref="L8:V66" xr:uid="{00000000-0001-0000-0300-000000000000}"/>
  <phoneticPr fontId="15" type="noConversion"/>
  <conditionalFormatting sqref="Y128:Y187">
    <cfRule type="cellIs" dxfId="11" priority="1" operator="not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0A6D-4075-4AC2-A347-8CC2E4F4B6DD}">
  <dimension ref="A3:AS67"/>
  <sheetViews>
    <sheetView topLeftCell="AM1" zoomScale="115" zoomScaleNormal="115" workbookViewId="0">
      <selection activeCell="AP68" sqref="AP68"/>
    </sheetView>
  </sheetViews>
  <sheetFormatPr defaultRowHeight="15"/>
  <cols>
    <col min="1" max="1" width="57" bestFit="1" customWidth="1"/>
    <col min="3" max="3" width="25.875" bestFit="1" customWidth="1"/>
    <col min="4" max="7" width="12.375" bestFit="1" customWidth="1"/>
    <col min="8" max="8" width="13.875" bestFit="1" customWidth="1"/>
    <col min="9" max="9" width="2.375" customWidth="1"/>
    <col min="10" max="10" width="33" customWidth="1"/>
    <col min="11" max="11" width="12.875" bestFit="1" customWidth="1"/>
    <col min="12" max="13" width="10.375" bestFit="1" customWidth="1"/>
    <col min="14" max="14" width="9" bestFit="1" customWidth="1"/>
    <col min="15" max="16" width="10.375" bestFit="1" customWidth="1"/>
    <col min="17" max="17" width="1.875" customWidth="1"/>
    <col min="18" max="18" width="19.375" bestFit="1" customWidth="1"/>
    <col min="19" max="21" width="10.375" bestFit="1" customWidth="1"/>
    <col min="22" max="22" width="8.875" bestFit="1" customWidth="1"/>
    <col min="23" max="23" width="10.375" bestFit="1" customWidth="1"/>
    <col min="24" max="24" width="11.375" bestFit="1" customWidth="1"/>
    <col min="25" max="25" width="1.875" customWidth="1"/>
    <col min="26" max="26" width="48" bestFit="1" customWidth="1"/>
    <col min="32" max="32" width="12.375" bestFit="1" customWidth="1"/>
    <col min="34" max="34" width="48" bestFit="1" customWidth="1"/>
    <col min="36" max="36" width="17.375" bestFit="1" customWidth="1"/>
    <col min="37" max="37" width="11.375" bestFit="1" customWidth="1"/>
    <col min="38" max="38" width="13.875" bestFit="1" customWidth="1"/>
    <col min="39" max="42" width="12.375" bestFit="1" customWidth="1"/>
    <col min="43" max="43" width="13.875" bestFit="1" customWidth="1"/>
    <col min="45" max="45" width="11" bestFit="1" customWidth="1"/>
  </cols>
  <sheetData>
    <row r="3" spans="1:45" ht="15.75" thickBot="1"/>
    <row r="4" spans="1:45" ht="16.5" thickTop="1" thickBot="1">
      <c r="C4" s="46">
        <f>C5-'1.0 Data'!V5</f>
        <v>0</v>
      </c>
      <c r="D4" s="46">
        <f>D5-'1.0 Data'!W5-D63</f>
        <v>0</v>
      </c>
      <c r="E4" s="46">
        <f>E5-'1.0 Data'!X5</f>
        <v>0</v>
      </c>
      <c r="F4" s="46">
        <f>F5-'1.0 Data'!Y5</f>
        <v>0</v>
      </c>
      <c r="G4" s="46">
        <f>G5-'1.0 Data'!Z5</f>
        <v>0</v>
      </c>
      <c r="H4" s="46">
        <f>H5-'1.0 Data'!AA5</f>
        <v>0</v>
      </c>
      <c r="S4" s="72">
        <f>S5+K5-C5</f>
        <v>0</v>
      </c>
      <c r="T4" s="72">
        <f t="shared" ref="T4:U4" si="0">T5+L5-D5</f>
        <v>0</v>
      </c>
      <c r="U4" s="72">
        <f t="shared" si="0"/>
        <v>0</v>
      </c>
      <c r="V4" s="72">
        <f>V5+N5-F5</f>
        <v>0</v>
      </c>
      <c r="W4" s="72">
        <f>W5+O5-G5</f>
        <v>0</v>
      </c>
      <c r="X4" s="72">
        <f>X5+P5-H5</f>
        <v>0</v>
      </c>
    </row>
    <row r="5" spans="1:45" ht="23.25" thickTop="1">
      <c r="A5" s="1" t="e">
        <f ca="1">RIGHT(CELL("filename",A1),LEN(CELL("filename",A1))-FIND("]",CELL("filename",A1)))</f>
        <v>#VALUE!</v>
      </c>
      <c r="C5" s="27">
        <f>SUM(C9:C65)</f>
        <v>13325866.253333336</v>
      </c>
      <c r="D5" s="27">
        <f>SUM(D9:D66)</f>
        <v>4362438.0433333339</v>
      </c>
      <c r="E5" s="27">
        <f t="shared" ref="E5" si="1">SUM(E9:E65)</f>
        <v>4055843.22</v>
      </c>
      <c r="F5" s="27">
        <f>SUM(F9:F66)</f>
        <v>3742983.91</v>
      </c>
      <c r="G5" s="27">
        <f>SUM(G9:G66)</f>
        <v>7113515.8000000017</v>
      </c>
      <c r="H5" s="27">
        <f>SUM(H9:H66)</f>
        <v>32600647.226666667</v>
      </c>
      <c r="K5" s="27">
        <f>SUM(K9:K65)</f>
        <v>1160552.1627053937</v>
      </c>
      <c r="L5" s="27">
        <f t="shared" ref="L5:P5" si="2">SUM(L9:L65)</f>
        <v>658418.54724328383</v>
      </c>
      <c r="M5" s="27">
        <f t="shared" si="2"/>
        <v>149845.28328170723</v>
      </c>
      <c r="N5" s="27">
        <f t="shared" si="2"/>
        <v>492888.00000000006</v>
      </c>
      <c r="O5" s="27">
        <f t="shared" si="2"/>
        <v>112728.00000000001</v>
      </c>
      <c r="P5" s="27">
        <f t="shared" si="2"/>
        <v>2574431.9932303848</v>
      </c>
      <c r="S5" s="27">
        <f>SUM(S9:S65)</f>
        <v>12165314.090627942</v>
      </c>
      <c r="T5" s="27">
        <f t="shared" ref="T5:U5" si="3">SUM(T9:T65)</f>
        <v>3704019.4960900499</v>
      </c>
      <c r="U5" s="27">
        <f t="shared" si="3"/>
        <v>3905997.936718293</v>
      </c>
      <c r="V5" s="27">
        <f>SUM(V9:V66)</f>
        <v>3250095.91</v>
      </c>
      <c r="W5" s="27">
        <f>SUM(W9:W66)</f>
        <v>7000787.8000000017</v>
      </c>
      <c r="X5" s="27">
        <f>SUM(X9:X66)</f>
        <v>30026215.233436279</v>
      </c>
      <c r="AF5" s="19"/>
      <c r="AL5" s="27">
        <f t="shared" ref="AL5:AQ5" si="4">SUM(AL9:AL65)</f>
        <v>13351935.69215907</v>
      </c>
      <c r="AM5" s="27">
        <f t="shared" si="4"/>
        <v>4384563.5361894015</v>
      </c>
      <c r="AN5" s="27">
        <f t="shared" si="4"/>
        <v>4062275.085344607</v>
      </c>
      <c r="AO5" s="27">
        <f>SUM(AO9:AO66)</f>
        <v>3770203.4783375044</v>
      </c>
      <c r="AP5" s="27">
        <f>SUM(AP9:AP66)</f>
        <v>7121323.1955413092</v>
      </c>
      <c r="AQ5" s="27">
        <f t="shared" si="4"/>
        <v>32690300.987571888</v>
      </c>
    </row>
    <row r="7" spans="1:45" ht="20.25" thickBot="1">
      <c r="C7" s="2" t="s">
        <v>180</v>
      </c>
      <c r="D7" s="2"/>
      <c r="E7" s="2"/>
      <c r="F7" s="2"/>
      <c r="G7" s="2"/>
      <c r="H7" s="2"/>
      <c r="J7" s="70" t="s">
        <v>181</v>
      </c>
      <c r="K7" s="70"/>
      <c r="L7" s="70"/>
      <c r="M7" s="70"/>
      <c r="N7" s="70"/>
      <c r="O7" s="70"/>
      <c r="P7" s="70"/>
      <c r="R7" s="2" t="s">
        <v>182</v>
      </c>
      <c r="S7" s="2"/>
      <c r="T7" s="2"/>
      <c r="U7" s="2"/>
      <c r="V7" s="2"/>
      <c r="W7" s="2"/>
      <c r="X7" s="2"/>
      <c r="Z7" s="70" t="s">
        <v>183</v>
      </c>
      <c r="AA7" s="70"/>
      <c r="AB7" s="70"/>
      <c r="AC7" s="70"/>
      <c r="AD7" s="70"/>
      <c r="AE7" s="70"/>
      <c r="AF7" s="70"/>
      <c r="AH7" s="70" t="s">
        <v>184</v>
      </c>
      <c r="AI7" s="70"/>
      <c r="AJ7" s="70"/>
      <c r="AK7" s="70"/>
      <c r="AL7" s="70"/>
      <c r="AM7" s="70"/>
      <c r="AN7" s="70"/>
      <c r="AO7" s="70"/>
      <c r="AP7" s="70"/>
      <c r="AQ7" s="70"/>
    </row>
    <row r="8" spans="1:45" ht="18" thickTop="1" thickBot="1">
      <c r="A8" s="4" t="s">
        <v>3</v>
      </c>
      <c r="B8" s="4" t="s">
        <v>185</v>
      </c>
      <c r="C8" s="4" t="str">
        <f>'1.0 Data'!V8</f>
        <v>2025/26</v>
      </c>
      <c r="D8" s="4" t="str">
        <f>'1.0 Data'!W8</f>
        <v>2026/27</v>
      </c>
      <c r="E8" s="4" t="str">
        <f>'1.0 Data'!X8</f>
        <v>2027/28</v>
      </c>
      <c r="F8" s="4" t="str">
        <f>'1.0 Data'!Y8</f>
        <v>2028/29</v>
      </c>
      <c r="G8" s="4" t="str">
        <f>'1.0 Data'!Z8</f>
        <v>2029/30</v>
      </c>
      <c r="H8" s="4" t="s">
        <v>16</v>
      </c>
      <c r="J8" s="4" t="str">
        <f>A8</f>
        <v>Project</v>
      </c>
      <c r="K8" s="4" t="str">
        <f>C8</f>
        <v>2025/26</v>
      </c>
      <c r="L8" s="4" t="str">
        <f t="shared" ref="L8:O8" si="5">D8</f>
        <v>2026/27</v>
      </c>
      <c r="M8" s="4" t="str">
        <f t="shared" si="5"/>
        <v>2027/28</v>
      </c>
      <c r="N8" s="4" t="str">
        <f t="shared" si="5"/>
        <v>2028/29</v>
      </c>
      <c r="O8" s="4" t="str">
        <f t="shared" si="5"/>
        <v>2029/30</v>
      </c>
      <c r="P8" s="4" t="s">
        <v>16</v>
      </c>
      <c r="R8" s="4" t="str">
        <f>J8</f>
        <v>Project</v>
      </c>
      <c r="S8" s="4" t="str">
        <f t="shared" ref="S8:V8" si="6">K8</f>
        <v>2025/26</v>
      </c>
      <c r="T8" s="4" t="str">
        <f t="shared" si="6"/>
        <v>2026/27</v>
      </c>
      <c r="U8" s="4" t="str">
        <f t="shared" si="6"/>
        <v>2027/28</v>
      </c>
      <c r="V8" s="4" t="str">
        <f t="shared" si="6"/>
        <v>2028/29</v>
      </c>
      <c r="W8" s="4" t="str">
        <f>O8</f>
        <v>2029/30</v>
      </c>
      <c r="X8" s="4" t="str">
        <f>P8</f>
        <v>Total</v>
      </c>
      <c r="Z8" s="4" t="str">
        <f>J8</f>
        <v>Project</v>
      </c>
      <c r="AA8" s="4" t="str">
        <f t="shared" ref="AA8:AF8" si="7">C8</f>
        <v>2025/26</v>
      </c>
      <c r="AB8" s="4" t="str">
        <f t="shared" si="7"/>
        <v>2026/27</v>
      </c>
      <c r="AC8" s="4" t="str">
        <f t="shared" si="7"/>
        <v>2027/28</v>
      </c>
      <c r="AD8" s="4" t="str">
        <f t="shared" si="7"/>
        <v>2028/29</v>
      </c>
      <c r="AE8" s="4" t="str">
        <f t="shared" si="7"/>
        <v>2029/30</v>
      </c>
      <c r="AF8" s="4" t="str">
        <f t="shared" si="7"/>
        <v>Total</v>
      </c>
      <c r="AH8" s="4" t="str">
        <f>'1.0 Data'!P8</f>
        <v>Project</v>
      </c>
      <c r="AI8" s="4" t="str">
        <f>'1.0 Data'!Q8</f>
        <v>$</v>
      </c>
      <c r="AJ8" s="4" t="str">
        <f>'1.0 Data'!S8</f>
        <v>Program</v>
      </c>
      <c r="AK8" s="4" t="str">
        <f>'1.0 Data'!T8</f>
        <v>Asset Class</v>
      </c>
      <c r="AL8" s="4" t="str">
        <f t="shared" ref="AL8:AQ8" si="8">AA8</f>
        <v>2025/26</v>
      </c>
      <c r="AM8" s="4" t="str">
        <f t="shared" si="8"/>
        <v>2026/27</v>
      </c>
      <c r="AN8" s="4" t="str">
        <f t="shared" si="8"/>
        <v>2027/28</v>
      </c>
      <c r="AO8" s="4" t="str">
        <f t="shared" si="8"/>
        <v>2028/29</v>
      </c>
      <c r="AP8" s="4" t="str">
        <f t="shared" si="8"/>
        <v>2029/30</v>
      </c>
      <c r="AQ8" s="4" t="str">
        <f t="shared" si="8"/>
        <v>Total</v>
      </c>
      <c r="AS8" s="13" t="s">
        <v>178</v>
      </c>
    </row>
    <row r="9" spans="1:45" ht="16.5" thickTop="1" thickBot="1">
      <c r="A9" s="43" t="str">
        <f>'1.0 Data'!P9</f>
        <v>AC Isolators / Earth Switches</v>
      </c>
      <c r="B9" s="67" cm="1">
        <f t="array" ref="B9">_xlfn.IFNA(INDEX('1.0 Data'!$AB$9:$AB$66,MATCH($A9,'1.0 Data'!$P$9:$P$66,0),0),0)</f>
        <v>0</v>
      </c>
      <c r="C9" s="69" cm="1">
        <f t="array" ref="C9">_xlfn.IFNA(INDEX('1.0 Data'!V$9:V$66,MATCH($A9,'1.0 Data'!$P$9:$P$66,0),0),0)</f>
        <v>271524.00000000006</v>
      </c>
      <c r="D9" s="69" cm="1">
        <f t="array" ref="D9">_xlfn.IFNA(INDEX('1.0 Data'!W$9:W$66,MATCH($A9,'1.0 Data'!$P$9:$P$66,0),0),0)</f>
        <v>0</v>
      </c>
      <c r="E9" s="69" cm="1">
        <f t="array" ref="E9">_xlfn.IFNA(INDEX('1.0 Data'!X$9:X$66,MATCH($A9,'1.0 Data'!$P$9:$P$66,0),0),0)</f>
        <v>0</v>
      </c>
      <c r="F9" s="69" cm="1">
        <f t="array" ref="F9">_xlfn.IFNA(INDEX('1.0 Data'!Y$9:Y$66,MATCH($A9,'1.0 Data'!$P$9:$P$66,0),0),0)</f>
        <v>0</v>
      </c>
      <c r="G9" s="69" cm="1">
        <f t="array" ref="G9">_xlfn.IFNA(INDEX('1.0 Data'!Z$9:Z$66,MATCH($A9,'1.0 Data'!$P$9:$P$66,0),0),0)</f>
        <v>0</v>
      </c>
      <c r="H9" s="45">
        <f>SUM(C9:G9)</f>
        <v>271524.00000000006</v>
      </c>
      <c r="J9" s="6" t="str">
        <f>A9</f>
        <v>AC Isolators / Earth Switches</v>
      </c>
      <c r="K9" s="6">
        <f>C9*$B9</f>
        <v>0</v>
      </c>
      <c r="L9" s="6">
        <f t="shared" ref="L9:O9" si="9">D9*$B9</f>
        <v>0</v>
      </c>
      <c r="M9" s="6">
        <f t="shared" si="9"/>
        <v>0</v>
      </c>
      <c r="N9" s="6">
        <f t="shared" si="9"/>
        <v>0</v>
      </c>
      <c r="O9" s="6">
        <f t="shared" si="9"/>
        <v>0</v>
      </c>
      <c r="P9" s="6">
        <f>SUM(K9:O9)</f>
        <v>0</v>
      </c>
      <c r="R9" s="6" t="str">
        <f>J9</f>
        <v>AC Isolators / Earth Switches</v>
      </c>
      <c r="S9" s="65">
        <f>C9*(1-$B9)</f>
        <v>271524.00000000006</v>
      </c>
      <c r="T9" s="65">
        <f t="shared" ref="T9:W9" si="10">D9*(1-$B9)</f>
        <v>0</v>
      </c>
      <c r="U9" s="65">
        <f t="shared" si="10"/>
        <v>0</v>
      </c>
      <c r="V9" s="65">
        <f t="shared" si="10"/>
        <v>0</v>
      </c>
      <c r="W9" s="65">
        <f t="shared" si="10"/>
        <v>0</v>
      </c>
      <c r="X9" s="65">
        <f>SUM(S9:W9)</f>
        <v>271524.00000000006</v>
      </c>
      <c r="Z9" s="6" t="str">
        <f>J9</f>
        <v>AC Isolators / Earth Switches</v>
      </c>
      <c r="AA9" s="6">
        <f>K9*'1.1 Input'!J$30</f>
        <v>0</v>
      </c>
      <c r="AB9" s="6">
        <f>L9*'1.1 Input'!K$30</f>
        <v>0</v>
      </c>
      <c r="AC9" s="6">
        <f>M9*'1.1 Input'!L$30</f>
        <v>0</v>
      </c>
      <c r="AD9" s="6">
        <f>N9*'1.1 Input'!M$30</f>
        <v>0</v>
      </c>
      <c r="AE9" s="6">
        <f>O9*'1.1 Input'!N$30</f>
        <v>0</v>
      </c>
      <c r="AF9" s="6">
        <f>SUM(AA9:AE9)</f>
        <v>0</v>
      </c>
      <c r="AH9" s="6" t="str">
        <f>Z9</f>
        <v>AC Isolators / Earth Switches</v>
      </c>
      <c r="AI9" s="6" t="str" cm="1">
        <f t="array" ref="AI9">_xlfn.IFNA(INDEX('1.0 Data'!$Q$9:$Q$66,MATCH($AH9,'1.0 Data'!$P$9:$P$66,0),0),"")</f>
        <v>2023/24</v>
      </c>
      <c r="AJ9" s="6" t="str" cm="1">
        <f t="array" ref="AJ9">_xlfn.IFNA(INDEX('1.0 Data'!S$9:S$66,MATCH($AH9,'1.0 Data'!$P$9:$P$66,0),0),"")</f>
        <v>Safety and Protection</v>
      </c>
      <c r="AK9" s="6" t="str" cm="1">
        <f t="array" ref="AK9">_xlfn.IFNA(INDEX('1.0 Data'!T$9:T$66,MATCH($AH9,'1.0 Data'!$P$9:$P$66,0),0),"")</f>
        <v>Transmission Assets</v>
      </c>
      <c r="AL9" s="65">
        <f>AA9+S9</f>
        <v>271524.00000000006</v>
      </c>
      <c r="AM9" s="65">
        <f t="shared" ref="AM9:AP9" si="11">AB9+T9</f>
        <v>0</v>
      </c>
      <c r="AN9" s="65">
        <f t="shared" si="11"/>
        <v>0</v>
      </c>
      <c r="AO9" s="65">
        <f t="shared" si="11"/>
        <v>0</v>
      </c>
      <c r="AP9" s="65">
        <f t="shared" si="11"/>
        <v>0</v>
      </c>
      <c r="AQ9" s="45">
        <f>SUM(AL9:AP9)</f>
        <v>271524.00000000006</v>
      </c>
      <c r="AS9" s="71">
        <f>H9-P9+AF9-AQ9</f>
        <v>0</v>
      </c>
    </row>
    <row r="10" spans="1:45" ht="16.5" thickTop="1" thickBot="1">
      <c r="A10" s="43" t="str">
        <f>'1.0 Data'!P10</f>
        <v>Air Inlet Sound &amp; Proofing Replacement</v>
      </c>
      <c r="B10" s="67" cm="1">
        <f t="array" ref="B10">_xlfn.IFNA(INDEX('1.0 Data'!$AB$9:$AB$66,MATCH($A10,'1.0 Data'!$P$9:$P$66,0),0),0)</f>
        <v>0</v>
      </c>
      <c r="C10" s="69" cm="1">
        <f t="array" ref="C10">_xlfn.IFNA(INDEX('1.0 Data'!V$9:V$66,MATCH($A10,'1.0 Data'!$P$9:$P$66,0),0),0)</f>
        <v>0</v>
      </c>
      <c r="D10" s="69" cm="1">
        <f t="array" ref="D10">_xlfn.IFNA(INDEX('1.0 Data'!W$9:W$66,MATCH($A10,'1.0 Data'!$P$9:$P$66,0),0),0)</f>
        <v>0</v>
      </c>
      <c r="E10" s="69" cm="1">
        <f t="array" ref="E10">_xlfn.IFNA(INDEX('1.0 Data'!X$9:X$66,MATCH($A10,'1.0 Data'!$P$9:$P$66,0),0),0)</f>
        <v>0</v>
      </c>
      <c r="F10" s="69" cm="1">
        <f t="array" ref="F10">_xlfn.IFNA(INDEX('1.0 Data'!Y$9:Y$66,MATCH($A10,'1.0 Data'!$P$9:$P$66,0),0),0)</f>
        <v>0</v>
      </c>
      <c r="G10" s="69" cm="1">
        <f t="array" ref="G10">_xlfn.IFNA(INDEX('1.0 Data'!Z$9:Z$66,MATCH($A10,'1.0 Data'!$P$9:$P$66,0),0),0)</f>
        <v>0</v>
      </c>
      <c r="H10" s="45">
        <f t="shared" ref="H10:H66" si="12">SUM(C10:G10)</f>
        <v>0</v>
      </c>
      <c r="J10" s="6" t="str">
        <f t="shared" ref="J10:J66" si="13">A10</f>
        <v>Air Inlet Sound &amp; Proofing Replacement</v>
      </c>
      <c r="K10" s="6">
        <f t="shared" ref="K10:K66" si="14">C10*$B10</f>
        <v>0</v>
      </c>
      <c r="L10" s="6">
        <f t="shared" ref="L10:L66" si="15">D10*$B10</f>
        <v>0</v>
      </c>
      <c r="M10" s="6">
        <f t="shared" ref="M10:M66" si="16">E10*$B10</f>
        <v>0</v>
      </c>
      <c r="N10" s="6">
        <f t="shared" ref="N10:N65" si="17">F10*$B10</f>
        <v>0</v>
      </c>
      <c r="O10" s="6">
        <f t="shared" ref="O10:O64" si="18">G10*$B10</f>
        <v>0</v>
      </c>
      <c r="P10" s="6">
        <f t="shared" ref="P10:P65" si="19">SUM(K10:O10)</f>
        <v>0</v>
      </c>
      <c r="R10" s="6" t="str">
        <f t="shared" ref="R10:R65" si="20">J10</f>
        <v>Air Inlet Sound &amp; Proofing Replacement</v>
      </c>
      <c r="S10" s="65">
        <f t="shared" ref="S10:S65" si="21">C10*(1-$B10)</f>
        <v>0</v>
      </c>
      <c r="T10" s="65">
        <f t="shared" ref="T10:T65" si="22">D10*(1-$B10)</f>
        <v>0</v>
      </c>
      <c r="U10" s="65">
        <f t="shared" ref="U10:U65" si="23">E10*(1-$B10)</f>
        <v>0</v>
      </c>
      <c r="V10" s="65">
        <f t="shared" ref="V10:V65" si="24">F10*(1-$B10)</f>
        <v>0</v>
      </c>
      <c r="W10" s="65">
        <f t="shared" ref="W10:W65" si="25">G10*(1-$B10)</f>
        <v>0</v>
      </c>
      <c r="X10" s="65">
        <f t="shared" ref="X10:X65" si="26">SUM(S10:W10)</f>
        <v>0</v>
      </c>
      <c r="Z10" s="6" t="str">
        <f t="shared" ref="Z10:Z65" si="27">J10</f>
        <v>Air Inlet Sound &amp; Proofing Replacement</v>
      </c>
      <c r="AA10" s="6">
        <f>K10*'1.1 Input'!J$30</f>
        <v>0</v>
      </c>
      <c r="AB10" s="6">
        <f>L10*'1.1 Input'!K$30</f>
        <v>0</v>
      </c>
      <c r="AC10" s="6">
        <f>M10*'1.1 Input'!L$30</f>
        <v>0</v>
      </c>
      <c r="AD10" s="6">
        <f>N10*'1.1 Input'!M$30</f>
        <v>0</v>
      </c>
      <c r="AE10" s="6">
        <f>O10*'1.1 Input'!N$30</f>
        <v>0</v>
      </c>
      <c r="AF10" s="6">
        <f t="shared" ref="AF10:AF65" si="28">SUM(AA10:AE10)</f>
        <v>0</v>
      </c>
      <c r="AH10" s="6" t="str">
        <f t="shared" ref="AH10:AH65" si="29">Z10</f>
        <v>Air Inlet Sound &amp; Proofing Replacement</v>
      </c>
      <c r="AI10" s="6" t="str" cm="1">
        <f t="array" ref="AI10">_xlfn.IFNA(INDEX('1.0 Data'!$Q$9:$Q$66,MATCH($AH10,'1.0 Data'!$P$9:$P$66,0),0),"")</f>
        <v>2023/24</v>
      </c>
      <c r="AJ10" s="6" t="str" cm="1">
        <f t="array" ref="AJ10">_xlfn.IFNA(INDEX('1.0 Data'!S$9:S$66,MATCH($AH10,'1.0 Data'!$P$9:$P$66,0),0),"")</f>
        <v>Major Maintenance</v>
      </c>
      <c r="AK10" s="6" t="str" cm="1">
        <f t="array" ref="AK10">_xlfn.IFNA(INDEX('1.0 Data'!T$9:T$66,MATCH($AH10,'1.0 Data'!$P$9:$P$66,0),0),"")</f>
        <v>Transmission Assets</v>
      </c>
      <c r="AL10" s="65">
        <f t="shared" ref="AL10:AL65" si="30">AA10+S10</f>
        <v>0</v>
      </c>
      <c r="AM10" s="65">
        <f t="shared" ref="AM10:AM65" si="31">AB10+T10</f>
        <v>0</v>
      </c>
      <c r="AN10" s="65">
        <f t="shared" ref="AN10:AN65" si="32">AC10+U10</f>
        <v>0</v>
      </c>
      <c r="AO10" s="65">
        <f t="shared" ref="AO10:AO65" si="33">AD10+V10</f>
        <v>0</v>
      </c>
      <c r="AP10" s="65">
        <f t="shared" ref="AP10:AP65" si="34">AE10+W10</f>
        <v>0</v>
      </c>
      <c r="AQ10" s="45">
        <f t="shared" ref="AQ10:AQ65" si="35">SUM(AL10:AP10)</f>
        <v>0</v>
      </c>
      <c r="AS10" s="71">
        <f t="shared" ref="AS10:AS65" si="36">H10-P10+AF10-AQ10</f>
        <v>0</v>
      </c>
    </row>
    <row r="11" spans="1:45" ht="16.5" thickTop="1" thickBot="1">
      <c r="A11" s="43" t="str">
        <f>'1.0 Data'!P11</f>
        <v>Annual Spraying for Corrosion</v>
      </c>
      <c r="B11" s="67" cm="1">
        <f t="array" ref="B11">_xlfn.IFNA(INDEX('1.0 Data'!$AB$9:$AB$66,MATCH($A11,'1.0 Data'!$P$9:$P$66,0),0),0)</f>
        <v>0</v>
      </c>
      <c r="C11" s="69" cm="1">
        <f t="array" ref="C11">_xlfn.IFNA(INDEX('1.0 Data'!V$9:V$66,MATCH($A11,'1.0 Data'!$P$9:$P$66,0),0),0)</f>
        <v>0</v>
      </c>
      <c r="D11" s="69" cm="1">
        <f t="array" ref="D11">_xlfn.IFNA(INDEX('1.0 Data'!W$9:W$66,MATCH($A11,'1.0 Data'!$P$9:$P$66,0),0),0)</f>
        <v>0</v>
      </c>
      <c r="E11" s="69" cm="1">
        <f t="array" ref="E11">_xlfn.IFNA(INDEX('1.0 Data'!X$9:X$66,MATCH($A11,'1.0 Data'!$P$9:$P$66,0),0),0)</f>
        <v>0</v>
      </c>
      <c r="F11" s="69" cm="1">
        <f t="array" ref="F11">_xlfn.IFNA(INDEX('1.0 Data'!Y$9:Y$66,MATCH($A11,'1.0 Data'!$P$9:$P$66,0),0),0)</f>
        <v>0</v>
      </c>
      <c r="G11" s="69" cm="1">
        <f t="array" ref="G11">_xlfn.IFNA(INDEX('1.0 Data'!Z$9:Z$66,MATCH($A11,'1.0 Data'!$P$9:$P$66,0),0),0)</f>
        <v>0</v>
      </c>
      <c r="H11" s="45">
        <f t="shared" si="12"/>
        <v>0</v>
      </c>
      <c r="J11" s="6" t="str">
        <f t="shared" si="13"/>
        <v>Annual Spraying for Corrosion</v>
      </c>
      <c r="K11" s="6">
        <f t="shared" si="14"/>
        <v>0</v>
      </c>
      <c r="L11" s="6">
        <f t="shared" si="15"/>
        <v>0</v>
      </c>
      <c r="M11" s="6">
        <f t="shared" si="16"/>
        <v>0</v>
      </c>
      <c r="N11" s="6">
        <f t="shared" si="17"/>
        <v>0</v>
      </c>
      <c r="O11" s="6">
        <f t="shared" si="18"/>
        <v>0</v>
      </c>
      <c r="P11" s="6">
        <f t="shared" si="19"/>
        <v>0</v>
      </c>
      <c r="R11" s="6" t="str">
        <f t="shared" si="20"/>
        <v>Annual Spraying for Corrosion</v>
      </c>
      <c r="S11" s="65">
        <f t="shared" si="21"/>
        <v>0</v>
      </c>
      <c r="T11" s="65">
        <f t="shared" si="22"/>
        <v>0</v>
      </c>
      <c r="U11" s="65">
        <f t="shared" si="23"/>
        <v>0</v>
      </c>
      <c r="V11" s="65">
        <f t="shared" si="24"/>
        <v>0</v>
      </c>
      <c r="W11" s="65">
        <f t="shared" si="25"/>
        <v>0</v>
      </c>
      <c r="X11" s="65">
        <f t="shared" si="26"/>
        <v>0</v>
      </c>
      <c r="Z11" s="6" t="str">
        <f t="shared" si="27"/>
        <v>Annual Spraying for Corrosion</v>
      </c>
      <c r="AA11" s="6">
        <f>K11*'1.1 Input'!J$30</f>
        <v>0</v>
      </c>
      <c r="AB11" s="6">
        <f>L11*'1.1 Input'!K$30</f>
        <v>0</v>
      </c>
      <c r="AC11" s="6">
        <f>M11*'1.1 Input'!L$30</f>
        <v>0</v>
      </c>
      <c r="AD11" s="6">
        <f>N11*'1.1 Input'!M$30</f>
        <v>0</v>
      </c>
      <c r="AE11" s="6">
        <f>O11*'1.1 Input'!N$30</f>
        <v>0</v>
      </c>
      <c r="AF11" s="6">
        <f t="shared" si="28"/>
        <v>0</v>
      </c>
      <c r="AH11" s="6" t="str">
        <f t="shared" si="29"/>
        <v>Annual Spraying for Corrosion</v>
      </c>
      <c r="AI11" s="6" t="str" cm="1">
        <f t="array" ref="AI11">_xlfn.IFNA(INDEX('1.0 Data'!$Q$9:$Q$66,MATCH($AH11,'1.0 Data'!$P$9:$P$66,0),0),"")</f>
        <v>2023/24</v>
      </c>
      <c r="AJ11" s="6" t="str" cm="1">
        <f t="array" ref="AJ11">_xlfn.IFNA(INDEX('1.0 Data'!S$9:S$66,MATCH($AH11,'1.0 Data'!$P$9:$P$66,0),0),"")</f>
        <v>Corrosion Management</v>
      </c>
      <c r="AK11" s="6" t="str" cm="1">
        <f t="array" ref="AK11">_xlfn.IFNA(INDEX('1.0 Data'!T$9:T$66,MATCH($AH11,'1.0 Data'!$P$9:$P$66,0),0),"")</f>
        <v>Buildings</v>
      </c>
      <c r="AL11" s="65">
        <f t="shared" si="30"/>
        <v>0</v>
      </c>
      <c r="AM11" s="65">
        <f t="shared" si="31"/>
        <v>0</v>
      </c>
      <c r="AN11" s="65">
        <f t="shared" si="32"/>
        <v>0</v>
      </c>
      <c r="AO11" s="65">
        <f t="shared" si="33"/>
        <v>0</v>
      </c>
      <c r="AP11" s="65">
        <f t="shared" si="34"/>
        <v>0</v>
      </c>
      <c r="AQ11" s="45">
        <f t="shared" si="35"/>
        <v>0</v>
      </c>
      <c r="AS11" s="71">
        <f t="shared" si="36"/>
        <v>0</v>
      </c>
    </row>
    <row r="12" spans="1:45" ht="16.5" thickTop="1" thickBot="1">
      <c r="A12" s="43" t="str">
        <f>'1.0 Data'!P12</f>
        <v>Arc Flash Study and Mitigation</v>
      </c>
      <c r="B12" s="67" cm="1">
        <f t="array" ref="B12">_xlfn.IFNA(INDEX('1.0 Data'!$AB$9:$AB$66,MATCH($A12,'1.0 Data'!$P$9:$P$66,0),0),0)</f>
        <v>0</v>
      </c>
      <c r="C12" s="69" cm="1">
        <f t="array" ref="C12">_xlfn.IFNA(INDEX('1.0 Data'!V$9:V$66,MATCH($A12,'1.0 Data'!$P$9:$P$66,0),0),0)</f>
        <v>0</v>
      </c>
      <c r="D12" s="69" cm="1">
        <f t="array" ref="D12">_xlfn.IFNA(INDEX('1.0 Data'!W$9:W$66,MATCH($A12,'1.0 Data'!$P$9:$P$66,0),0),0)</f>
        <v>0</v>
      </c>
      <c r="E12" s="69" cm="1">
        <f t="array" ref="E12">_xlfn.IFNA(INDEX('1.0 Data'!X$9:X$66,MATCH($A12,'1.0 Data'!$P$9:$P$66,0),0),0)</f>
        <v>0</v>
      </c>
      <c r="F12" s="69" cm="1">
        <f t="array" ref="F12">_xlfn.IFNA(INDEX('1.0 Data'!Y$9:Y$66,MATCH($A12,'1.0 Data'!$P$9:$P$66,0),0),0)</f>
        <v>0</v>
      </c>
      <c r="G12" s="69" cm="1">
        <f t="array" ref="G12">_xlfn.IFNA(INDEX('1.0 Data'!Z$9:Z$66,MATCH($A12,'1.0 Data'!$P$9:$P$66,0),0),0)</f>
        <v>0</v>
      </c>
      <c r="H12" s="45">
        <f t="shared" si="12"/>
        <v>0</v>
      </c>
      <c r="J12" s="6" t="str">
        <f t="shared" si="13"/>
        <v>Arc Flash Study and Mitigation</v>
      </c>
      <c r="K12" s="6">
        <f t="shared" si="14"/>
        <v>0</v>
      </c>
      <c r="L12" s="6">
        <f t="shared" si="15"/>
        <v>0</v>
      </c>
      <c r="M12" s="6">
        <f t="shared" si="16"/>
        <v>0</v>
      </c>
      <c r="N12" s="6">
        <f t="shared" si="17"/>
        <v>0</v>
      </c>
      <c r="O12" s="6">
        <f t="shared" si="18"/>
        <v>0</v>
      </c>
      <c r="P12" s="6">
        <f t="shared" si="19"/>
        <v>0</v>
      </c>
      <c r="R12" s="6" t="str">
        <f t="shared" si="20"/>
        <v>Arc Flash Study and Mitigation</v>
      </c>
      <c r="S12" s="65">
        <f t="shared" si="21"/>
        <v>0</v>
      </c>
      <c r="T12" s="65">
        <f t="shared" si="22"/>
        <v>0</v>
      </c>
      <c r="U12" s="65">
        <f t="shared" si="23"/>
        <v>0</v>
      </c>
      <c r="V12" s="65">
        <f t="shared" si="24"/>
        <v>0</v>
      </c>
      <c r="W12" s="65">
        <f t="shared" si="25"/>
        <v>0</v>
      </c>
      <c r="X12" s="65">
        <f t="shared" si="26"/>
        <v>0</v>
      </c>
      <c r="Z12" s="6" t="str">
        <f t="shared" si="27"/>
        <v>Arc Flash Study and Mitigation</v>
      </c>
      <c r="AA12" s="6">
        <f>K12*'1.1 Input'!J$30</f>
        <v>0</v>
      </c>
      <c r="AB12" s="6">
        <f>L12*'1.1 Input'!K$30</f>
        <v>0</v>
      </c>
      <c r="AC12" s="6">
        <f>M12*'1.1 Input'!L$30</f>
        <v>0</v>
      </c>
      <c r="AD12" s="6">
        <f>N12*'1.1 Input'!M$30</f>
        <v>0</v>
      </c>
      <c r="AE12" s="6">
        <f>O12*'1.1 Input'!N$30</f>
        <v>0</v>
      </c>
      <c r="AF12" s="6">
        <f t="shared" si="28"/>
        <v>0</v>
      </c>
      <c r="AH12" s="6" t="str">
        <f t="shared" si="29"/>
        <v>Arc Flash Study and Mitigation</v>
      </c>
      <c r="AI12" s="6" t="str" cm="1">
        <f t="array" ref="AI12">_xlfn.IFNA(INDEX('1.0 Data'!$Q$9:$Q$66,MATCH($AH12,'1.0 Data'!$P$9:$P$66,0),0),"")</f>
        <v>2023/24</v>
      </c>
      <c r="AJ12" s="6" t="str" cm="1">
        <f t="array" ref="AJ12">_xlfn.IFNA(INDEX('1.0 Data'!S$9:S$66,MATCH($AH12,'1.0 Data'!$P$9:$P$66,0),0),"")</f>
        <v>Safety and protection</v>
      </c>
      <c r="AK12" s="6" t="str" cm="1">
        <f t="array" ref="AK12">_xlfn.IFNA(INDEX('1.0 Data'!T$9:T$66,MATCH($AH12,'1.0 Data'!$P$9:$P$66,0),0),"")</f>
        <v>Transmission Assets</v>
      </c>
      <c r="AL12" s="65">
        <f t="shared" si="30"/>
        <v>0</v>
      </c>
      <c r="AM12" s="65">
        <f t="shared" si="31"/>
        <v>0</v>
      </c>
      <c r="AN12" s="65">
        <f t="shared" si="32"/>
        <v>0</v>
      </c>
      <c r="AO12" s="65">
        <f t="shared" si="33"/>
        <v>0</v>
      </c>
      <c r="AP12" s="65">
        <f t="shared" si="34"/>
        <v>0</v>
      </c>
      <c r="AQ12" s="45">
        <f t="shared" si="35"/>
        <v>0</v>
      </c>
      <c r="AS12" s="71">
        <f t="shared" si="36"/>
        <v>0</v>
      </c>
    </row>
    <row r="13" spans="1:45" ht="16.5" thickTop="1" thickBot="1">
      <c r="A13" s="43" t="str">
        <f>'1.0 Data'!P13</f>
        <v>Asset Integration - AI3 (Placeholder)</v>
      </c>
      <c r="B13" s="67" cm="1">
        <f t="array" ref="B13">_xlfn.IFNA(INDEX('1.0 Data'!$AB$9:$AB$66,MATCH($A13,'1.0 Data'!$P$9:$P$66,0),0),0)</f>
        <v>0</v>
      </c>
      <c r="C13" s="69" cm="1">
        <f t="array" ref="C13">_xlfn.IFNA(INDEX('1.0 Data'!V$9:V$66,MATCH($A13,'1.0 Data'!$P$9:$P$66,0),0),0)</f>
        <v>0</v>
      </c>
      <c r="D13" s="69" cm="1">
        <f t="array" ref="D13">_xlfn.IFNA(INDEX('1.0 Data'!W$9:W$66,MATCH($A13,'1.0 Data'!$P$9:$P$66,0),0),0)</f>
        <v>0</v>
      </c>
      <c r="E13" s="69" cm="1">
        <f t="array" ref="E13">_xlfn.IFNA(INDEX('1.0 Data'!X$9:X$66,MATCH($A13,'1.0 Data'!$P$9:$P$66,0),0),0)</f>
        <v>0</v>
      </c>
      <c r="F13" s="69" cm="1">
        <f t="array" ref="F13">_xlfn.IFNA(INDEX('1.0 Data'!Y$9:Y$66,MATCH($A13,'1.0 Data'!$P$9:$P$66,0),0),0)</f>
        <v>0</v>
      </c>
      <c r="G13" s="69" cm="1">
        <f t="array" ref="G13">_xlfn.IFNA(INDEX('1.0 Data'!Z$9:Z$66,MATCH($A13,'1.0 Data'!$P$9:$P$66,0),0),0)</f>
        <v>0</v>
      </c>
      <c r="H13" s="45">
        <f t="shared" si="12"/>
        <v>0</v>
      </c>
      <c r="J13" s="6" t="str">
        <f t="shared" si="13"/>
        <v>Asset Integration - AI3 (Placeholder)</v>
      </c>
      <c r="K13" s="6">
        <f t="shared" si="14"/>
        <v>0</v>
      </c>
      <c r="L13" s="6">
        <f t="shared" si="15"/>
        <v>0</v>
      </c>
      <c r="M13" s="6">
        <f t="shared" si="16"/>
        <v>0</v>
      </c>
      <c r="N13" s="6">
        <f t="shared" si="17"/>
        <v>0</v>
      </c>
      <c r="O13" s="6">
        <f t="shared" si="18"/>
        <v>0</v>
      </c>
      <c r="P13" s="6">
        <f t="shared" si="19"/>
        <v>0</v>
      </c>
      <c r="R13" s="6" t="str">
        <f t="shared" si="20"/>
        <v>Asset Integration - AI3 (Placeholder)</v>
      </c>
      <c r="S13" s="65">
        <f t="shared" si="21"/>
        <v>0</v>
      </c>
      <c r="T13" s="65">
        <f t="shared" si="22"/>
        <v>0</v>
      </c>
      <c r="U13" s="65">
        <f t="shared" si="23"/>
        <v>0</v>
      </c>
      <c r="V13" s="65">
        <f t="shared" si="24"/>
        <v>0</v>
      </c>
      <c r="W13" s="65">
        <f t="shared" si="25"/>
        <v>0</v>
      </c>
      <c r="X13" s="65">
        <f t="shared" si="26"/>
        <v>0</v>
      </c>
      <c r="Z13" s="6" t="str">
        <f t="shared" si="27"/>
        <v>Asset Integration - AI3 (Placeholder)</v>
      </c>
      <c r="AA13" s="6">
        <f>K13*'1.1 Input'!J$30</f>
        <v>0</v>
      </c>
      <c r="AB13" s="6">
        <f>L13*'1.1 Input'!K$30</f>
        <v>0</v>
      </c>
      <c r="AC13" s="6">
        <f>M13*'1.1 Input'!L$30</f>
        <v>0</v>
      </c>
      <c r="AD13" s="6">
        <f>N13*'1.1 Input'!M$30</f>
        <v>0</v>
      </c>
      <c r="AE13" s="6">
        <f>O13*'1.1 Input'!N$30</f>
        <v>0</v>
      </c>
      <c r="AF13" s="6">
        <f t="shared" si="28"/>
        <v>0</v>
      </c>
      <c r="AH13" s="6" t="str">
        <f t="shared" si="29"/>
        <v>Asset Integration - AI3 (Placeholder)</v>
      </c>
      <c r="AI13" s="6" t="str" cm="1">
        <f t="array" ref="AI13">_xlfn.IFNA(INDEX('1.0 Data'!$Q$9:$Q$66,MATCH($AH13,'1.0 Data'!$P$9:$P$66,0),0),"")</f>
        <v>2023/24</v>
      </c>
      <c r="AJ13" s="6" t="str" cm="1">
        <f t="array" ref="AJ13">_xlfn.IFNA(INDEX('1.0 Data'!S$9:S$66,MATCH($AH13,'1.0 Data'!$P$9:$P$66,0),0),"")</f>
        <v>Asset Monitoring</v>
      </c>
      <c r="AK13" s="6" t="str" cm="1">
        <f t="array" ref="AK13">_xlfn.IFNA(INDEX('1.0 Data'!T$9:T$66,MATCH($AH13,'1.0 Data'!$P$9:$P$66,0),0),"")</f>
        <v>Transmission Assets</v>
      </c>
      <c r="AL13" s="65">
        <f t="shared" si="30"/>
        <v>0</v>
      </c>
      <c r="AM13" s="65">
        <f t="shared" si="31"/>
        <v>0</v>
      </c>
      <c r="AN13" s="65">
        <f t="shared" si="32"/>
        <v>0</v>
      </c>
      <c r="AO13" s="65">
        <f t="shared" si="33"/>
        <v>0</v>
      </c>
      <c r="AP13" s="65">
        <f t="shared" si="34"/>
        <v>0</v>
      </c>
      <c r="AQ13" s="45">
        <f t="shared" si="35"/>
        <v>0</v>
      </c>
      <c r="AS13" s="71">
        <f t="shared" si="36"/>
        <v>0</v>
      </c>
    </row>
    <row r="14" spans="1:45" ht="16.5" thickTop="1" thickBot="1">
      <c r="A14" s="43" t="str">
        <f>'1.0 Data'!P14</f>
        <v>Asset Integration - Asset Information (Placeholder)</v>
      </c>
      <c r="B14" s="67" cm="1">
        <f t="array" ref="B14">_xlfn.IFNA(INDEX('1.0 Data'!$AB$9:$AB$66,MATCH($A14,'1.0 Data'!$P$9:$P$66,0),0),0)</f>
        <v>0</v>
      </c>
      <c r="C14" s="69" cm="1">
        <f t="array" ref="C14">_xlfn.IFNA(INDEX('1.0 Data'!V$9:V$66,MATCH($A14,'1.0 Data'!$P$9:$P$66,0),0),0)</f>
        <v>242000.00000000003</v>
      </c>
      <c r="D14" s="69" cm="1">
        <f t="array" ref="D14">_xlfn.IFNA(INDEX('1.0 Data'!W$9:W$66,MATCH($A14,'1.0 Data'!$P$9:$P$66,0),0),0)</f>
        <v>0</v>
      </c>
      <c r="E14" s="69" cm="1">
        <f t="array" ref="E14">_xlfn.IFNA(INDEX('1.0 Data'!X$9:X$66,MATCH($A14,'1.0 Data'!$P$9:$P$66,0),0),0)</f>
        <v>0</v>
      </c>
      <c r="F14" s="69" cm="1">
        <f t="array" ref="F14">_xlfn.IFNA(INDEX('1.0 Data'!Y$9:Y$66,MATCH($A14,'1.0 Data'!$P$9:$P$66,0),0),0)</f>
        <v>0</v>
      </c>
      <c r="G14" s="69" cm="1">
        <f t="array" ref="G14">_xlfn.IFNA(INDEX('1.0 Data'!Z$9:Z$66,MATCH($A14,'1.0 Data'!$P$9:$P$66,0),0),0)</f>
        <v>0</v>
      </c>
      <c r="H14" s="45">
        <f t="shared" si="12"/>
        <v>242000.00000000003</v>
      </c>
      <c r="J14" s="6" t="str">
        <f t="shared" si="13"/>
        <v>Asset Integration - Asset Information (Placeholder)</v>
      </c>
      <c r="K14" s="6">
        <f t="shared" si="14"/>
        <v>0</v>
      </c>
      <c r="L14" s="6">
        <f t="shared" si="15"/>
        <v>0</v>
      </c>
      <c r="M14" s="6">
        <f t="shared" si="16"/>
        <v>0</v>
      </c>
      <c r="N14" s="6">
        <f t="shared" si="17"/>
        <v>0</v>
      </c>
      <c r="O14" s="6">
        <f t="shared" si="18"/>
        <v>0</v>
      </c>
      <c r="P14" s="6">
        <f t="shared" si="19"/>
        <v>0</v>
      </c>
      <c r="R14" s="6" t="str">
        <f t="shared" si="20"/>
        <v>Asset Integration - Asset Information (Placeholder)</v>
      </c>
      <c r="S14" s="65">
        <f t="shared" si="21"/>
        <v>242000.00000000003</v>
      </c>
      <c r="T14" s="65">
        <f t="shared" si="22"/>
        <v>0</v>
      </c>
      <c r="U14" s="65">
        <f t="shared" si="23"/>
        <v>0</v>
      </c>
      <c r="V14" s="65">
        <f t="shared" si="24"/>
        <v>0</v>
      </c>
      <c r="W14" s="65">
        <f t="shared" si="25"/>
        <v>0</v>
      </c>
      <c r="X14" s="65">
        <f t="shared" si="26"/>
        <v>242000.00000000003</v>
      </c>
      <c r="Z14" s="6" t="str">
        <f t="shared" si="27"/>
        <v>Asset Integration - Asset Information (Placeholder)</v>
      </c>
      <c r="AA14" s="6">
        <f>K14*'1.1 Input'!J$30</f>
        <v>0</v>
      </c>
      <c r="AB14" s="6">
        <f>L14*'1.1 Input'!K$30</f>
        <v>0</v>
      </c>
      <c r="AC14" s="6">
        <f>M14*'1.1 Input'!L$30</f>
        <v>0</v>
      </c>
      <c r="AD14" s="6">
        <f>N14*'1.1 Input'!M$30</f>
        <v>0</v>
      </c>
      <c r="AE14" s="6">
        <f>O14*'1.1 Input'!N$30</f>
        <v>0</v>
      </c>
      <c r="AF14" s="6">
        <f t="shared" si="28"/>
        <v>0</v>
      </c>
      <c r="AH14" s="6" t="str">
        <f t="shared" si="29"/>
        <v>Asset Integration - Asset Information (Placeholder)</v>
      </c>
      <c r="AI14" s="6" t="str" cm="1">
        <f t="array" ref="AI14">_xlfn.IFNA(INDEX('1.0 Data'!$Q$9:$Q$66,MATCH($AH14,'1.0 Data'!$P$9:$P$66,0),0),"")</f>
        <v>2023/24</v>
      </c>
      <c r="AJ14" s="6" t="str" cm="1">
        <f t="array" ref="AJ14">_xlfn.IFNA(INDEX('1.0 Data'!S$9:S$66,MATCH($AH14,'1.0 Data'!$P$9:$P$66,0),0),"")</f>
        <v>Asset Monitoring</v>
      </c>
      <c r="AK14" s="6" t="str" cm="1">
        <f t="array" ref="AK14">_xlfn.IFNA(INDEX('1.0 Data'!T$9:T$66,MATCH($AH14,'1.0 Data'!$P$9:$P$66,0),0),"")</f>
        <v>Transmission Assets</v>
      </c>
      <c r="AL14" s="65">
        <f t="shared" si="30"/>
        <v>242000.00000000003</v>
      </c>
      <c r="AM14" s="65">
        <f t="shared" si="31"/>
        <v>0</v>
      </c>
      <c r="AN14" s="65">
        <f t="shared" si="32"/>
        <v>0</v>
      </c>
      <c r="AO14" s="65">
        <f t="shared" si="33"/>
        <v>0</v>
      </c>
      <c r="AP14" s="65">
        <f t="shared" si="34"/>
        <v>0</v>
      </c>
      <c r="AQ14" s="45">
        <f t="shared" si="35"/>
        <v>242000.00000000003</v>
      </c>
      <c r="AS14" s="71">
        <f t="shared" si="36"/>
        <v>0</v>
      </c>
    </row>
    <row r="15" spans="1:45" ht="16.5" thickTop="1" thickBot="1">
      <c r="A15" s="43" t="str">
        <f>'1.0 Data'!P15</f>
        <v>Asset Integration - CMMS Uplift (Placeholder)</v>
      </c>
      <c r="B15" s="67" cm="1">
        <f t="array" ref="B15">_xlfn.IFNA(INDEX('1.0 Data'!$AB$9:$AB$66,MATCH($A15,'1.0 Data'!$P$9:$P$66,0),0),0)</f>
        <v>0</v>
      </c>
      <c r="C15" s="69" cm="1">
        <f t="array" ref="C15">_xlfn.IFNA(INDEX('1.0 Data'!V$9:V$66,MATCH($A15,'1.0 Data'!$P$9:$P$66,0),0),0)</f>
        <v>264000</v>
      </c>
      <c r="D15" s="69" cm="1">
        <f t="array" ref="D15">_xlfn.IFNA(INDEX('1.0 Data'!W$9:W$66,MATCH($A15,'1.0 Data'!$P$9:$P$66,0),0),0)</f>
        <v>132000</v>
      </c>
      <c r="E15" s="69" cm="1">
        <f t="array" ref="E15">_xlfn.IFNA(INDEX('1.0 Data'!X$9:X$66,MATCH($A15,'1.0 Data'!$P$9:$P$66,0),0),0)</f>
        <v>0</v>
      </c>
      <c r="F15" s="69" cm="1">
        <f t="array" ref="F15">_xlfn.IFNA(INDEX('1.0 Data'!Y$9:Y$66,MATCH($A15,'1.0 Data'!$P$9:$P$66,0),0),0)</f>
        <v>0</v>
      </c>
      <c r="G15" s="69" cm="1">
        <f t="array" ref="G15">_xlfn.IFNA(INDEX('1.0 Data'!Z$9:Z$66,MATCH($A15,'1.0 Data'!$P$9:$P$66,0),0),0)</f>
        <v>0</v>
      </c>
      <c r="H15" s="45">
        <f t="shared" si="12"/>
        <v>396000</v>
      </c>
      <c r="J15" s="6" t="str">
        <f t="shared" si="13"/>
        <v>Asset Integration - CMMS Uplift (Placeholder)</v>
      </c>
      <c r="K15" s="6">
        <f t="shared" si="14"/>
        <v>0</v>
      </c>
      <c r="L15" s="6">
        <f t="shared" si="15"/>
        <v>0</v>
      </c>
      <c r="M15" s="6">
        <f t="shared" si="16"/>
        <v>0</v>
      </c>
      <c r="N15" s="6">
        <f t="shared" si="17"/>
        <v>0</v>
      </c>
      <c r="O15" s="6">
        <f t="shared" si="18"/>
        <v>0</v>
      </c>
      <c r="P15" s="6">
        <f t="shared" si="19"/>
        <v>0</v>
      </c>
      <c r="R15" s="6" t="str">
        <f t="shared" si="20"/>
        <v>Asset Integration - CMMS Uplift (Placeholder)</v>
      </c>
      <c r="S15" s="65">
        <f t="shared" si="21"/>
        <v>264000</v>
      </c>
      <c r="T15" s="65">
        <f t="shared" si="22"/>
        <v>132000</v>
      </c>
      <c r="U15" s="65">
        <f t="shared" si="23"/>
        <v>0</v>
      </c>
      <c r="V15" s="65">
        <f t="shared" si="24"/>
        <v>0</v>
      </c>
      <c r="W15" s="65">
        <f t="shared" si="25"/>
        <v>0</v>
      </c>
      <c r="X15" s="65">
        <f t="shared" si="26"/>
        <v>396000</v>
      </c>
      <c r="Z15" s="6" t="str">
        <f t="shared" si="27"/>
        <v>Asset Integration - CMMS Uplift (Placeholder)</v>
      </c>
      <c r="AA15" s="6">
        <f>K15*'1.1 Input'!J$30</f>
        <v>0</v>
      </c>
      <c r="AB15" s="6">
        <f>L15*'1.1 Input'!K$30</f>
        <v>0</v>
      </c>
      <c r="AC15" s="6">
        <f>M15*'1.1 Input'!L$30</f>
        <v>0</v>
      </c>
      <c r="AD15" s="6">
        <f>N15*'1.1 Input'!M$30</f>
        <v>0</v>
      </c>
      <c r="AE15" s="6">
        <f>O15*'1.1 Input'!N$30</f>
        <v>0</v>
      </c>
      <c r="AF15" s="6">
        <f t="shared" si="28"/>
        <v>0</v>
      </c>
      <c r="AH15" s="6" t="str">
        <f t="shared" si="29"/>
        <v>Asset Integration - CMMS Uplift (Placeholder)</v>
      </c>
      <c r="AI15" s="6" t="str" cm="1">
        <f t="array" ref="AI15">_xlfn.IFNA(INDEX('1.0 Data'!$Q$9:$Q$66,MATCH($AH15,'1.0 Data'!$P$9:$P$66,0),0),"")</f>
        <v>2023/24</v>
      </c>
      <c r="AJ15" s="6" t="str" cm="1">
        <f t="array" ref="AJ15">_xlfn.IFNA(INDEX('1.0 Data'!S$9:S$66,MATCH($AH15,'1.0 Data'!$P$9:$P$66,0),0),"")</f>
        <v>Asset Monitoring</v>
      </c>
      <c r="AK15" s="6" t="str" cm="1">
        <f t="array" ref="AK15">_xlfn.IFNA(INDEX('1.0 Data'!T$9:T$66,MATCH($AH15,'1.0 Data'!$P$9:$P$66,0),0),"")</f>
        <v>Transmission Assets</v>
      </c>
      <c r="AL15" s="65">
        <f t="shared" si="30"/>
        <v>264000</v>
      </c>
      <c r="AM15" s="65">
        <f t="shared" si="31"/>
        <v>132000</v>
      </c>
      <c r="AN15" s="65">
        <f t="shared" si="32"/>
        <v>0</v>
      </c>
      <c r="AO15" s="65">
        <f t="shared" si="33"/>
        <v>0</v>
      </c>
      <c r="AP15" s="65">
        <f t="shared" si="34"/>
        <v>0</v>
      </c>
      <c r="AQ15" s="45">
        <f t="shared" si="35"/>
        <v>396000</v>
      </c>
      <c r="AS15" s="71">
        <f t="shared" si="36"/>
        <v>0</v>
      </c>
    </row>
    <row r="16" spans="1:45" ht="16.5" thickTop="1" thickBot="1">
      <c r="A16" s="43" t="str">
        <f>'1.0 Data'!P16</f>
        <v>Asset Integration - Maintenance Strategy (Placeholder)</v>
      </c>
      <c r="B16" s="67" cm="1">
        <f t="array" ref="B16">_xlfn.IFNA(INDEX('1.0 Data'!$AB$9:$AB$66,MATCH($A16,'1.0 Data'!$P$9:$P$66,0),0),0)</f>
        <v>0</v>
      </c>
      <c r="C16" s="69" cm="1">
        <f t="array" ref="C16">_xlfn.IFNA(INDEX('1.0 Data'!V$9:V$66,MATCH($A16,'1.0 Data'!$P$9:$P$66,0),0),0)</f>
        <v>110000.00000000001</v>
      </c>
      <c r="D16" s="69" cm="1">
        <f t="array" ref="D16">_xlfn.IFNA(INDEX('1.0 Data'!W$9:W$66,MATCH($A16,'1.0 Data'!$P$9:$P$66,0),0),0)</f>
        <v>0</v>
      </c>
      <c r="E16" s="69" cm="1">
        <f t="array" ref="E16">_xlfn.IFNA(INDEX('1.0 Data'!X$9:X$66,MATCH($A16,'1.0 Data'!$P$9:$P$66,0),0),0)</f>
        <v>0</v>
      </c>
      <c r="F16" s="69" cm="1">
        <f t="array" ref="F16">_xlfn.IFNA(INDEX('1.0 Data'!Y$9:Y$66,MATCH($A16,'1.0 Data'!$P$9:$P$66,0),0),0)</f>
        <v>0</v>
      </c>
      <c r="G16" s="69" cm="1">
        <f t="array" ref="G16">_xlfn.IFNA(INDEX('1.0 Data'!Z$9:Z$66,MATCH($A16,'1.0 Data'!$P$9:$P$66,0),0),0)</f>
        <v>0</v>
      </c>
      <c r="H16" s="45">
        <f t="shared" si="12"/>
        <v>110000.00000000001</v>
      </c>
      <c r="J16" s="6" t="str">
        <f t="shared" si="13"/>
        <v>Asset Integration - Maintenance Strategy (Placeholder)</v>
      </c>
      <c r="K16" s="6">
        <f t="shared" si="14"/>
        <v>0</v>
      </c>
      <c r="L16" s="6">
        <f t="shared" si="15"/>
        <v>0</v>
      </c>
      <c r="M16" s="6">
        <f t="shared" si="16"/>
        <v>0</v>
      </c>
      <c r="N16" s="6">
        <f t="shared" si="17"/>
        <v>0</v>
      </c>
      <c r="O16" s="6">
        <f t="shared" si="18"/>
        <v>0</v>
      </c>
      <c r="P16" s="6">
        <f t="shared" si="19"/>
        <v>0</v>
      </c>
      <c r="R16" s="6" t="str">
        <f t="shared" si="20"/>
        <v>Asset Integration - Maintenance Strategy (Placeholder)</v>
      </c>
      <c r="S16" s="65">
        <f t="shared" si="21"/>
        <v>110000.00000000001</v>
      </c>
      <c r="T16" s="65">
        <f t="shared" si="22"/>
        <v>0</v>
      </c>
      <c r="U16" s="65">
        <f t="shared" si="23"/>
        <v>0</v>
      </c>
      <c r="V16" s="65">
        <f t="shared" si="24"/>
        <v>0</v>
      </c>
      <c r="W16" s="65">
        <f t="shared" si="25"/>
        <v>0</v>
      </c>
      <c r="X16" s="65">
        <f t="shared" si="26"/>
        <v>110000.00000000001</v>
      </c>
      <c r="Z16" s="6" t="str">
        <f t="shared" si="27"/>
        <v>Asset Integration - Maintenance Strategy (Placeholder)</v>
      </c>
      <c r="AA16" s="6">
        <f>K16*'1.1 Input'!J$30</f>
        <v>0</v>
      </c>
      <c r="AB16" s="6">
        <f>L16*'1.1 Input'!K$30</f>
        <v>0</v>
      </c>
      <c r="AC16" s="6">
        <f>M16*'1.1 Input'!L$30</f>
        <v>0</v>
      </c>
      <c r="AD16" s="6">
        <f>N16*'1.1 Input'!M$30</f>
        <v>0</v>
      </c>
      <c r="AE16" s="6">
        <f>O16*'1.1 Input'!N$30</f>
        <v>0</v>
      </c>
      <c r="AF16" s="6">
        <f t="shared" si="28"/>
        <v>0</v>
      </c>
      <c r="AH16" s="6" t="str">
        <f t="shared" si="29"/>
        <v>Asset Integration - Maintenance Strategy (Placeholder)</v>
      </c>
      <c r="AI16" s="6" t="str" cm="1">
        <f t="array" ref="AI16">_xlfn.IFNA(INDEX('1.0 Data'!$Q$9:$Q$66,MATCH($AH16,'1.0 Data'!$P$9:$P$66,0),0),"")</f>
        <v>2023/24</v>
      </c>
      <c r="AJ16" s="6" t="str" cm="1">
        <f t="array" ref="AJ16">_xlfn.IFNA(INDEX('1.0 Data'!S$9:S$66,MATCH($AH16,'1.0 Data'!$P$9:$P$66,0),0),"")</f>
        <v>Asset Monitoring</v>
      </c>
      <c r="AK16" s="6" t="str" cm="1">
        <f t="array" ref="AK16">_xlfn.IFNA(INDEX('1.0 Data'!T$9:T$66,MATCH($AH16,'1.0 Data'!$P$9:$P$66,0),0),"")</f>
        <v>Transmission Assets</v>
      </c>
      <c r="AL16" s="65">
        <f t="shared" si="30"/>
        <v>110000.00000000001</v>
      </c>
      <c r="AM16" s="65">
        <f t="shared" si="31"/>
        <v>0</v>
      </c>
      <c r="AN16" s="65">
        <f t="shared" si="32"/>
        <v>0</v>
      </c>
      <c r="AO16" s="65">
        <f t="shared" si="33"/>
        <v>0</v>
      </c>
      <c r="AP16" s="65">
        <f t="shared" si="34"/>
        <v>0</v>
      </c>
      <c r="AQ16" s="45">
        <f t="shared" si="35"/>
        <v>110000.00000000001</v>
      </c>
      <c r="AS16" s="71">
        <f t="shared" si="36"/>
        <v>0</v>
      </c>
    </row>
    <row r="17" spans="1:45" ht="16.5" thickTop="1" thickBot="1">
      <c r="A17" s="43" t="str">
        <f>'1.0 Data'!P17</f>
        <v>Barn Door Replacement</v>
      </c>
      <c r="B17" s="67" cm="1">
        <f t="array" ref="B17">_xlfn.IFNA(INDEX('1.0 Data'!$AB$9:$AB$66,MATCH($A17,'1.0 Data'!$P$9:$P$66,0),0),0)</f>
        <v>0</v>
      </c>
      <c r="C17" s="69" cm="1">
        <f t="array" ref="C17">_xlfn.IFNA(INDEX('1.0 Data'!V$9:V$66,MATCH($A17,'1.0 Data'!$P$9:$P$66,0),0),0)</f>
        <v>0</v>
      </c>
      <c r="D17" s="69" cm="1">
        <f t="array" ref="D17">_xlfn.IFNA(INDEX('1.0 Data'!W$9:W$66,MATCH($A17,'1.0 Data'!$P$9:$P$66,0),0),0)</f>
        <v>0</v>
      </c>
      <c r="E17" s="69" cm="1">
        <f t="array" ref="E17">_xlfn.IFNA(INDEX('1.0 Data'!X$9:X$66,MATCH($A17,'1.0 Data'!$P$9:$P$66,0),0),0)</f>
        <v>0</v>
      </c>
      <c r="F17" s="69" cm="1">
        <f t="array" ref="F17">_xlfn.IFNA(INDEX('1.0 Data'!Y$9:Y$66,MATCH($A17,'1.0 Data'!$P$9:$P$66,0),0),0)</f>
        <v>0</v>
      </c>
      <c r="G17" s="69" cm="1">
        <f t="array" ref="G17">_xlfn.IFNA(INDEX('1.0 Data'!Z$9:Z$66,MATCH($A17,'1.0 Data'!$P$9:$P$66,0),0),0)</f>
        <v>0</v>
      </c>
      <c r="H17" s="45">
        <f t="shared" si="12"/>
        <v>0</v>
      </c>
      <c r="J17" s="6" t="str">
        <f t="shared" si="13"/>
        <v>Barn Door Replacement</v>
      </c>
      <c r="K17" s="6">
        <f t="shared" si="14"/>
        <v>0</v>
      </c>
      <c r="L17" s="6">
        <f t="shared" si="15"/>
        <v>0</v>
      </c>
      <c r="M17" s="6">
        <f t="shared" si="16"/>
        <v>0</v>
      </c>
      <c r="N17" s="6">
        <f t="shared" si="17"/>
        <v>0</v>
      </c>
      <c r="O17" s="6">
        <f t="shared" si="18"/>
        <v>0</v>
      </c>
      <c r="P17" s="6">
        <f t="shared" si="19"/>
        <v>0</v>
      </c>
      <c r="R17" s="6" t="str">
        <f t="shared" si="20"/>
        <v>Barn Door Replacement</v>
      </c>
      <c r="S17" s="65">
        <f t="shared" si="21"/>
        <v>0</v>
      </c>
      <c r="T17" s="65">
        <f t="shared" si="22"/>
        <v>0</v>
      </c>
      <c r="U17" s="65">
        <f t="shared" si="23"/>
        <v>0</v>
      </c>
      <c r="V17" s="65">
        <f t="shared" si="24"/>
        <v>0</v>
      </c>
      <c r="W17" s="65">
        <f t="shared" si="25"/>
        <v>0</v>
      </c>
      <c r="X17" s="65">
        <f t="shared" si="26"/>
        <v>0</v>
      </c>
      <c r="Z17" s="6" t="str">
        <f t="shared" si="27"/>
        <v>Barn Door Replacement</v>
      </c>
      <c r="AA17" s="6">
        <f>K17*'1.1 Input'!J$30</f>
        <v>0</v>
      </c>
      <c r="AB17" s="6">
        <f>L17*'1.1 Input'!K$30</f>
        <v>0</v>
      </c>
      <c r="AC17" s="6">
        <f>M17*'1.1 Input'!L$30</f>
        <v>0</v>
      </c>
      <c r="AD17" s="6">
        <f>N17*'1.1 Input'!M$30</f>
        <v>0</v>
      </c>
      <c r="AE17" s="6">
        <f>O17*'1.1 Input'!N$30</f>
        <v>0</v>
      </c>
      <c r="AF17" s="6">
        <f t="shared" si="28"/>
        <v>0</v>
      </c>
      <c r="AH17" s="6" t="str">
        <f t="shared" si="29"/>
        <v>Barn Door Replacement</v>
      </c>
      <c r="AI17" s="6" t="str" cm="1">
        <f t="array" ref="AI17">_xlfn.IFNA(INDEX('1.0 Data'!$Q$9:$Q$66,MATCH($AH17,'1.0 Data'!$P$9:$P$66,0),0),"")</f>
        <v>2023/24</v>
      </c>
      <c r="AJ17" s="6" t="str" cm="1">
        <f t="array" ref="AJ17">_xlfn.IFNA(INDEX('1.0 Data'!S$9:S$66,MATCH($AH17,'1.0 Data'!$P$9:$P$66,0),0),"")</f>
        <v>Corrosion Management</v>
      </c>
      <c r="AK17" s="6" t="str" cm="1">
        <f t="array" ref="AK17">_xlfn.IFNA(INDEX('1.0 Data'!T$9:T$66,MATCH($AH17,'1.0 Data'!$P$9:$P$66,0),0),"")</f>
        <v>Buildings</v>
      </c>
      <c r="AL17" s="65">
        <f t="shared" si="30"/>
        <v>0</v>
      </c>
      <c r="AM17" s="65">
        <f t="shared" si="31"/>
        <v>0</v>
      </c>
      <c r="AN17" s="65">
        <f t="shared" si="32"/>
        <v>0</v>
      </c>
      <c r="AO17" s="65">
        <f t="shared" si="33"/>
        <v>0</v>
      </c>
      <c r="AP17" s="65">
        <f t="shared" si="34"/>
        <v>0</v>
      </c>
      <c r="AQ17" s="45">
        <f t="shared" si="35"/>
        <v>0</v>
      </c>
      <c r="AS17" s="71">
        <f t="shared" si="36"/>
        <v>0</v>
      </c>
    </row>
    <row r="18" spans="1:45" ht="16.5" thickTop="1" thickBot="1">
      <c r="A18" s="43" t="str">
        <f>'1.0 Data'!P18</f>
        <v>Bungalora Facilities Improvements</v>
      </c>
      <c r="B18" s="67" cm="1">
        <f t="array" ref="B18">_xlfn.IFNA(INDEX('1.0 Data'!$AB$9:$AB$66,MATCH($A18,'1.0 Data'!$P$9:$P$66,0),0),0)</f>
        <v>0</v>
      </c>
      <c r="C18" s="69" cm="1">
        <f t="array" ref="C18">_xlfn.IFNA(INDEX('1.0 Data'!V$9:V$66,MATCH($A18,'1.0 Data'!$P$9:$P$66,0),0),0)</f>
        <v>121194.81000000001</v>
      </c>
      <c r="D18" s="69" cm="1">
        <f t="array" ref="D18">_xlfn.IFNA(INDEX('1.0 Data'!W$9:W$66,MATCH($A18,'1.0 Data'!$P$9:$P$66,0),0),0)</f>
        <v>0</v>
      </c>
      <c r="E18" s="69" cm="1">
        <f t="array" ref="E18">_xlfn.IFNA(INDEX('1.0 Data'!X$9:X$66,MATCH($A18,'1.0 Data'!$P$9:$P$66,0),0),0)</f>
        <v>0</v>
      </c>
      <c r="F18" s="69" cm="1">
        <f t="array" ref="F18">_xlfn.IFNA(INDEX('1.0 Data'!Y$9:Y$66,MATCH($A18,'1.0 Data'!$P$9:$P$66,0),0),0)</f>
        <v>0</v>
      </c>
      <c r="G18" s="69" cm="1">
        <f t="array" ref="G18">_xlfn.IFNA(INDEX('1.0 Data'!Z$9:Z$66,MATCH($A18,'1.0 Data'!$P$9:$P$66,0),0),0)</f>
        <v>0</v>
      </c>
      <c r="H18" s="45">
        <f t="shared" si="12"/>
        <v>121194.81000000001</v>
      </c>
      <c r="J18" s="6" t="str">
        <f t="shared" si="13"/>
        <v>Bungalora Facilities Improvements</v>
      </c>
      <c r="K18" s="6">
        <f t="shared" si="14"/>
        <v>0</v>
      </c>
      <c r="L18" s="6">
        <f t="shared" si="15"/>
        <v>0</v>
      </c>
      <c r="M18" s="6">
        <f t="shared" si="16"/>
        <v>0</v>
      </c>
      <c r="N18" s="6">
        <f t="shared" si="17"/>
        <v>0</v>
      </c>
      <c r="O18" s="6">
        <f t="shared" si="18"/>
        <v>0</v>
      </c>
      <c r="P18" s="6">
        <f t="shared" si="19"/>
        <v>0</v>
      </c>
      <c r="R18" s="6" t="str">
        <f t="shared" si="20"/>
        <v>Bungalora Facilities Improvements</v>
      </c>
      <c r="S18" s="65">
        <f t="shared" si="21"/>
        <v>121194.81000000001</v>
      </c>
      <c r="T18" s="65">
        <f t="shared" si="22"/>
        <v>0</v>
      </c>
      <c r="U18" s="65">
        <f t="shared" si="23"/>
        <v>0</v>
      </c>
      <c r="V18" s="65">
        <f t="shared" si="24"/>
        <v>0</v>
      </c>
      <c r="W18" s="65">
        <f t="shared" si="25"/>
        <v>0</v>
      </c>
      <c r="X18" s="65">
        <f t="shared" si="26"/>
        <v>121194.81000000001</v>
      </c>
      <c r="Z18" s="6" t="str">
        <f t="shared" si="27"/>
        <v>Bungalora Facilities Improvements</v>
      </c>
      <c r="AA18" s="6">
        <f>K18*'1.1 Input'!J$30</f>
        <v>0</v>
      </c>
      <c r="AB18" s="6">
        <f>L18*'1.1 Input'!K$30</f>
        <v>0</v>
      </c>
      <c r="AC18" s="6">
        <f>M18*'1.1 Input'!L$30</f>
        <v>0</v>
      </c>
      <c r="AD18" s="6">
        <f>N18*'1.1 Input'!M$30</f>
        <v>0</v>
      </c>
      <c r="AE18" s="6">
        <f>O18*'1.1 Input'!N$30</f>
        <v>0</v>
      </c>
      <c r="AF18" s="6">
        <f t="shared" si="28"/>
        <v>0</v>
      </c>
      <c r="AH18" s="6" t="str">
        <f t="shared" si="29"/>
        <v>Bungalora Facilities Improvements</v>
      </c>
      <c r="AI18" s="6" t="str" cm="1">
        <f t="array" ref="AI18">_xlfn.IFNA(INDEX('1.0 Data'!$Q$9:$Q$66,MATCH($AH18,'1.0 Data'!$P$9:$P$66,0),0),"")</f>
        <v>2023/24</v>
      </c>
      <c r="AJ18" s="6" t="str" cm="1">
        <f t="array" ref="AJ18">_xlfn.IFNA(INDEX('1.0 Data'!S$9:S$66,MATCH($AH18,'1.0 Data'!$P$9:$P$66,0),0),"")</f>
        <v>Safety and Protection</v>
      </c>
      <c r="AK18" s="6" t="str" cm="1">
        <f t="array" ref="AK18">_xlfn.IFNA(INDEX('1.0 Data'!T$9:T$66,MATCH($AH18,'1.0 Data'!$P$9:$P$66,0),0),"")</f>
        <v>Buildings</v>
      </c>
      <c r="AL18" s="65">
        <f t="shared" si="30"/>
        <v>121194.81000000001</v>
      </c>
      <c r="AM18" s="65">
        <f t="shared" si="31"/>
        <v>0</v>
      </c>
      <c r="AN18" s="65">
        <f t="shared" si="32"/>
        <v>0</v>
      </c>
      <c r="AO18" s="65">
        <f t="shared" si="33"/>
        <v>0</v>
      </c>
      <c r="AP18" s="65">
        <f t="shared" si="34"/>
        <v>0</v>
      </c>
      <c r="AQ18" s="45">
        <f t="shared" si="35"/>
        <v>121194.81000000001</v>
      </c>
      <c r="AS18" s="71">
        <f t="shared" si="36"/>
        <v>0</v>
      </c>
    </row>
    <row r="19" spans="1:45" ht="16.5" thickTop="1" thickBot="1">
      <c r="A19" s="43" t="str">
        <f>'1.0 Data'!P19</f>
        <v>Bungalora Storage Facilities</v>
      </c>
      <c r="B19" s="67" cm="1">
        <f t="array" ref="B19">_xlfn.IFNA(INDEX('1.0 Data'!$AB$9:$AB$66,MATCH($A19,'1.0 Data'!$P$9:$P$66,0),0),0)</f>
        <v>0</v>
      </c>
      <c r="C19" s="69" cm="1">
        <f t="array" ref="C19">_xlfn.IFNA(INDEX('1.0 Data'!V$9:V$66,MATCH($A19,'1.0 Data'!$P$9:$P$66,0),0),0)</f>
        <v>326700</v>
      </c>
      <c r="D19" s="69" cm="1">
        <f t="array" ref="D19">_xlfn.IFNA(INDEX('1.0 Data'!W$9:W$66,MATCH($A19,'1.0 Data'!$P$9:$P$66,0),0),0)</f>
        <v>0</v>
      </c>
      <c r="E19" s="69" cm="1">
        <f t="array" ref="E19">_xlfn.IFNA(INDEX('1.0 Data'!X$9:X$66,MATCH($A19,'1.0 Data'!$P$9:$P$66,0),0),0)</f>
        <v>0</v>
      </c>
      <c r="F19" s="69" cm="1">
        <f t="array" ref="F19">_xlfn.IFNA(INDEX('1.0 Data'!Y$9:Y$66,MATCH($A19,'1.0 Data'!$P$9:$P$66,0),0),0)</f>
        <v>0</v>
      </c>
      <c r="G19" s="69" cm="1">
        <f t="array" ref="G19">_xlfn.IFNA(INDEX('1.0 Data'!Z$9:Z$66,MATCH($A19,'1.0 Data'!$P$9:$P$66,0),0),0)</f>
        <v>0</v>
      </c>
      <c r="H19" s="45">
        <f t="shared" si="12"/>
        <v>326700</v>
      </c>
      <c r="J19" s="6" t="str">
        <f t="shared" si="13"/>
        <v>Bungalora Storage Facilities</v>
      </c>
      <c r="K19" s="6">
        <f t="shared" si="14"/>
        <v>0</v>
      </c>
      <c r="L19" s="6">
        <f t="shared" si="15"/>
        <v>0</v>
      </c>
      <c r="M19" s="6">
        <f t="shared" si="16"/>
        <v>0</v>
      </c>
      <c r="N19" s="6">
        <f t="shared" si="17"/>
        <v>0</v>
      </c>
      <c r="O19" s="6">
        <f t="shared" si="18"/>
        <v>0</v>
      </c>
      <c r="P19" s="6">
        <f t="shared" si="19"/>
        <v>0</v>
      </c>
      <c r="R19" s="6" t="str">
        <f t="shared" si="20"/>
        <v>Bungalora Storage Facilities</v>
      </c>
      <c r="S19" s="65">
        <f t="shared" si="21"/>
        <v>326700</v>
      </c>
      <c r="T19" s="65">
        <f t="shared" si="22"/>
        <v>0</v>
      </c>
      <c r="U19" s="65">
        <f t="shared" si="23"/>
        <v>0</v>
      </c>
      <c r="V19" s="65">
        <f t="shared" si="24"/>
        <v>0</v>
      </c>
      <c r="W19" s="65">
        <f t="shared" si="25"/>
        <v>0</v>
      </c>
      <c r="X19" s="65">
        <f t="shared" si="26"/>
        <v>326700</v>
      </c>
      <c r="Z19" s="6" t="str">
        <f t="shared" si="27"/>
        <v>Bungalora Storage Facilities</v>
      </c>
      <c r="AA19" s="6">
        <f>K19*'1.1 Input'!J$30</f>
        <v>0</v>
      </c>
      <c r="AB19" s="6">
        <f>L19*'1.1 Input'!K$30</f>
        <v>0</v>
      </c>
      <c r="AC19" s="6">
        <f>M19*'1.1 Input'!L$30</f>
        <v>0</v>
      </c>
      <c r="AD19" s="6">
        <f>N19*'1.1 Input'!M$30</f>
        <v>0</v>
      </c>
      <c r="AE19" s="6">
        <f>O19*'1.1 Input'!N$30</f>
        <v>0</v>
      </c>
      <c r="AF19" s="6">
        <f t="shared" si="28"/>
        <v>0</v>
      </c>
      <c r="AH19" s="6" t="str">
        <f t="shared" si="29"/>
        <v>Bungalora Storage Facilities</v>
      </c>
      <c r="AI19" s="6" t="str" cm="1">
        <f t="array" ref="AI19">_xlfn.IFNA(INDEX('1.0 Data'!$Q$9:$Q$66,MATCH($AH19,'1.0 Data'!$P$9:$P$66,0),0),"")</f>
        <v>2023/24</v>
      </c>
      <c r="AJ19" s="6" t="str" cm="1">
        <f t="array" ref="AJ19">_xlfn.IFNA(INDEX('1.0 Data'!S$9:S$66,MATCH($AH19,'1.0 Data'!$P$9:$P$66,0),0),"")</f>
        <v>Safety and Protection</v>
      </c>
      <c r="AK19" s="6" t="str" cm="1">
        <f t="array" ref="AK19">_xlfn.IFNA(INDEX('1.0 Data'!T$9:T$66,MATCH($AH19,'1.0 Data'!$P$9:$P$66,0),0),"")</f>
        <v>Buildings</v>
      </c>
      <c r="AL19" s="65">
        <f t="shared" si="30"/>
        <v>326700</v>
      </c>
      <c r="AM19" s="65">
        <f t="shared" si="31"/>
        <v>0</v>
      </c>
      <c r="AN19" s="65">
        <f t="shared" si="32"/>
        <v>0</v>
      </c>
      <c r="AO19" s="65">
        <f t="shared" si="33"/>
        <v>0</v>
      </c>
      <c r="AP19" s="65">
        <f t="shared" si="34"/>
        <v>0</v>
      </c>
      <c r="AQ19" s="45">
        <f t="shared" si="35"/>
        <v>326700</v>
      </c>
      <c r="AS19" s="71">
        <f t="shared" si="36"/>
        <v>0</v>
      </c>
    </row>
    <row r="20" spans="1:45" ht="16.5" thickTop="1" thickBot="1">
      <c r="A20" s="43" t="str">
        <f>'1.0 Data'!P20</f>
        <v>Cable Modification (Transitions) (21-25)</v>
      </c>
      <c r="B20" s="67" cm="1">
        <f t="array" ref="B20">_xlfn.IFNA(INDEX('1.0 Data'!$AB$9:$AB$66,MATCH($A20,'1.0 Data'!$P$9:$P$66,0),0),0)</f>
        <v>0</v>
      </c>
      <c r="C20" s="69" cm="1">
        <f t="array" ref="C20">_xlfn.IFNA(INDEX('1.0 Data'!V$9:V$66,MATCH($A20,'1.0 Data'!$P$9:$P$66,0),0),0)</f>
        <v>0</v>
      </c>
      <c r="D20" s="69" cm="1">
        <f t="array" ref="D20">_xlfn.IFNA(INDEX('1.0 Data'!W$9:W$66,MATCH($A20,'1.0 Data'!$P$9:$P$66,0),0),0)</f>
        <v>0</v>
      </c>
      <c r="E20" s="69" cm="1">
        <f t="array" ref="E20">_xlfn.IFNA(INDEX('1.0 Data'!X$9:X$66,MATCH($A20,'1.0 Data'!$P$9:$P$66,0),0),0)</f>
        <v>0</v>
      </c>
      <c r="F20" s="69" cm="1">
        <f t="array" ref="F20">_xlfn.IFNA(INDEX('1.0 Data'!Y$9:Y$66,MATCH($A20,'1.0 Data'!$P$9:$P$66,0),0),0)</f>
        <v>0</v>
      </c>
      <c r="G20" s="69" cm="1">
        <f t="array" ref="G20">_xlfn.IFNA(INDEX('1.0 Data'!Z$9:Z$66,MATCH($A20,'1.0 Data'!$P$9:$P$66,0),0),0)</f>
        <v>0</v>
      </c>
      <c r="H20" s="45">
        <f t="shared" si="12"/>
        <v>0</v>
      </c>
      <c r="J20" s="6" t="str">
        <f t="shared" si="13"/>
        <v>Cable Modification (Transitions) (21-25)</v>
      </c>
      <c r="K20" s="6">
        <f t="shared" si="14"/>
        <v>0</v>
      </c>
      <c r="L20" s="6">
        <f t="shared" si="15"/>
        <v>0</v>
      </c>
      <c r="M20" s="6">
        <f t="shared" si="16"/>
        <v>0</v>
      </c>
      <c r="N20" s="6">
        <f t="shared" si="17"/>
        <v>0</v>
      </c>
      <c r="O20" s="6">
        <f t="shared" si="18"/>
        <v>0</v>
      </c>
      <c r="P20" s="6">
        <f t="shared" si="19"/>
        <v>0</v>
      </c>
      <c r="R20" s="6" t="str">
        <f t="shared" si="20"/>
        <v>Cable Modification (Transitions) (21-25)</v>
      </c>
      <c r="S20" s="65">
        <f t="shared" si="21"/>
        <v>0</v>
      </c>
      <c r="T20" s="65">
        <f t="shared" si="22"/>
        <v>0</v>
      </c>
      <c r="U20" s="65">
        <f t="shared" si="23"/>
        <v>0</v>
      </c>
      <c r="V20" s="65">
        <f t="shared" si="24"/>
        <v>0</v>
      </c>
      <c r="W20" s="65">
        <f t="shared" si="25"/>
        <v>0</v>
      </c>
      <c r="X20" s="65">
        <f t="shared" si="26"/>
        <v>0</v>
      </c>
      <c r="Z20" s="6" t="str">
        <f t="shared" si="27"/>
        <v>Cable Modification (Transitions) (21-25)</v>
      </c>
      <c r="AA20" s="6">
        <f>K20*'1.1 Input'!J$30</f>
        <v>0</v>
      </c>
      <c r="AB20" s="6">
        <f>L20*'1.1 Input'!K$30</f>
        <v>0</v>
      </c>
      <c r="AC20" s="6">
        <f>M20*'1.1 Input'!L$30</f>
        <v>0</v>
      </c>
      <c r="AD20" s="6">
        <f>N20*'1.1 Input'!M$30</f>
        <v>0</v>
      </c>
      <c r="AE20" s="6">
        <f>O20*'1.1 Input'!N$30</f>
        <v>0</v>
      </c>
      <c r="AF20" s="6">
        <f t="shared" si="28"/>
        <v>0</v>
      </c>
      <c r="AH20" s="6" t="str">
        <f t="shared" si="29"/>
        <v>Cable Modification (Transitions) (21-25)</v>
      </c>
      <c r="AI20" s="6" t="str" cm="1">
        <f t="array" ref="AI20">_xlfn.IFNA(INDEX('1.0 Data'!$Q$9:$Q$66,MATCH($AH20,'1.0 Data'!$P$9:$P$66,0),0),"")</f>
        <v>2023/24</v>
      </c>
      <c r="AJ20" s="6" t="str" cm="1">
        <f t="array" ref="AJ20">_xlfn.IFNA(INDEX('1.0 Data'!S$9:S$66,MATCH($AH20,'1.0 Data'!$P$9:$P$66,0),0),"")</f>
        <v>Major Maintenance</v>
      </c>
      <c r="AK20" s="6" t="str" cm="1">
        <f t="array" ref="AK20">_xlfn.IFNA(INDEX('1.0 Data'!T$9:T$66,MATCH($AH20,'1.0 Data'!$P$9:$P$66,0),0),"")</f>
        <v>Transmission Assets</v>
      </c>
      <c r="AL20" s="65">
        <f t="shared" si="30"/>
        <v>0</v>
      </c>
      <c r="AM20" s="65">
        <f t="shared" si="31"/>
        <v>0</v>
      </c>
      <c r="AN20" s="65">
        <f t="shared" si="32"/>
        <v>0</v>
      </c>
      <c r="AO20" s="65">
        <f t="shared" si="33"/>
        <v>0</v>
      </c>
      <c r="AP20" s="65">
        <f t="shared" si="34"/>
        <v>0</v>
      </c>
      <c r="AQ20" s="45">
        <f t="shared" si="35"/>
        <v>0</v>
      </c>
      <c r="AS20" s="71">
        <f t="shared" si="36"/>
        <v>0</v>
      </c>
    </row>
    <row r="21" spans="1:45" ht="16.5" thickTop="1" thickBot="1">
      <c r="A21" s="43" t="str">
        <f>'1.0 Data'!P21</f>
        <v>Cable Modification (Transitions) (26-30)</v>
      </c>
      <c r="B21" s="67" cm="1">
        <f t="array" ref="B21">_xlfn.IFNA(INDEX('1.0 Data'!$AB$9:$AB$66,MATCH($A21,'1.0 Data'!$P$9:$P$66,0),0),0)</f>
        <v>0</v>
      </c>
      <c r="C21" s="69" cm="1">
        <f t="array" ref="C21">_xlfn.IFNA(INDEX('1.0 Data'!V$9:V$66,MATCH($A21,'1.0 Data'!$P$9:$P$66,0),0),0)</f>
        <v>528000</v>
      </c>
      <c r="D21" s="69" cm="1">
        <f t="array" ref="D21">_xlfn.IFNA(INDEX('1.0 Data'!W$9:W$66,MATCH($A21,'1.0 Data'!$P$9:$P$66,0),0),0)</f>
        <v>0</v>
      </c>
      <c r="E21" s="69" cm="1">
        <f t="array" ref="E21">_xlfn.IFNA(INDEX('1.0 Data'!X$9:X$66,MATCH($A21,'1.0 Data'!$P$9:$P$66,0),0),0)</f>
        <v>0</v>
      </c>
      <c r="F21" s="69" cm="1">
        <f t="array" ref="F21">_xlfn.IFNA(INDEX('1.0 Data'!Y$9:Y$66,MATCH($A21,'1.0 Data'!$P$9:$P$66,0),0),0)</f>
        <v>0</v>
      </c>
      <c r="G21" s="69" cm="1">
        <f t="array" ref="G21">_xlfn.IFNA(INDEX('1.0 Data'!Z$9:Z$66,MATCH($A21,'1.0 Data'!$P$9:$P$66,0),0),0)</f>
        <v>0</v>
      </c>
      <c r="H21" s="45">
        <f t="shared" si="12"/>
        <v>528000</v>
      </c>
      <c r="J21" s="6" t="str">
        <f t="shared" si="13"/>
        <v>Cable Modification (Transitions) (26-30)</v>
      </c>
      <c r="K21" s="6">
        <f t="shared" si="14"/>
        <v>0</v>
      </c>
      <c r="L21" s="6">
        <f t="shared" si="15"/>
        <v>0</v>
      </c>
      <c r="M21" s="6">
        <f t="shared" si="16"/>
        <v>0</v>
      </c>
      <c r="N21" s="6">
        <f t="shared" si="17"/>
        <v>0</v>
      </c>
      <c r="O21" s="6">
        <f t="shared" si="18"/>
        <v>0</v>
      </c>
      <c r="P21" s="6">
        <f t="shared" si="19"/>
        <v>0</v>
      </c>
      <c r="R21" s="6" t="str">
        <f t="shared" si="20"/>
        <v>Cable Modification (Transitions) (26-30)</v>
      </c>
      <c r="S21" s="65">
        <f t="shared" si="21"/>
        <v>528000</v>
      </c>
      <c r="T21" s="65">
        <f t="shared" si="22"/>
        <v>0</v>
      </c>
      <c r="U21" s="65">
        <f t="shared" si="23"/>
        <v>0</v>
      </c>
      <c r="V21" s="65">
        <f t="shared" si="24"/>
        <v>0</v>
      </c>
      <c r="W21" s="65">
        <f t="shared" si="25"/>
        <v>0</v>
      </c>
      <c r="X21" s="65">
        <f t="shared" si="26"/>
        <v>528000</v>
      </c>
      <c r="Z21" s="6" t="str">
        <f t="shared" si="27"/>
        <v>Cable Modification (Transitions) (26-30)</v>
      </c>
      <c r="AA21" s="6">
        <f>K21*'1.1 Input'!J$30</f>
        <v>0</v>
      </c>
      <c r="AB21" s="6">
        <f>L21*'1.1 Input'!K$30</f>
        <v>0</v>
      </c>
      <c r="AC21" s="6">
        <f>M21*'1.1 Input'!L$30</f>
        <v>0</v>
      </c>
      <c r="AD21" s="6">
        <f>N21*'1.1 Input'!M$30</f>
        <v>0</v>
      </c>
      <c r="AE21" s="6">
        <f>O21*'1.1 Input'!N$30</f>
        <v>0</v>
      </c>
      <c r="AF21" s="6">
        <f t="shared" si="28"/>
        <v>0</v>
      </c>
      <c r="AH21" s="6" t="str">
        <f t="shared" si="29"/>
        <v>Cable Modification (Transitions) (26-30)</v>
      </c>
      <c r="AI21" s="6" t="str" cm="1">
        <f t="array" ref="AI21">_xlfn.IFNA(INDEX('1.0 Data'!$Q$9:$Q$66,MATCH($AH21,'1.0 Data'!$P$9:$P$66,0),0),"")</f>
        <v>2023/24</v>
      </c>
      <c r="AJ21" s="6" t="str" cm="1">
        <f t="array" ref="AJ21">_xlfn.IFNA(INDEX('1.0 Data'!S$9:S$66,MATCH($AH21,'1.0 Data'!$P$9:$P$66,0),0),"")</f>
        <v>Major Maintenance</v>
      </c>
      <c r="AK21" s="6" t="str" cm="1">
        <f t="array" ref="AK21">_xlfn.IFNA(INDEX('1.0 Data'!T$9:T$66,MATCH($AH21,'1.0 Data'!$P$9:$P$66,0),0),"")</f>
        <v>Transmission Assets</v>
      </c>
      <c r="AL21" s="65">
        <f t="shared" si="30"/>
        <v>528000</v>
      </c>
      <c r="AM21" s="65">
        <f t="shared" si="31"/>
        <v>0</v>
      </c>
      <c r="AN21" s="65">
        <f t="shared" si="32"/>
        <v>0</v>
      </c>
      <c r="AO21" s="65">
        <f t="shared" si="33"/>
        <v>0</v>
      </c>
      <c r="AP21" s="65">
        <f t="shared" si="34"/>
        <v>0</v>
      </c>
      <c r="AQ21" s="45">
        <f t="shared" si="35"/>
        <v>528000</v>
      </c>
      <c r="AS21" s="71">
        <f t="shared" si="36"/>
        <v>0</v>
      </c>
    </row>
    <row r="22" spans="1:45" ht="16.5" thickTop="1" thickBot="1">
      <c r="A22" s="43" t="str">
        <f>'1.0 Data'!P22</f>
        <v>Cable Tray Install and Cable Relocation</v>
      </c>
      <c r="B22" s="67" cm="1">
        <f t="array" ref="B22">_xlfn.IFNA(INDEX('1.0 Data'!$AB$9:$AB$66,MATCH($A22,'1.0 Data'!$P$9:$P$66,0),0),0)</f>
        <v>0</v>
      </c>
      <c r="C22" s="69" cm="1">
        <f t="array" ref="C22">_xlfn.IFNA(INDEX('1.0 Data'!V$9:V$66,MATCH($A22,'1.0 Data'!$P$9:$P$66,0),0),0)</f>
        <v>0</v>
      </c>
      <c r="D22" s="69" cm="1">
        <f t="array" ref="D22">_xlfn.IFNA(INDEX('1.0 Data'!W$9:W$66,MATCH($A22,'1.0 Data'!$P$9:$P$66,0),0),0)</f>
        <v>330000</v>
      </c>
      <c r="E22" s="69" cm="1">
        <f t="array" ref="E22">_xlfn.IFNA(INDEX('1.0 Data'!X$9:X$66,MATCH($A22,'1.0 Data'!$P$9:$P$66,0),0),0)</f>
        <v>0</v>
      </c>
      <c r="F22" s="69" cm="1">
        <f t="array" ref="F22">_xlfn.IFNA(INDEX('1.0 Data'!Y$9:Y$66,MATCH($A22,'1.0 Data'!$P$9:$P$66,0),0),0)</f>
        <v>0</v>
      </c>
      <c r="G22" s="69" cm="1">
        <f t="array" ref="G22">_xlfn.IFNA(INDEX('1.0 Data'!Z$9:Z$66,MATCH($A22,'1.0 Data'!$P$9:$P$66,0),0),0)</f>
        <v>0</v>
      </c>
      <c r="H22" s="45">
        <f t="shared" si="12"/>
        <v>330000</v>
      </c>
      <c r="J22" s="6" t="str">
        <f t="shared" si="13"/>
        <v>Cable Tray Install and Cable Relocation</v>
      </c>
      <c r="K22" s="6">
        <f t="shared" si="14"/>
        <v>0</v>
      </c>
      <c r="L22" s="6">
        <f t="shared" si="15"/>
        <v>0</v>
      </c>
      <c r="M22" s="6">
        <f t="shared" si="16"/>
        <v>0</v>
      </c>
      <c r="N22" s="6">
        <f t="shared" si="17"/>
        <v>0</v>
      </c>
      <c r="O22" s="6">
        <f t="shared" si="18"/>
        <v>0</v>
      </c>
      <c r="P22" s="6">
        <f t="shared" si="19"/>
        <v>0</v>
      </c>
      <c r="R22" s="6" t="str">
        <f t="shared" si="20"/>
        <v>Cable Tray Install and Cable Relocation</v>
      </c>
      <c r="S22" s="65">
        <f t="shared" si="21"/>
        <v>0</v>
      </c>
      <c r="T22" s="65">
        <f t="shared" si="22"/>
        <v>330000</v>
      </c>
      <c r="U22" s="65">
        <f t="shared" si="23"/>
        <v>0</v>
      </c>
      <c r="V22" s="65">
        <f t="shared" si="24"/>
        <v>0</v>
      </c>
      <c r="W22" s="65">
        <f t="shared" si="25"/>
        <v>0</v>
      </c>
      <c r="X22" s="65">
        <f t="shared" si="26"/>
        <v>330000</v>
      </c>
      <c r="Z22" s="6" t="str">
        <f t="shared" si="27"/>
        <v>Cable Tray Install and Cable Relocation</v>
      </c>
      <c r="AA22" s="6">
        <f>K22*'1.1 Input'!J$30</f>
        <v>0</v>
      </c>
      <c r="AB22" s="6">
        <f>L22*'1.1 Input'!K$30</f>
        <v>0</v>
      </c>
      <c r="AC22" s="6">
        <f>M22*'1.1 Input'!L$30</f>
        <v>0</v>
      </c>
      <c r="AD22" s="6">
        <f>N22*'1.1 Input'!M$30</f>
        <v>0</v>
      </c>
      <c r="AE22" s="6">
        <f>O22*'1.1 Input'!N$30</f>
        <v>0</v>
      </c>
      <c r="AF22" s="6">
        <f t="shared" si="28"/>
        <v>0</v>
      </c>
      <c r="AH22" s="6" t="str">
        <f t="shared" si="29"/>
        <v>Cable Tray Install and Cable Relocation</v>
      </c>
      <c r="AI22" s="6" t="str" cm="1">
        <f t="array" ref="AI22">_xlfn.IFNA(INDEX('1.0 Data'!$Q$9:$Q$66,MATCH($AH22,'1.0 Data'!$P$9:$P$66,0),0),"")</f>
        <v>2023/24</v>
      </c>
      <c r="AJ22" s="6" t="str" cm="1">
        <f t="array" ref="AJ22">_xlfn.IFNA(INDEX('1.0 Data'!S$9:S$66,MATCH($AH22,'1.0 Data'!$P$9:$P$66,0),0),"")</f>
        <v>Major Maintenance</v>
      </c>
      <c r="AK22" s="6" t="str" cm="1">
        <f t="array" ref="AK22">_xlfn.IFNA(INDEX('1.0 Data'!T$9:T$66,MATCH($AH22,'1.0 Data'!$P$9:$P$66,0),0),"")</f>
        <v>Transmission Assets</v>
      </c>
      <c r="AL22" s="65">
        <f t="shared" si="30"/>
        <v>0</v>
      </c>
      <c r="AM22" s="65">
        <f t="shared" si="31"/>
        <v>330000</v>
      </c>
      <c r="AN22" s="65">
        <f t="shared" si="32"/>
        <v>0</v>
      </c>
      <c r="AO22" s="65">
        <f t="shared" si="33"/>
        <v>0</v>
      </c>
      <c r="AP22" s="65">
        <f t="shared" si="34"/>
        <v>0</v>
      </c>
      <c r="AQ22" s="45">
        <f t="shared" si="35"/>
        <v>330000</v>
      </c>
      <c r="AS22" s="71">
        <f t="shared" si="36"/>
        <v>0</v>
      </c>
    </row>
    <row r="23" spans="1:45" ht="16.5" thickTop="1" thickBot="1">
      <c r="A23" s="43" t="str">
        <f>'1.0 Data'!P23</f>
        <v>Cameras for Inspections</v>
      </c>
      <c r="B23" s="67" cm="1">
        <f t="array" ref="B23">_xlfn.IFNA(INDEX('1.0 Data'!$AB$9:$AB$66,MATCH($A23,'1.0 Data'!$P$9:$P$66,0),0),0)</f>
        <v>0</v>
      </c>
      <c r="C23" s="69" cm="1">
        <f t="array" ref="C23">_xlfn.IFNA(INDEX('1.0 Data'!V$9:V$66,MATCH($A23,'1.0 Data'!$P$9:$P$66,0),0),0)</f>
        <v>0</v>
      </c>
      <c r="D23" s="69" cm="1">
        <f t="array" ref="D23">_xlfn.IFNA(INDEX('1.0 Data'!W$9:W$66,MATCH($A23,'1.0 Data'!$P$9:$P$66,0),0),0)</f>
        <v>0</v>
      </c>
      <c r="E23" s="69" cm="1">
        <f t="array" ref="E23">_xlfn.IFNA(INDEX('1.0 Data'!X$9:X$66,MATCH($A23,'1.0 Data'!$P$9:$P$66,0),0),0)</f>
        <v>85290.48000000001</v>
      </c>
      <c r="F23" s="69" cm="1">
        <f t="array" ref="F23">_xlfn.IFNA(INDEX('1.0 Data'!Y$9:Y$66,MATCH($A23,'1.0 Data'!$P$9:$P$66,0),0),0)</f>
        <v>0</v>
      </c>
      <c r="G23" s="69" cm="1">
        <f t="array" ref="G23">_xlfn.IFNA(INDEX('1.0 Data'!Z$9:Z$66,MATCH($A23,'1.0 Data'!$P$9:$P$66,0),0),0)</f>
        <v>0</v>
      </c>
      <c r="H23" s="45">
        <f t="shared" si="12"/>
        <v>85290.48000000001</v>
      </c>
      <c r="J23" s="6" t="str">
        <f t="shared" si="13"/>
        <v>Cameras for Inspections</v>
      </c>
      <c r="K23" s="6">
        <f t="shared" si="14"/>
        <v>0</v>
      </c>
      <c r="L23" s="6">
        <f t="shared" si="15"/>
        <v>0</v>
      </c>
      <c r="M23" s="6">
        <f t="shared" si="16"/>
        <v>0</v>
      </c>
      <c r="N23" s="6">
        <f t="shared" si="17"/>
        <v>0</v>
      </c>
      <c r="O23" s="6">
        <f t="shared" si="18"/>
        <v>0</v>
      </c>
      <c r="P23" s="6">
        <f t="shared" si="19"/>
        <v>0</v>
      </c>
      <c r="R23" s="6" t="str">
        <f t="shared" si="20"/>
        <v>Cameras for Inspections</v>
      </c>
      <c r="S23" s="65">
        <f t="shared" si="21"/>
        <v>0</v>
      </c>
      <c r="T23" s="65">
        <f t="shared" si="22"/>
        <v>0</v>
      </c>
      <c r="U23" s="65">
        <f t="shared" si="23"/>
        <v>85290.48000000001</v>
      </c>
      <c r="V23" s="65">
        <f t="shared" si="24"/>
        <v>0</v>
      </c>
      <c r="W23" s="65">
        <f t="shared" si="25"/>
        <v>0</v>
      </c>
      <c r="X23" s="65">
        <f t="shared" si="26"/>
        <v>85290.48000000001</v>
      </c>
      <c r="Z23" s="6" t="str">
        <f t="shared" si="27"/>
        <v>Cameras for Inspections</v>
      </c>
      <c r="AA23" s="6">
        <f>K23*'1.1 Input'!J$30</f>
        <v>0</v>
      </c>
      <c r="AB23" s="6">
        <f>L23*'1.1 Input'!K$30</f>
        <v>0</v>
      </c>
      <c r="AC23" s="6">
        <f>M23*'1.1 Input'!L$30</f>
        <v>0</v>
      </c>
      <c r="AD23" s="6">
        <f>N23*'1.1 Input'!M$30</f>
        <v>0</v>
      </c>
      <c r="AE23" s="6">
        <f>O23*'1.1 Input'!N$30</f>
        <v>0</v>
      </c>
      <c r="AF23" s="6">
        <f t="shared" si="28"/>
        <v>0</v>
      </c>
      <c r="AH23" s="6" t="str">
        <f t="shared" si="29"/>
        <v>Cameras for Inspections</v>
      </c>
      <c r="AI23" s="6" t="str" cm="1">
        <f t="array" ref="AI23">_xlfn.IFNA(INDEX('1.0 Data'!$Q$9:$Q$66,MATCH($AH23,'1.0 Data'!$P$9:$P$66,0),0),"")</f>
        <v>2023/24</v>
      </c>
      <c r="AJ23" s="6" t="str" cm="1">
        <f t="array" ref="AJ23">_xlfn.IFNA(INDEX('1.0 Data'!S$9:S$66,MATCH($AH23,'1.0 Data'!$P$9:$P$66,0),0),"")</f>
        <v>Safety and Protection</v>
      </c>
      <c r="AK23" s="6" t="str" cm="1">
        <f t="array" ref="AK23">_xlfn.IFNA(INDEX('1.0 Data'!T$9:T$66,MATCH($AH23,'1.0 Data'!$P$9:$P$66,0),0),"")</f>
        <v>Buildings</v>
      </c>
      <c r="AL23" s="65">
        <f t="shared" si="30"/>
        <v>0</v>
      </c>
      <c r="AM23" s="65">
        <f t="shared" si="31"/>
        <v>0</v>
      </c>
      <c r="AN23" s="65">
        <f t="shared" si="32"/>
        <v>85290.48000000001</v>
      </c>
      <c r="AO23" s="65">
        <f t="shared" si="33"/>
        <v>0</v>
      </c>
      <c r="AP23" s="65">
        <f t="shared" si="34"/>
        <v>0</v>
      </c>
      <c r="AQ23" s="45">
        <f t="shared" si="35"/>
        <v>85290.48000000001</v>
      </c>
      <c r="AS23" s="71">
        <f t="shared" si="36"/>
        <v>0</v>
      </c>
    </row>
    <row r="24" spans="1:45" ht="16.5" thickTop="1" thickBot="1">
      <c r="A24" s="43" t="str">
        <f>'1.0 Data'!P24</f>
        <v>Circuit Breakers</v>
      </c>
      <c r="B24" s="67" cm="1">
        <f t="array" ref="B24">_xlfn.IFNA(INDEX('1.0 Data'!$AB$9:$AB$66,MATCH($A24,'1.0 Data'!$P$9:$P$66,0),0),0)</f>
        <v>0</v>
      </c>
      <c r="C24" s="69" cm="1">
        <f t="array" ref="C24">_xlfn.IFNA(INDEX('1.0 Data'!V$9:V$66,MATCH($A24,'1.0 Data'!$P$9:$P$66,0),0),0)</f>
        <v>132000</v>
      </c>
      <c r="D24" s="69" cm="1">
        <f t="array" ref="D24">_xlfn.IFNA(INDEX('1.0 Data'!W$9:W$66,MATCH($A24,'1.0 Data'!$P$9:$P$66,0),0),0)</f>
        <v>396000.00000000006</v>
      </c>
      <c r="E24" s="69" cm="1">
        <f t="array" ref="E24">_xlfn.IFNA(INDEX('1.0 Data'!X$9:X$66,MATCH($A24,'1.0 Data'!$P$9:$P$66,0),0),0)</f>
        <v>660000</v>
      </c>
      <c r="F24" s="69" cm="1">
        <f t="array" ref="F24">_xlfn.IFNA(INDEX('1.0 Data'!Y$9:Y$66,MATCH($A24,'1.0 Data'!$P$9:$P$66,0),0),0)</f>
        <v>132000</v>
      </c>
      <c r="G24" s="69" cm="1">
        <f t="array" ref="G24">_xlfn.IFNA(INDEX('1.0 Data'!Z$9:Z$66,MATCH($A24,'1.0 Data'!$P$9:$P$66,0),0),0)</f>
        <v>280740.24</v>
      </c>
      <c r="H24" s="45">
        <f t="shared" si="12"/>
        <v>1600740.24</v>
      </c>
      <c r="J24" s="6" t="str">
        <f t="shared" si="13"/>
        <v>Circuit Breakers</v>
      </c>
      <c r="K24" s="6">
        <f t="shared" si="14"/>
        <v>0</v>
      </c>
      <c r="L24" s="6">
        <f t="shared" si="15"/>
        <v>0</v>
      </c>
      <c r="M24" s="6">
        <f t="shared" si="16"/>
        <v>0</v>
      </c>
      <c r="N24" s="6">
        <f t="shared" si="17"/>
        <v>0</v>
      </c>
      <c r="O24" s="6">
        <f t="shared" si="18"/>
        <v>0</v>
      </c>
      <c r="P24" s="6">
        <f t="shared" si="19"/>
        <v>0</v>
      </c>
      <c r="R24" s="6" t="str">
        <f t="shared" si="20"/>
        <v>Circuit Breakers</v>
      </c>
      <c r="S24" s="65">
        <f t="shared" si="21"/>
        <v>132000</v>
      </c>
      <c r="T24" s="65">
        <f t="shared" si="22"/>
        <v>396000.00000000006</v>
      </c>
      <c r="U24" s="65">
        <f t="shared" si="23"/>
        <v>660000</v>
      </c>
      <c r="V24" s="65">
        <f t="shared" si="24"/>
        <v>132000</v>
      </c>
      <c r="W24" s="65">
        <f t="shared" si="25"/>
        <v>280740.24</v>
      </c>
      <c r="X24" s="65">
        <f t="shared" si="26"/>
        <v>1600740.24</v>
      </c>
      <c r="Z24" s="6" t="str">
        <f t="shared" si="27"/>
        <v>Circuit Breakers</v>
      </c>
      <c r="AA24" s="6">
        <f>K24*'1.1 Input'!J$30</f>
        <v>0</v>
      </c>
      <c r="AB24" s="6">
        <f>L24*'1.1 Input'!K$30</f>
        <v>0</v>
      </c>
      <c r="AC24" s="6">
        <f>M24*'1.1 Input'!L$30</f>
        <v>0</v>
      </c>
      <c r="AD24" s="6">
        <f>N24*'1.1 Input'!M$30</f>
        <v>0</v>
      </c>
      <c r="AE24" s="6">
        <f>O24*'1.1 Input'!N$30</f>
        <v>0</v>
      </c>
      <c r="AF24" s="6">
        <f t="shared" si="28"/>
        <v>0</v>
      </c>
      <c r="AH24" s="6" t="str">
        <f t="shared" si="29"/>
        <v>Circuit Breakers</v>
      </c>
      <c r="AI24" s="6" t="str" cm="1">
        <f t="array" ref="AI24">_xlfn.IFNA(INDEX('1.0 Data'!$Q$9:$Q$66,MATCH($AH24,'1.0 Data'!$P$9:$P$66,0),0),"")</f>
        <v>2023/24</v>
      </c>
      <c r="AJ24" s="6" t="str" cm="1">
        <f t="array" ref="AJ24">_xlfn.IFNA(INDEX('1.0 Data'!S$9:S$66,MATCH($AH24,'1.0 Data'!$P$9:$P$66,0),0),"")</f>
        <v>Major Maintenance</v>
      </c>
      <c r="AK24" s="6" t="str" cm="1">
        <f t="array" ref="AK24">_xlfn.IFNA(INDEX('1.0 Data'!T$9:T$66,MATCH($AH24,'1.0 Data'!$P$9:$P$66,0),0),"")</f>
        <v>Transmission Assets</v>
      </c>
      <c r="AL24" s="65">
        <f t="shared" si="30"/>
        <v>132000</v>
      </c>
      <c r="AM24" s="65">
        <f t="shared" si="31"/>
        <v>396000.00000000006</v>
      </c>
      <c r="AN24" s="65">
        <f t="shared" si="32"/>
        <v>660000</v>
      </c>
      <c r="AO24" s="65">
        <f t="shared" si="33"/>
        <v>132000</v>
      </c>
      <c r="AP24" s="65">
        <f t="shared" si="34"/>
        <v>280740.24</v>
      </c>
      <c r="AQ24" s="45">
        <f t="shared" si="35"/>
        <v>1600740.24</v>
      </c>
      <c r="AS24" s="71">
        <f t="shared" si="36"/>
        <v>0</v>
      </c>
    </row>
    <row r="25" spans="1:45" ht="16.5" thickTop="1" thickBot="1">
      <c r="A25" s="43" t="str">
        <f>'1.0 Data'!P25</f>
        <v>Cooling Tower Fans</v>
      </c>
      <c r="B25" s="67" cm="1">
        <f t="array" ref="B25">_xlfn.IFNA(INDEX('1.0 Data'!$AB$9:$AB$66,MATCH($A25,'1.0 Data'!$P$9:$P$66,0),0),0)</f>
        <v>1</v>
      </c>
      <c r="C25" s="69" cm="1">
        <f t="array" ref="C25">_xlfn.IFNA(INDEX('1.0 Data'!V$9:V$66,MATCH($A25,'1.0 Data'!$P$9:$P$66,0),0),0)</f>
        <v>112728.00000000001</v>
      </c>
      <c r="D25" s="69" cm="1">
        <f t="array" ref="D25">_xlfn.IFNA(INDEX('1.0 Data'!W$9:W$66,MATCH($A25,'1.0 Data'!$P$9:$P$66,0),0),0)</f>
        <v>112728.00000000001</v>
      </c>
      <c r="E25" s="69" cm="1">
        <f t="array" ref="E25">_xlfn.IFNA(INDEX('1.0 Data'!X$9:X$66,MATCH($A25,'1.0 Data'!$P$9:$P$66,0),0),0)</f>
        <v>112728.00000000001</v>
      </c>
      <c r="F25" s="69" cm="1">
        <f t="array" ref="F25">_xlfn.IFNA(INDEX('1.0 Data'!Y$9:Y$66,MATCH($A25,'1.0 Data'!$P$9:$P$66,0),0),0)</f>
        <v>112728.00000000001</v>
      </c>
      <c r="G25" s="69" cm="1">
        <f t="array" ref="G25">_xlfn.IFNA(INDEX('1.0 Data'!Z$9:Z$66,MATCH($A25,'1.0 Data'!$P$9:$P$66,0),0),0)</f>
        <v>112728.00000000001</v>
      </c>
      <c r="H25" s="45">
        <f t="shared" si="12"/>
        <v>563640.00000000012</v>
      </c>
      <c r="J25" s="6" t="str">
        <f t="shared" si="13"/>
        <v>Cooling Tower Fans</v>
      </c>
      <c r="K25" s="6">
        <f t="shared" si="14"/>
        <v>112728.00000000001</v>
      </c>
      <c r="L25" s="6">
        <f t="shared" si="15"/>
        <v>112728.00000000001</v>
      </c>
      <c r="M25" s="6">
        <f t="shared" si="16"/>
        <v>112728.00000000001</v>
      </c>
      <c r="N25" s="6">
        <f t="shared" si="17"/>
        <v>112728.00000000001</v>
      </c>
      <c r="O25" s="6">
        <f t="shared" si="18"/>
        <v>112728.00000000001</v>
      </c>
      <c r="P25" s="6">
        <f t="shared" si="19"/>
        <v>563640.00000000012</v>
      </c>
      <c r="R25" s="6" t="str">
        <f t="shared" si="20"/>
        <v>Cooling Tower Fans</v>
      </c>
      <c r="S25" s="65">
        <f t="shared" si="21"/>
        <v>0</v>
      </c>
      <c r="T25" s="65">
        <f t="shared" si="22"/>
        <v>0</v>
      </c>
      <c r="U25" s="65">
        <f t="shared" si="23"/>
        <v>0</v>
      </c>
      <c r="V25" s="65">
        <f t="shared" si="24"/>
        <v>0</v>
      </c>
      <c r="W25" s="65">
        <f t="shared" si="25"/>
        <v>0</v>
      </c>
      <c r="X25" s="65">
        <f t="shared" si="26"/>
        <v>0</v>
      </c>
      <c r="Z25" s="6" t="str">
        <f t="shared" si="27"/>
        <v>Cooling Tower Fans</v>
      </c>
      <c r="AA25" s="6">
        <f>K25*'1.1 Input'!J$30</f>
        <v>115260.20475079463</v>
      </c>
      <c r="AB25" s="6">
        <f>L25*'1.1 Input'!K$30</f>
        <v>116516.11102621818</v>
      </c>
      <c r="AC25" s="6">
        <f>M25*'1.1 Input'!L$30</f>
        <v>117566.66626087736</v>
      </c>
      <c r="AD25" s="6">
        <f>N25*'1.1 Input'!M$30</f>
        <v>118953.36458495677</v>
      </c>
      <c r="AE25" s="6">
        <f>O25*'1.1 Input'!N$30</f>
        <v>120535.39554130749</v>
      </c>
      <c r="AF25" s="6">
        <f t="shared" si="28"/>
        <v>588831.74216415442</v>
      </c>
      <c r="AH25" s="6" t="str">
        <f t="shared" si="29"/>
        <v>Cooling Tower Fans</v>
      </c>
      <c r="AI25" s="6" t="str" cm="1">
        <f t="array" ref="AI25">_xlfn.IFNA(INDEX('1.0 Data'!$Q$9:$Q$66,MATCH($AH25,'1.0 Data'!$P$9:$P$66,0),0),"")</f>
        <v>2023/24</v>
      </c>
      <c r="AJ25" s="6" t="str" cm="1">
        <f t="array" ref="AJ25">_xlfn.IFNA(INDEX('1.0 Data'!S$9:S$66,MATCH($AH25,'1.0 Data'!$P$9:$P$66,0),0),"")</f>
        <v>Major Maintenance</v>
      </c>
      <c r="AK25" s="6" t="str" cm="1">
        <f t="array" ref="AK25">_xlfn.IFNA(INDEX('1.0 Data'!T$9:T$66,MATCH($AH25,'1.0 Data'!$P$9:$P$66,0),0),"")</f>
        <v>Transmission Assets</v>
      </c>
      <c r="AL25" s="65">
        <f t="shared" si="30"/>
        <v>115260.20475079463</v>
      </c>
      <c r="AM25" s="65">
        <f t="shared" si="31"/>
        <v>116516.11102621818</v>
      </c>
      <c r="AN25" s="65">
        <f t="shared" si="32"/>
        <v>117566.66626087736</v>
      </c>
      <c r="AO25" s="65">
        <f t="shared" si="33"/>
        <v>118953.36458495677</v>
      </c>
      <c r="AP25" s="65">
        <f t="shared" si="34"/>
        <v>120535.39554130749</v>
      </c>
      <c r="AQ25" s="45">
        <f t="shared" si="35"/>
        <v>588831.74216415442</v>
      </c>
      <c r="AS25" s="71">
        <f t="shared" si="36"/>
        <v>0</v>
      </c>
    </row>
    <row r="26" spans="1:45" ht="16.5" thickTop="1" thickBot="1">
      <c r="A26" s="43" t="str">
        <f>'1.0 Data'!P26</f>
        <v>Cooling Tower Sound Enclosure and Roofing Corrosion Management</v>
      </c>
      <c r="B26" s="67" cm="1">
        <f t="array" ref="B26">_xlfn.IFNA(INDEX('1.0 Data'!$AB$9:$AB$66,MATCH($A26,'1.0 Data'!$P$9:$P$66,0),0),0)</f>
        <v>0.40677966101694918</v>
      </c>
      <c r="C26" s="69" cm="1">
        <f t="array" ref="C26">_xlfn.IFNA(INDEX('1.0 Data'!V$9:V$66,MATCH($A26,'1.0 Data'!$P$9:$P$66,0),0),0)</f>
        <v>0</v>
      </c>
      <c r="D26" s="69" cm="1">
        <f t="array" ref="D26">_xlfn.IFNA(INDEX('1.0 Data'!W$9:W$66,MATCH($A26,'1.0 Data'!$P$9:$P$66,0),0),0)</f>
        <v>0</v>
      </c>
      <c r="E26" s="69" cm="1">
        <f t="array" ref="E26">_xlfn.IFNA(INDEX('1.0 Data'!X$9:X$66,MATCH($A26,'1.0 Data'!$P$9:$P$66,0),0),0)</f>
        <v>0</v>
      </c>
      <c r="F26" s="69" cm="1">
        <f t="array" ref="F26">_xlfn.IFNA(INDEX('1.0 Data'!Y$9:Y$66,MATCH($A26,'1.0 Data'!$P$9:$P$66,0),0),0)</f>
        <v>934560.00000000012</v>
      </c>
      <c r="G26" s="69" cm="1">
        <f t="array" ref="G26">_xlfn.IFNA(INDEX('1.0 Data'!Z$9:Z$66,MATCH($A26,'1.0 Data'!$P$9:$P$66,0),0),0)</f>
        <v>0</v>
      </c>
      <c r="H26" s="45">
        <f t="shared" si="12"/>
        <v>934560.00000000012</v>
      </c>
      <c r="J26" s="6" t="str">
        <f t="shared" si="13"/>
        <v>Cooling Tower Sound Enclosure and Roofing Corrosion Management</v>
      </c>
      <c r="K26" s="6">
        <f t="shared" si="14"/>
        <v>0</v>
      </c>
      <c r="L26" s="6">
        <f t="shared" si="15"/>
        <v>0</v>
      </c>
      <c r="M26" s="6">
        <f t="shared" si="16"/>
        <v>0</v>
      </c>
      <c r="N26" s="6">
        <f t="shared" si="17"/>
        <v>380160.00000000006</v>
      </c>
      <c r="O26" s="6">
        <f t="shared" si="18"/>
        <v>0</v>
      </c>
      <c r="P26" s="6">
        <f t="shared" si="19"/>
        <v>380160.00000000006</v>
      </c>
      <c r="R26" s="6" t="str">
        <f t="shared" si="20"/>
        <v>Cooling Tower Sound Enclosure and Roofing Corrosion Management</v>
      </c>
      <c r="S26" s="65">
        <f t="shared" si="21"/>
        <v>0</v>
      </c>
      <c r="T26" s="65">
        <f t="shared" si="22"/>
        <v>0</v>
      </c>
      <c r="U26" s="65">
        <f t="shared" si="23"/>
        <v>0</v>
      </c>
      <c r="V26" s="65">
        <f t="shared" si="24"/>
        <v>554400</v>
      </c>
      <c r="W26" s="65">
        <f t="shared" si="25"/>
        <v>0</v>
      </c>
      <c r="X26" s="65">
        <f t="shared" si="26"/>
        <v>554400</v>
      </c>
      <c r="Z26" s="6" t="str">
        <f t="shared" si="27"/>
        <v>Cooling Tower Sound Enclosure and Roofing Corrosion Management</v>
      </c>
      <c r="AA26" s="6">
        <f>K26*'1.1 Input'!J$30</f>
        <v>0</v>
      </c>
      <c r="AB26" s="6">
        <f>L26*'1.1 Input'!K$30</f>
        <v>0</v>
      </c>
      <c r="AC26" s="6">
        <f>M26*'1.1 Input'!L$30</f>
        <v>0</v>
      </c>
      <c r="AD26" s="6">
        <f>N26*'1.1 Input'!M$30</f>
        <v>401154.20375254739</v>
      </c>
      <c r="AE26" s="6">
        <f>O26*'1.1 Input'!N$30</f>
        <v>0</v>
      </c>
      <c r="AF26" s="6">
        <f t="shared" si="28"/>
        <v>401154.20375254739</v>
      </c>
      <c r="AH26" s="6" t="str">
        <f t="shared" si="29"/>
        <v>Cooling Tower Sound Enclosure and Roofing Corrosion Management</v>
      </c>
      <c r="AI26" s="6" t="str" cm="1">
        <f t="array" ref="AI26">_xlfn.IFNA(INDEX('1.0 Data'!$Q$9:$Q$66,MATCH($AH26,'1.0 Data'!$P$9:$P$66,0),0),"")</f>
        <v>2023/24</v>
      </c>
      <c r="AJ26" s="6" t="str" cm="1">
        <f t="array" ref="AJ26">_xlfn.IFNA(INDEX('1.0 Data'!S$9:S$66,MATCH($AH26,'1.0 Data'!$P$9:$P$66,0),0),"")</f>
        <v>Major Maintenance</v>
      </c>
      <c r="AK26" s="6" t="str" cm="1">
        <f t="array" ref="AK26">_xlfn.IFNA(INDEX('1.0 Data'!T$9:T$66,MATCH($AH26,'1.0 Data'!$P$9:$P$66,0),0),"")</f>
        <v>Buildings</v>
      </c>
      <c r="AL26" s="65">
        <f t="shared" si="30"/>
        <v>0</v>
      </c>
      <c r="AM26" s="65">
        <f t="shared" si="31"/>
        <v>0</v>
      </c>
      <c r="AN26" s="65">
        <f t="shared" si="32"/>
        <v>0</v>
      </c>
      <c r="AO26" s="65">
        <f t="shared" si="33"/>
        <v>955554.20375254739</v>
      </c>
      <c r="AP26" s="65">
        <f t="shared" si="34"/>
        <v>0</v>
      </c>
      <c r="AQ26" s="45">
        <f t="shared" si="35"/>
        <v>955554.20375254739</v>
      </c>
      <c r="AS26" s="71">
        <f t="shared" si="36"/>
        <v>0</v>
      </c>
    </row>
    <row r="27" spans="1:45" ht="16.5" thickTop="1" thickBot="1">
      <c r="A27" s="43" t="str">
        <f>'1.0 Data'!P27</f>
        <v>Corporate Upgrade of Telstra Network</v>
      </c>
      <c r="B27" s="67" cm="1">
        <f t="array" ref="B27">_xlfn.IFNA(INDEX('1.0 Data'!$AB$9:$AB$66,MATCH($A27,'1.0 Data'!$P$9:$P$66,0),0),0)</f>
        <v>0</v>
      </c>
      <c r="C27" s="69" cm="1">
        <f t="array" ref="C27">_xlfn.IFNA(INDEX('1.0 Data'!V$9:V$66,MATCH($A27,'1.0 Data'!$P$9:$P$66,0),0),0)</f>
        <v>0</v>
      </c>
      <c r="D27" s="69" cm="1">
        <f t="array" ref="D27">_xlfn.IFNA(INDEX('1.0 Data'!W$9:W$66,MATCH($A27,'1.0 Data'!$P$9:$P$66,0),0),0)</f>
        <v>0</v>
      </c>
      <c r="E27" s="69" cm="1">
        <f t="array" ref="E27">_xlfn.IFNA(INDEX('1.0 Data'!X$9:X$66,MATCH($A27,'1.0 Data'!$P$9:$P$66,0),0),0)</f>
        <v>0</v>
      </c>
      <c r="F27" s="69" cm="1">
        <f t="array" ref="F27">_xlfn.IFNA(INDEX('1.0 Data'!Y$9:Y$66,MATCH($A27,'1.0 Data'!$P$9:$P$66,0),0),0)</f>
        <v>0</v>
      </c>
      <c r="G27" s="69" cm="1">
        <f t="array" ref="G27">_xlfn.IFNA(INDEX('1.0 Data'!Z$9:Z$66,MATCH($A27,'1.0 Data'!$P$9:$P$66,0),0),0)</f>
        <v>0</v>
      </c>
      <c r="H27" s="45">
        <f t="shared" si="12"/>
        <v>0</v>
      </c>
      <c r="J27" s="6" t="str">
        <f t="shared" si="13"/>
        <v>Corporate Upgrade of Telstra Network</v>
      </c>
      <c r="K27" s="6">
        <f t="shared" si="14"/>
        <v>0</v>
      </c>
      <c r="L27" s="6">
        <f t="shared" si="15"/>
        <v>0</v>
      </c>
      <c r="M27" s="6">
        <f t="shared" si="16"/>
        <v>0</v>
      </c>
      <c r="N27" s="6">
        <f t="shared" si="17"/>
        <v>0</v>
      </c>
      <c r="O27" s="6">
        <f t="shared" si="18"/>
        <v>0</v>
      </c>
      <c r="P27" s="6">
        <f t="shared" si="19"/>
        <v>0</v>
      </c>
      <c r="R27" s="6" t="str">
        <f t="shared" si="20"/>
        <v>Corporate Upgrade of Telstra Network</v>
      </c>
      <c r="S27" s="65">
        <f t="shared" si="21"/>
        <v>0</v>
      </c>
      <c r="T27" s="65">
        <f t="shared" si="22"/>
        <v>0</v>
      </c>
      <c r="U27" s="65">
        <f t="shared" si="23"/>
        <v>0</v>
      </c>
      <c r="V27" s="65">
        <f t="shared" si="24"/>
        <v>0</v>
      </c>
      <c r="W27" s="65">
        <f t="shared" si="25"/>
        <v>0</v>
      </c>
      <c r="X27" s="65">
        <f t="shared" si="26"/>
        <v>0</v>
      </c>
      <c r="Z27" s="6" t="str">
        <f t="shared" si="27"/>
        <v>Corporate Upgrade of Telstra Network</v>
      </c>
      <c r="AA27" s="6">
        <f>K27*'1.1 Input'!J$30</f>
        <v>0</v>
      </c>
      <c r="AB27" s="6">
        <f>L27*'1.1 Input'!K$30</f>
        <v>0</v>
      </c>
      <c r="AC27" s="6">
        <f>M27*'1.1 Input'!L$30</f>
        <v>0</v>
      </c>
      <c r="AD27" s="6">
        <f>N27*'1.1 Input'!M$30</f>
        <v>0</v>
      </c>
      <c r="AE27" s="6">
        <f>O27*'1.1 Input'!N$30</f>
        <v>0</v>
      </c>
      <c r="AF27" s="6">
        <f t="shared" si="28"/>
        <v>0</v>
      </c>
      <c r="AH27" s="6" t="str">
        <f t="shared" si="29"/>
        <v>Corporate Upgrade of Telstra Network</v>
      </c>
      <c r="AI27" s="6" t="str" cm="1">
        <f t="array" ref="AI27">_xlfn.IFNA(INDEX('1.0 Data'!$Q$9:$Q$66,MATCH($AH27,'1.0 Data'!$P$9:$P$66,0),0),"")</f>
        <v>2023/24</v>
      </c>
      <c r="AJ27" s="6" t="str" cm="1">
        <f t="array" ref="AJ27">_xlfn.IFNA(INDEX('1.0 Data'!S$9:S$66,MATCH($AH27,'1.0 Data'!$P$9:$P$66,0),0),"")</f>
        <v>Asset Monitoring</v>
      </c>
      <c r="AK27" s="6" t="str" cm="1">
        <f t="array" ref="AK27">_xlfn.IFNA(INDEX('1.0 Data'!T$9:T$66,MATCH($AH27,'1.0 Data'!$P$9:$P$66,0),0),"")</f>
        <v>Buildings</v>
      </c>
      <c r="AL27" s="65">
        <f t="shared" si="30"/>
        <v>0</v>
      </c>
      <c r="AM27" s="65">
        <f t="shared" si="31"/>
        <v>0</v>
      </c>
      <c r="AN27" s="65">
        <f t="shared" si="32"/>
        <v>0</v>
      </c>
      <c r="AO27" s="65">
        <f t="shared" si="33"/>
        <v>0</v>
      </c>
      <c r="AP27" s="65">
        <f t="shared" si="34"/>
        <v>0</v>
      </c>
      <c r="AQ27" s="45">
        <f t="shared" si="35"/>
        <v>0</v>
      </c>
      <c r="AS27" s="71">
        <f t="shared" si="36"/>
        <v>0</v>
      </c>
    </row>
    <row r="28" spans="1:45" ht="16.5" thickTop="1" thickBot="1">
      <c r="A28" s="43" t="str">
        <f>'1.0 Data'!P28</f>
        <v>DC disconnectors</v>
      </c>
      <c r="B28" s="67" cm="1">
        <f t="array" ref="B28">_xlfn.IFNA(INDEX('1.0 Data'!$AB$9:$AB$66,MATCH($A28,'1.0 Data'!$P$9:$P$66,0),0),0)</f>
        <v>0</v>
      </c>
      <c r="C28" s="69" cm="1">
        <f t="array" ref="C28">_xlfn.IFNA(INDEX('1.0 Data'!V$9:V$66,MATCH($A28,'1.0 Data'!$P$9:$P$66,0),0),0)</f>
        <v>431970.00000000012</v>
      </c>
      <c r="D28" s="69" cm="1">
        <f t="array" ref="D28">_xlfn.IFNA(INDEX('1.0 Data'!W$9:W$66,MATCH($A28,'1.0 Data'!$P$9:$P$66,0),0),0)</f>
        <v>0</v>
      </c>
      <c r="E28" s="69" cm="1">
        <f t="array" ref="E28">_xlfn.IFNA(INDEX('1.0 Data'!X$9:X$66,MATCH($A28,'1.0 Data'!$P$9:$P$66,0),0),0)</f>
        <v>0</v>
      </c>
      <c r="F28" s="69" cm="1">
        <f t="array" ref="F28">_xlfn.IFNA(INDEX('1.0 Data'!Y$9:Y$66,MATCH($A28,'1.0 Data'!$P$9:$P$66,0),0),0)</f>
        <v>0</v>
      </c>
      <c r="G28" s="69" cm="1">
        <f t="array" ref="G28">_xlfn.IFNA(INDEX('1.0 Data'!Z$9:Z$66,MATCH($A28,'1.0 Data'!$P$9:$P$66,0),0),0)</f>
        <v>0</v>
      </c>
      <c r="H28" s="45">
        <f t="shared" si="12"/>
        <v>431970.00000000012</v>
      </c>
      <c r="J28" s="6" t="str">
        <f t="shared" si="13"/>
        <v>DC disconnectors</v>
      </c>
      <c r="K28" s="6">
        <f t="shared" si="14"/>
        <v>0</v>
      </c>
      <c r="L28" s="6">
        <f t="shared" si="15"/>
        <v>0</v>
      </c>
      <c r="M28" s="6">
        <f t="shared" si="16"/>
        <v>0</v>
      </c>
      <c r="N28" s="6">
        <f t="shared" si="17"/>
        <v>0</v>
      </c>
      <c r="O28" s="6">
        <f t="shared" si="18"/>
        <v>0</v>
      </c>
      <c r="P28" s="6">
        <f t="shared" si="19"/>
        <v>0</v>
      </c>
      <c r="R28" s="6" t="str">
        <f t="shared" si="20"/>
        <v>DC disconnectors</v>
      </c>
      <c r="S28" s="65">
        <f t="shared" si="21"/>
        <v>431970.00000000012</v>
      </c>
      <c r="T28" s="65">
        <f t="shared" si="22"/>
        <v>0</v>
      </c>
      <c r="U28" s="65">
        <f t="shared" si="23"/>
        <v>0</v>
      </c>
      <c r="V28" s="65">
        <f t="shared" si="24"/>
        <v>0</v>
      </c>
      <c r="W28" s="65">
        <f t="shared" si="25"/>
        <v>0</v>
      </c>
      <c r="X28" s="65">
        <f t="shared" si="26"/>
        <v>431970.00000000012</v>
      </c>
      <c r="Z28" s="6" t="str">
        <f t="shared" si="27"/>
        <v>DC disconnectors</v>
      </c>
      <c r="AA28" s="6">
        <f>K28*'1.1 Input'!J$30</f>
        <v>0</v>
      </c>
      <c r="AB28" s="6">
        <f>L28*'1.1 Input'!K$30</f>
        <v>0</v>
      </c>
      <c r="AC28" s="6">
        <f>M28*'1.1 Input'!L$30</f>
        <v>0</v>
      </c>
      <c r="AD28" s="6">
        <f>N28*'1.1 Input'!M$30</f>
        <v>0</v>
      </c>
      <c r="AE28" s="6">
        <f>O28*'1.1 Input'!N$30</f>
        <v>0</v>
      </c>
      <c r="AF28" s="6">
        <f t="shared" si="28"/>
        <v>0</v>
      </c>
      <c r="AH28" s="6" t="str">
        <f t="shared" si="29"/>
        <v>DC disconnectors</v>
      </c>
      <c r="AI28" s="6" t="str" cm="1">
        <f t="array" ref="AI28">_xlfn.IFNA(INDEX('1.0 Data'!$Q$9:$Q$66,MATCH($AH28,'1.0 Data'!$P$9:$P$66,0),0),"")</f>
        <v>2023/24</v>
      </c>
      <c r="AJ28" s="6" t="str" cm="1">
        <f t="array" ref="AJ28">_xlfn.IFNA(INDEX('1.0 Data'!S$9:S$66,MATCH($AH28,'1.0 Data'!$P$9:$P$66,0),0),"")</f>
        <v>Safety and Protection</v>
      </c>
      <c r="AK28" s="6" t="str" cm="1">
        <f t="array" ref="AK28">_xlfn.IFNA(INDEX('1.0 Data'!T$9:T$66,MATCH($AH28,'1.0 Data'!$P$9:$P$66,0),0),"")</f>
        <v>Transmission Assets</v>
      </c>
      <c r="AL28" s="65">
        <f t="shared" si="30"/>
        <v>431970.00000000012</v>
      </c>
      <c r="AM28" s="65">
        <f t="shared" si="31"/>
        <v>0</v>
      </c>
      <c r="AN28" s="65">
        <f t="shared" si="32"/>
        <v>0</v>
      </c>
      <c r="AO28" s="65">
        <f t="shared" si="33"/>
        <v>0</v>
      </c>
      <c r="AP28" s="65">
        <f t="shared" si="34"/>
        <v>0</v>
      </c>
      <c r="AQ28" s="45">
        <f t="shared" si="35"/>
        <v>431970.00000000012</v>
      </c>
      <c r="AS28" s="71">
        <f t="shared" si="36"/>
        <v>0</v>
      </c>
    </row>
    <row r="29" spans="1:45" ht="16.5" thickTop="1" thickBot="1">
      <c r="A29" s="43" t="str">
        <f>'1.0 Data'!P29</f>
        <v>Dehumidifier Spares in VCU</v>
      </c>
      <c r="B29" s="67" cm="1">
        <f t="array" ref="B29">_xlfn.IFNA(INDEX('1.0 Data'!$AB$9:$AB$66,MATCH($A29,'1.0 Data'!$P$9:$P$66,0),0),0)</f>
        <v>0</v>
      </c>
      <c r="C29" s="69" cm="1">
        <f t="array" ref="C29">_xlfn.IFNA(INDEX('1.0 Data'!V$9:V$66,MATCH($A29,'1.0 Data'!$P$9:$P$66,0),0),0)</f>
        <v>0</v>
      </c>
      <c r="D29" s="69" cm="1">
        <f t="array" ref="D29">_xlfn.IFNA(INDEX('1.0 Data'!W$9:W$66,MATCH($A29,'1.0 Data'!$P$9:$P$66,0),0),0)</f>
        <v>0</v>
      </c>
      <c r="E29" s="69" cm="1">
        <f t="array" ref="E29">_xlfn.IFNA(INDEX('1.0 Data'!X$9:X$66,MATCH($A29,'1.0 Data'!$P$9:$P$66,0),0),0)</f>
        <v>0</v>
      </c>
      <c r="F29" s="69" cm="1">
        <f t="array" ref="F29">_xlfn.IFNA(INDEX('1.0 Data'!Y$9:Y$66,MATCH($A29,'1.0 Data'!$P$9:$P$66,0),0),0)</f>
        <v>0</v>
      </c>
      <c r="G29" s="69" cm="1">
        <f t="array" ref="G29">_xlfn.IFNA(INDEX('1.0 Data'!Z$9:Z$66,MATCH($A29,'1.0 Data'!$P$9:$P$66,0),0),0)</f>
        <v>0</v>
      </c>
      <c r="H29" s="45">
        <f t="shared" si="12"/>
        <v>0</v>
      </c>
      <c r="J29" s="6" t="str">
        <f t="shared" si="13"/>
        <v>Dehumidifier Spares in VCU</v>
      </c>
      <c r="K29" s="6">
        <f t="shared" si="14"/>
        <v>0</v>
      </c>
      <c r="L29" s="6">
        <f t="shared" si="15"/>
        <v>0</v>
      </c>
      <c r="M29" s="6">
        <f t="shared" si="16"/>
        <v>0</v>
      </c>
      <c r="N29" s="6">
        <f t="shared" si="17"/>
        <v>0</v>
      </c>
      <c r="O29" s="6">
        <f t="shared" si="18"/>
        <v>0</v>
      </c>
      <c r="P29" s="6">
        <f t="shared" si="19"/>
        <v>0</v>
      </c>
      <c r="R29" s="6" t="str">
        <f t="shared" si="20"/>
        <v>Dehumidifier Spares in VCU</v>
      </c>
      <c r="S29" s="65">
        <f t="shared" si="21"/>
        <v>0</v>
      </c>
      <c r="T29" s="65">
        <f t="shared" si="22"/>
        <v>0</v>
      </c>
      <c r="U29" s="65">
        <f t="shared" si="23"/>
        <v>0</v>
      </c>
      <c r="V29" s="65">
        <f t="shared" si="24"/>
        <v>0</v>
      </c>
      <c r="W29" s="65">
        <f t="shared" si="25"/>
        <v>0</v>
      </c>
      <c r="X29" s="65">
        <f t="shared" si="26"/>
        <v>0</v>
      </c>
      <c r="Z29" s="6" t="str">
        <f t="shared" si="27"/>
        <v>Dehumidifier Spares in VCU</v>
      </c>
      <c r="AA29" s="6">
        <f>K29*'1.1 Input'!J$30</f>
        <v>0</v>
      </c>
      <c r="AB29" s="6">
        <f>L29*'1.1 Input'!K$30</f>
        <v>0</v>
      </c>
      <c r="AC29" s="6">
        <f>M29*'1.1 Input'!L$30</f>
        <v>0</v>
      </c>
      <c r="AD29" s="6">
        <f>N29*'1.1 Input'!M$30</f>
        <v>0</v>
      </c>
      <c r="AE29" s="6">
        <f>O29*'1.1 Input'!N$30</f>
        <v>0</v>
      </c>
      <c r="AF29" s="6">
        <f t="shared" si="28"/>
        <v>0</v>
      </c>
      <c r="AH29" s="6" t="str">
        <f t="shared" si="29"/>
        <v>Dehumidifier Spares in VCU</v>
      </c>
      <c r="AI29" s="6" t="str" cm="1">
        <f t="array" ref="AI29">_xlfn.IFNA(INDEX('1.0 Data'!$Q$9:$Q$66,MATCH($AH29,'1.0 Data'!$P$9:$P$66,0),0),"")</f>
        <v>2023/24</v>
      </c>
      <c r="AJ29" s="6" t="str" cm="1">
        <f t="array" ref="AJ29">_xlfn.IFNA(INDEX('1.0 Data'!S$9:S$66,MATCH($AH29,'1.0 Data'!$P$9:$P$66,0),0),"")</f>
        <v>Spares Management</v>
      </c>
      <c r="AK29" s="6" t="str" cm="1">
        <f t="array" ref="AK29">_xlfn.IFNA(INDEX('1.0 Data'!T$9:T$66,MATCH($AH29,'1.0 Data'!$P$9:$P$66,0),0),"")</f>
        <v>Transmission Assets</v>
      </c>
      <c r="AL29" s="65">
        <f t="shared" si="30"/>
        <v>0</v>
      </c>
      <c r="AM29" s="65">
        <f t="shared" si="31"/>
        <v>0</v>
      </c>
      <c r="AN29" s="65">
        <f t="shared" si="32"/>
        <v>0</v>
      </c>
      <c r="AO29" s="65">
        <f t="shared" si="33"/>
        <v>0</v>
      </c>
      <c r="AP29" s="65">
        <f t="shared" si="34"/>
        <v>0</v>
      </c>
      <c r="AQ29" s="45">
        <f t="shared" si="35"/>
        <v>0</v>
      </c>
      <c r="AS29" s="71">
        <f t="shared" si="36"/>
        <v>0</v>
      </c>
    </row>
    <row r="30" spans="1:45" ht="16.5" thickTop="1" thickBot="1">
      <c r="A30" s="43" t="str">
        <f>'1.0 Data'!P30</f>
        <v>Environmental Damage from Landslips</v>
      </c>
      <c r="B30" s="67" cm="1">
        <f t="array" ref="B30">_xlfn.IFNA(INDEX('1.0 Data'!$AB$9:$AB$66,MATCH($A30,'1.0 Data'!$P$9:$P$66,0),0),0)</f>
        <v>0</v>
      </c>
      <c r="C30" s="69" cm="1">
        <f t="array" ref="C30">_xlfn.IFNA(INDEX('1.0 Data'!V$9:V$66,MATCH($A30,'1.0 Data'!$P$9:$P$66,0),0),0)</f>
        <v>173470</v>
      </c>
      <c r="D30" s="69" cm="1">
        <f t="array" ref="D30">_xlfn.IFNA(INDEX('1.0 Data'!W$9:W$66,MATCH($A30,'1.0 Data'!$P$9:$P$66,0),0),0)</f>
        <v>0</v>
      </c>
      <c r="E30" s="69" cm="1">
        <f t="array" ref="E30">_xlfn.IFNA(INDEX('1.0 Data'!X$9:X$66,MATCH($A30,'1.0 Data'!$P$9:$P$66,0),0),0)</f>
        <v>0</v>
      </c>
      <c r="F30" s="69" cm="1">
        <f t="array" ref="F30">_xlfn.IFNA(INDEX('1.0 Data'!Y$9:Y$66,MATCH($A30,'1.0 Data'!$P$9:$P$66,0),0),0)</f>
        <v>0</v>
      </c>
      <c r="G30" s="69" cm="1">
        <f t="array" ref="G30">_xlfn.IFNA(INDEX('1.0 Data'!Z$9:Z$66,MATCH($A30,'1.0 Data'!$P$9:$P$66,0),0),0)</f>
        <v>0</v>
      </c>
      <c r="H30" s="45">
        <f t="shared" si="12"/>
        <v>173470</v>
      </c>
      <c r="J30" s="6" t="str">
        <f t="shared" si="13"/>
        <v>Environmental Damage from Landslips</v>
      </c>
      <c r="K30" s="6">
        <f t="shared" si="14"/>
        <v>0</v>
      </c>
      <c r="L30" s="6">
        <f t="shared" si="15"/>
        <v>0</v>
      </c>
      <c r="M30" s="6">
        <f t="shared" si="16"/>
        <v>0</v>
      </c>
      <c r="N30" s="6">
        <f t="shared" si="17"/>
        <v>0</v>
      </c>
      <c r="O30" s="6">
        <f t="shared" si="18"/>
        <v>0</v>
      </c>
      <c r="P30" s="6">
        <f t="shared" si="19"/>
        <v>0</v>
      </c>
      <c r="R30" s="6" t="str">
        <f t="shared" si="20"/>
        <v>Environmental Damage from Landslips</v>
      </c>
      <c r="S30" s="65">
        <f t="shared" si="21"/>
        <v>173470</v>
      </c>
      <c r="T30" s="65">
        <f t="shared" si="22"/>
        <v>0</v>
      </c>
      <c r="U30" s="65">
        <f t="shared" si="23"/>
        <v>0</v>
      </c>
      <c r="V30" s="65">
        <f t="shared" si="24"/>
        <v>0</v>
      </c>
      <c r="W30" s="65">
        <f t="shared" si="25"/>
        <v>0</v>
      </c>
      <c r="X30" s="65">
        <f t="shared" si="26"/>
        <v>173470</v>
      </c>
      <c r="Z30" s="6" t="str">
        <f t="shared" si="27"/>
        <v>Environmental Damage from Landslips</v>
      </c>
      <c r="AA30" s="6">
        <f>K30*'1.1 Input'!J$30</f>
        <v>0</v>
      </c>
      <c r="AB30" s="6">
        <f>L30*'1.1 Input'!K$30</f>
        <v>0</v>
      </c>
      <c r="AC30" s="6">
        <f>M30*'1.1 Input'!L$30</f>
        <v>0</v>
      </c>
      <c r="AD30" s="6">
        <f>N30*'1.1 Input'!M$30</f>
        <v>0</v>
      </c>
      <c r="AE30" s="6">
        <f>O30*'1.1 Input'!N$30</f>
        <v>0</v>
      </c>
      <c r="AF30" s="6">
        <f t="shared" si="28"/>
        <v>0</v>
      </c>
      <c r="AH30" s="6" t="str">
        <f t="shared" si="29"/>
        <v>Environmental Damage from Landslips</v>
      </c>
      <c r="AI30" s="6" t="str" cm="1">
        <f t="array" ref="AI30">_xlfn.IFNA(INDEX('1.0 Data'!$Q$9:$Q$66,MATCH($AH30,'1.0 Data'!$P$9:$P$66,0),0),"")</f>
        <v>2023/24</v>
      </c>
      <c r="AJ30" s="6" t="str" cm="1">
        <f t="array" ref="AJ30">_xlfn.IFNA(INDEX('1.0 Data'!S$9:S$66,MATCH($AH30,'1.0 Data'!$P$9:$P$66,0),0),"")</f>
        <v>Safety and Protection</v>
      </c>
      <c r="AK30" s="6" t="str" cm="1">
        <f t="array" ref="AK30">_xlfn.IFNA(INDEX('1.0 Data'!T$9:T$66,MATCH($AH30,'1.0 Data'!$P$9:$P$66,0),0),"")</f>
        <v>Easements</v>
      </c>
      <c r="AL30" s="65">
        <f t="shared" si="30"/>
        <v>173470</v>
      </c>
      <c r="AM30" s="65">
        <f t="shared" si="31"/>
        <v>0</v>
      </c>
      <c r="AN30" s="65">
        <f t="shared" si="32"/>
        <v>0</v>
      </c>
      <c r="AO30" s="65">
        <f t="shared" si="33"/>
        <v>0</v>
      </c>
      <c r="AP30" s="65">
        <f t="shared" si="34"/>
        <v>0</v>
      </c>
      <c r="AQ30" s="45">
        <f t="shared" si="35"/>
        <v>173470</v>
      </c>
      <c r="AS30" s="71">
        <f t="shared" si="36"/>
        <v>0</v>
      </c>
    </row>
    <row r="31" spans="1:45" ht="16.5" thickTop="1" thickBot="1">
      <c r="A31" s="43" t="str">
        <f>'1.0 Data'!P31</f>
        <v>Environmental Damage from Landslips (Emergency Works)</v>
      </c>
      <c r="B31" s="67" cm="1">
        <f t="array" ref="B31">_xlfn.IFNA(INDEX('1.0 Data'!$AB$9:$AB$66,MATCH($A31,'1.0 Data'!$P$9:$P$66,0),0),0)</f>
        <v>0</v>
      </c>
      <c r="C31" s="69" cm="1">
        <f t="array" ref="C31">_xlfn.IFNA(INDEX('1.0 Data'!V$9:V$66,MATCH($A31,'1.0 Data'!$P$9:$P$66,0),0),0)</f>
        <v>0</v>
      </c>
      <c r="D31" s="69" cm="1">
        <f t="array" ref="D31">_xlfn.IFNA(INDEX('1.0 Data'!W$9:W$66,MATCH($A31,'1.0 Data'!$P$9:$P$66,0),0),0)</f>
        <v>0</v>
      </c>
      <c r="E31" s="69" cm="1">
        <f t="array" ref="E31">_xlfn.IFNA(INDEX('1.0 Data'!X$9:X$66,MATCH($A31,'1.0 Data'!$P$9:$P$66,0),0),0)</f>
        <v>0</v>
      </c>
      <c r="F31" s="69" cm="1">
        <f t="array" ref="F31">_xlfn.IFNA(INDEX('1.0 Data'!Y$9:Y$66,MATCH($A31,'1.0 Data'!$P$9:$P$66,0),0),0)</f>
        <v>0</v>
      </c>
      <c r="G31" s="69" cm="1">
        <f t="array" ref="G31">_xlfn.IFNA(INDEX('1.0 Data'!Z$9:Z$66,MATCH($A31,'1.0 Data'!$P$9:$P$66,0),0),0)</f>
        <v>0</v>
      </c>
      <c r="H31" s="45">
        <f t="shared" si="12"/>
        <v>0</v>
      </c>
      <c r="J31" s="6" t="str">
        <f t="shared" si="13"/>
        <v>Environmental Damage from Landslips (Emergency Works)</v>
      </c>
      <c r="K31" s="6">
        <f t="shared" si="14"/>
        <v>0</v>
      </c>
      <c r="L31" s="6">
        <f t="shared" si="15"/>
        <v>0</v>
      </c>
      <c r="M31" s="6">
        <f t="shared" si="16"/>
        <v>0</v>
      </c>
      <c r="N31" s="6">
        <f t="shared" si="17"/>
        <v>0</v>
      </c>
      <c r="O31" s="6">
        <f t="shared" si="18"/>
        <v>0</v>
      </c>
      <c r="P31" s="6">
        <f t="shared" si="19"/>
        <v>0</v>
      </c>
      <c r="R31" s="6" t="str">
        <f t="shared" si="20"/>
        <v>Environmental Damage from Landslips (Emergency Works)</v>
      </c>
      <c r="S31" s="65">
        <f t="shared" si="21"/>
        <v>0</v>
      </c>
      <c r="T31" s="65">
        <f t="shared" si="22"/>
        <v>0</v>
      </c>
      <c r="U31" s="65">
        <f t="shared" si="23"/>
        <v>0</v>
      </c>
      <c r="V31" s="65">
        <f t="shared" si="24"/>
        <v>0</v>
      </c>
      <c r="W31" s="65">
        <f t="shared" si="25"/>
        <v>0</v>
      </c>
      <c r="X31" s="65">
        <f t="shared" si="26"/>
        <v>0</v>
      </c>
      <c r="Z31" s="6" t="str">
        <f t="shared" si="27"/>
        <v>Environmental Damage from Landslips (Emergency Works)</v>
      </c>
      <c r="AA31" s="6">
        <f>K31*'1.1 Input'!J$30</f>
        <v>0</v>
      </c>
      <c r="AB31" s="6">
        <f>L31*'1.1 Input'!K$30</f>
        <v>0</v>
      </c>
      <c r="AC31" s="6">
        <f>M31*'1.1 Input'!L$30</f>
        <v>0</v>
      </c>
      <c r="AD31" s="6">
        <f>N31*'1.1 Input'!M$30</f>
        <v>0</v>
      </c>
      <c r="AE31" s="6">
        <f>O31*'1.1 Input'!N$30</f>
        <v>0</v>
      </c>
      <c r="AF31" s="6">
        <f t="shared" si="28"/>
        <v>0</v>
      </c>
      <c r="AH31" s="6" t="str">
        <f t="shared" si="29"/>
        <v>Environmental Damage from Landslips (Emergency Works)</v>
      </c>
      <c r="AI31" s="6" t="str" cm="1">
        <f t="array" ref="AI31">_xlfn.IFNA(INDEX('1.0 Data'!$Q$9:$Q$66,MATCH($AH31,'1.0 Data'!$P$9:$P$66,0),0),"")</f>
        <v>2023/24</v>
      </c>
      <c r="AJ31" s="6" t="str" cm="1">
        <f t="array" ref="AJ31">_xlfn.IFNA(INDEX('1.0 Data'!S$9:S$66,MATCH($AH31,'1.0 Data'!$P$9:$P$66,0),0),"")</f>
        <v>Safety and Protection</v>
      </c>
      <c r="AK31" s="6" t="str" cm="1">
        <f t="array" ref="AK31">_xlfn.IFNA(INDEX('1.0 Data'!T$9:T$66,MATCH($AH31,'1.0 Data'!$P$9:$P$66,0),0),"")</f>
        <v>Easements</v>
      </c>
      <c r="AL31" s="65">
        <f t="shared" si="30"/>
        <v>0</v>
      </c>
      <c r="AM31" s="65">
        <f t="shared" si="31"/>
        <v>0</v>
      </c>
      <c r="AN31" s="65">
        <f t="shared" si="32"/>
        <v>0</v>
      </c>
      <c r="AO31" s="65">
        <f t="shared" si="33"/>
        <v>0</v>
      </c>
      <c r="AP31" s="65">
        <f t="shared" si="34"/>
        <v>0</v>
      </c>
      <c r="AQ31" s="45">
        <f t="shared" si="35"/>
        <v>0</v>
      </c>
      <c r="AS31" s="71">
        <f t="shared" si="36"/>
        <v>0</v>
      </c>
    </row>
    <row r="32" spans="1:45" ht="16.5" thickTop="1" thickBot="1">
      <c r="A32" s="43" t="str">
        <f>'1.0 Data'!P32</f>
        <v>Fibre Cables</v>
      </c>
      <c r="B32" s="67" cm="1">
        <f t="array" ref="B32">_xlfn.IFNA(INDEX('1.0 Data'!$AB$9:$AB$66,MATCH($A32,'1.0 Data'!$P$9:$P$66,0),0),0)</f>
        <v>0</v>
      </c>
      <c r="C32" s="69" cm="1">
        <f t="array" ref="C32">_xlfn.IFNA(INDEX('1.0 Data'!V$9:V$66,MATCH($A32,'1.0 Data'!$P$9:$P$66,0),0),0)</f>
        <v>0</v>
      </c>
      <c r="D32" s="69" cm="1">
        <f t="array" ref="D32">_xlfn.IFNA(INDEX('1.0 Data'!W$9:W$66,MATCH($A32,'1.0 Data'!$P$9:$P$66,0),0),0)</f>
        <v>0</v>
      </c>
      <c r="E32" s="69" cm="1">
        <f t="array" ref="E32">_xlfn.IFNA(INDEX('1.0 Data'!X$9:X$66,MATCH($A32,'1.0 Data'!$P$9:$P$66,0),0),0)</f>
        <v>0</v>
      </c>
      <c r="F32" s="69" cm="1">
        <f t="array" ref="F32">_xlfn.IFNA(INDEX('1.0 Data'!Y$9:Y$66,MATCH($A32,'1.0 Data'!$P$9:$P$66,0),0),0)</f>
        <v>0</v>
      </c>
      <c r="G32" s="69" cm="1">
        <f t="array" ref="G32">_xlfn.IFNA(INDEX('1.0 Data'!Z$9:Z$66,MATCH($A32,'1.0 Data'!$P$9:$P$66,0),0),0)</f>
        <v>0</v>
      </c>
      <c r="H32" s="45">
        <f t="shared" si="12"/>
        <v>0</v>
      </c>
      <c r="J32" s="6" t="str">
        <f t="shared" si="13"/>
        <v>Fibre Cables</v>
      </c>
      <c r="K32" s="6">
        <f t="shared" si="14"/>
        <v>0</v>
      </c>
      <c r="L32" s="6">
        <f t="shared" si="15"/>
        <v>0</v>
      </c>
      <c r="M32" s="6">
        <f t="shared" si="16"/>
        <v>0</v>
      </c>
      <c r="N32" s="6">
        <f t="shared" si="17"/>
        <v>0</v>
      </c>
      <c r="O32" s="6">
        <f t="shared" si="18"/>
        <v>0</v>
      </c>
      <c r="P32" s="6">
        <f t="shared" si="19"/>
        <v>0</v>
      </c>
      <c r="R32" s="6" t="str">
        <f t="shared" si="20"/>
        <v>Fibre Cables</v>
      </c>
      <c r="S32" s="65">
        <f t="shared" si="21"/>
        <v>0</v>
      </c>
      <c r="T32" s="65">
        <f t="shared" si="22"/>
        <v>0</v>
      </c>
      <c r="U32" s="65">
        <f t="shared" si="23"/>
        <v>0</v>
      </c>
      <c r="V32" s="65">
        <f t="shared" si="24"/>
        <v>0</v>
      </c>
      <c r="W32" s="65">
        <f t="shared" si="25"/>
        <v>0</v>
      </c>
      <c r="X32" s="65">
        <f t="shared" si="26"/>
        <v>0</v>
      </c>
      <c r="Z32" s="6" t="str">
        <f t="shared" si="27"/>
        <v>Fibre Cables</v>
      </c>
      <c r="AA32" s="6">
        <f>K32*'1.1 Input'!J$30</f>
        <v>0</v>
      </c>
      <c r="AB32" s="6">
        <f>L32*'1.1 Input'!K$30</f>
        <v>0</v>
      </c>
      <c r="AC32" s="6">
        <f>M32*'1.1 Input'!L$30</f>
        <v>0</v>
      </c>
      <c r="AD32" s="6">
        <f>N32*'1.1 Input'!M$30</f>
        <v>0</v>
      </c>
      <c r="AE32" s="6">
        <f>O32*'1.1 Input'!N$30</f>
        <v>0</v>
      </c>
      <c r="AF32" s="6">
        <f t="shared" si="28"/>
        <v>0</v>
      </c>
      <c r="AH32" s="6" t="str">
        <f t="shared" si="29"/>
        <v>Fibre Cables</v>
      </c>
      <c r="AI32" s="6" t="str" cm="1">
        <f t="array" ref="AI32">_xlfn.IFNA(INDEX('1.0 Data'!$Q$9:$Q$66,MATCH($AH32,'1.0 Data'!$P$9:$P$66,0),0),"")</f>
        <v>2023/24</v>
      </c>
      <c r="AJ32" s="6" t="str" cm="1">
        <f t="array" ref="AJ32">_xlfn.IFNA(INDEX('1.0 Data'!S$9:S$66,MATCH($AH32,'1.0 Data'!$P$9:$P$66,0),0),"")</f>
        <v>Asset Monitoring</v>
      </c>
      <c r="AK32" s="6" t="str" cm="1">
        <f t="array" ref="AK32">_xlfn.IFNA(INDEX('1.0 Data'!T$9:T$66,MATCH($AH32,'1.0 Data'!$P$9:$P$66,0),0),"")</f>
        <v>Transmission Assets</v>
      </c>
      <c r="AL32" s="65">
        <f t="shared" si="30"/>
        <v>0</v>
      </c>
      <c r="AM32" s="65">
        <f t="shared" si="31"/>
        <v>0</v>
      </c>
      <c r="AN32" s="65">
        <f t="shared" si="32"/>
        <v>0</v>
      </c>
      <c r="AO32" s="65">
        <f t="shared" si="33"/>
        <v>0</v>
      </c>
      <c r="AP32" s="65">
        <f t="shared" si="34"/>
        <v>0</v>
      </c>
      <c r="AQ32" s="45">
        <f t="shared" si="35"/>
        <v>0</v>
      </c>
      <c r="AS32" s="71">
        <f t="shared" si="36"/>
        <v>0</v>
      </c>
    </row>
    <row r="33" spans="1:45" ht="16.5" thickTop="1" thickBot="1">
      <c r="A33" s="43" t="str">
        <f>'1.0 Data'!P33</f>
        <v>Fire System Upgrades (2020-25)</v>
      </c>
      <c r="B33" s="67" cm="1">
        <f t="array" ref="B33">_xlfn.IFNA(INDEX('1.0 Data'!$AB$9:$AB$66,MATCH($A33,'1.0 Data'!$P$9:$P$66,0),0),0)</f>
        <v>0</v>
      </c>
      <c r="C33" s="69" cm="1">
        <f t="array" ref="C33">_xlfn.IFNA(INDEX('1.0 Data'!V$9:V$66,MATCH($A33,'1.0 Data'!$P$9:$P$66,0),0),0)</f>
        <v>0</v>
      </c>
      <c r="D33" s="69" cm="1">
        <f t="array" ref="D33">_xlfn.IFNA(INDEX('1.0 Data'!W$9:W$66,MATCH($A33,'1.0 Data'!$P$9:$P$66,0),0),0)</f>
        <v>0</v>
      </c>
      <c r="E33" s="69" cm="1">
        <f t="array" ref="E33">_xlfn.IFNA(INDEX('1.0 Data'!X$9:X$66,MATCH($A33,'1.0 Data'!$P$9:$P$66,0),0),0)</f>
        <v>0</v>
      </c>
      <c r="F33" s="69" cm="1">
        <f t="array" ref="F33">_xlfn.IFNA(INDEX('1.0 Data'!Y$9:Y$66,MATCH($A33,'1.0 Data'!$P$9:$P$66,0),0),0)</f>
        <v>0</v>
      </c>
      <c r="G33" s="69" cm="1">
        <f t="array" ref="G33">_xlfn.IFNA(INDEX('1.0 Data'!Z$9:Z$66,MATCH($A33,'1.0 Data'!$P$9:$P$66,0),0),0)</f>
        <v>0</v>
      </c>
      <c r="H33" s="45">
        <f t="shared" si="12"/>
        <v>0</v>
      </c>
      <c r="J33" s="6" t="str">
        <f t="shared" si="13"/>
        <v>Fire System Upgrades (2020-25)</v>
      </c>
      <c r="K33" s="6">
        <f t="shared" si="14"/>
        <v>0</v>
      </c>
      <c r="L33" s="6">
        <f t="shared" si="15"/>
        <v>0</v>
      </c>
      <c r="M33" s="6">
        <f t="shared" si="16"/>
        <v>0</v>
      </c>
      <c r="N33" s="6">
        <f t="shared" si="17"/>
        <v>0</v>
      </c>
      <c r="O33" s="6">
        <f t="shared" si="18"/>
        <v>0</v>
      </c>
      <c r="P33" s="6">
        <f t="shared" si="19"/>
        <v>0</v>
      </c>
      <c r="R33" s="6" t="str">
        <f t="shared" si="20"/>
        <v>Fire System Upgrades (2020-25)</v>
      </c>
      <c r="S33" s="65">
        <f t="shared" si="21"/>
        <v>0</v>
      </c>
      <c r="T33" s="65">
        <f t="shared" si="22"/>
        <v>0</v>
      </c>
      <c r="U33" s="65">
        <f t="shared" si="23"/>
        <v>0</v>
      </c>
      <c r="V33" s="65">
        <f t="shared" si="24"/>
        <v>0</v>
      </c>
      <c r="W33" s="65">
        <f t="shared" si="25"/>
        <v>0</v>
      </c>
      <c r="X33" s="65">
        <f t="shared" si="26"/>
        <v>0</v>
      </c>
      <c r="Z33" s="6" t="str">
        <f t="shared" si="27"/>
        <v>Fire System Upgrades (2020-25)</v>
      </c>
      <c r="AA33" s="6">
        <f>K33*'1.1 Input'!J$30</f>
        <v>0</v>
      </c>
      <c r="AB33" s="6">
        <f>L33*'1.1 Input'!K$30</f>
        <v>0</v>
      </c>
      <c r="AC33" s="6">
        <f>M33*'1.1 Input'!L$30</f>
        <v>0</v>
      </c>
      <c r="AD33" s="6">
        <f>N33*'1.1 Input'!M$30</f>
        <v>0</v>
      </c>
      <c r="AE33" s="6">
        <f>O33*'1.1 Input'!N$30</f>
        <v>0</v>
      </c>
      <c r="AF33" s="6">
        <f t="shared" si="28"/>
        <v>0</v>
      </c>
      <c r="AH33" s="6" t="str">
        <f t="shared" si="29"/>
        <v>Fire System Upgrades (2020-25)</v>
      </c>
      <c r="AI33" s="6" t="str" cm="1">
        <f t="array" ref="AI33">_xlfn.IFNA(INDEX('1.0 Data'!$Q$9:$Q$66,MATCH($AH33,'1.0 Data'!$P$9:$P$66,0),0),"")</f>
        <v>2023/24</v>
      </c>
      <c r="AJ33" s="6" t="str" cm="1">
        <f t="array" ref="AJ33">_xlfn.IFNA(INDEX('1.0 Data'!S$9:S$66,MATCH($AH33,'1.0 Data'!$P$9:$P$66,0),0),"")</f>
        <v>Major Maintenance</v>
      </c>
      <c r="AK33" s="6" t="str" cm="1">
        <f t="array" ref="AK33">_xlfn.IFNA(INDEX('1.0 Data'!T$9:T$66,MATCH($AH33,'1.0 Data'!$P$9:$P$66,0),0),"")</f>
        <v>Transmission Assets</v>
      </c>
      <c r="AL33" s="65">
        <f t="shared" si="30"/>
        <v>0</v>
      </c>
      <c r="AM33" s="65">
        <f t="shared" si="31"/>
        <v>0</v>
      </c>
      <c r="AN33" s="65">
        <f t="shared" si="32"/>
        <v>0</v>
      </c>
      <c r="AO33" s="65">
        <f t="shared" si="33"/>
        <v>0</v>
      </c>
      <c r="AP33" s="65">
        <f t="shared" si="34"/>
        <v>0</v>
      </c>
      <c r="AQ33" s="45">
        <f t="shared" si="35"/>
        <v>0</v>
      </c>
      <c r="AS33" s="71">
        <f t="shared" si="36"/>
        <v>0</v>
      </c>
    </row>
    <row r="34" spans="1:45" ht="16.5" thickTop="1" thickBot="1">
      <c r="A34" s="43" t="str">
        <f>'1.0 Data'!P34</f>
        <v>Fire System Upgrades (2026-30)</v>
      </c>
      <c r="B34" s="67" cm="1">
        <f t="array" ref="B34">_xlfn.IFNA(INDEX('1.0 Data'!$AB$9:$AB$66,MATCH($A34,'1.0 Data'!$P$9:$P$66,0),0),0)</f>
        <v>0</v>
      </c>
      <c r="C34" s="69" cm="1">
        <f t="array" ref="C34">_xlfn.IFNA(INDEX('1.0 Data'!V$9:V$66,MATCH($A34,'1.0 Data'!$P$9:$P$66,0),0),0)</f>
        <v>0</v>
      </c>
      <c r="D34" s="69" cm="1">
        <f t="array" ref="D34">_xlfn.IFNA(INDEX('1.0 Data'!W$9:W$66,MATCH($A34,'1.0 Data'!$P$9:$P$66,0),0),0)</f>
        <v>0</v>
      </c>
      <c r="E34" s="69" cm="1">
        <f t="array" ref="E34">_xlfn.IFNA(INDEX('1.0 Data'!X$9:X$66,MATCH($A34,'1.0 Data'!$P$9:$P$66,0),0),0)</f>
        <v>207900.00000000003</v>
      </c>
      <c r="F34" s="69" cm="1">
        <f t="array" ref="F34">_xlfn.IFNA(INDEX('1.0 Data'!Y$9:Y$66,MATCH($A34,'1.0 Data'!$P$9:$P$66,0),0),0)</f>
        <v>207900.00000000003</v>
      </c>
      <c r="G34" s="69" cm="1">
        <f t="array" ref="G34">_xlfn.IFNA(INDEX('1.0 Data'!Z$9:Z$66,MATCH($A34,'1.0 Data'!$P$9:$P$66,0),0),0)</f>
        <v>207900.00000000003</v>
      </c>
      <c r="H34" s="45">
        <f t="shared" si="12"/>
        <v>623700.00000000012</v>
      </c>
      <c r="J34" s="6" t="str">
        <f t="shared" si="13"/>
        <v>Fire System Upgrades (2026-30)</v>
      </c>
      <c r="K34" s="6">
        <f t="shared" si="14"/>
        <v>0</v>
      </c>
      <c r="L34" s="6">
        <f t="shared" si="15"/>
        <v>0</v>
      </c>
      <c r="M34" s="6">
        <f t="shared" si="16"/>
        <v>0</v>
      </c>
      <c r="N34" s="6">
        <f t="shared" si="17"/>
        <v>0</v>
      </c>
      <c r="O34" s="6">
        <f t="shared" si="18"/>
        <v>0</v>
      </c>
      <c r="P34" s="6">
        <f t="shared" si="19"/>
        <v>0</v>
      </c>
      <c r="R34" s="6" t="str">
        <f t="shared" si="20"/>
        <v>Fire System Upgrades (2026-30)</v>
      </c>
      <c r="S34" s="65">
        <f t="shared" si="21"/>
        <v>0</v>
      </c>
      <c r="T34" s="65">
        <f t="shared" si="22"/>
        <v>0</v>
      </c>
      <c r="U34" s="65">
        <f t="shared" si="23"/>
        <v>207900.00000000003</v>
      </c>
      <c r="V34" s="65">
        <f t="shared" si="24"/>
        <v>207900.00000000003</v>
      </c>
      <c r="W34" s="65">
        <f t="shared" si="25"/>
        <v>207900.00000000003</v>
      </c>
      <c r="X34" s="65">
        <f t="shared" si="26"/>
        <v>623700.00000000012</v>
      </c>
      <c r="Z34" s="6" t="str">
        <f t="shared" si="27"/>
        <v>Fire System Upgrades (2026-30)</v>
      </c>
      <c r="AA34" s="6">
        <f>K34*'1.1 Input'!J$30</f>
        <v>0</v>
      </c>
      <c r="AB34" s="6">
        <f>L34*'1.1 Input'!K$30</f>
        <v>0</v>
      </c>
      <c r="AC34" s="6">
        <f>M34*'1.1 Input'!L$30</f>
        <v>0</v>
      </c>
      <c r="AD34" s="6">
        <f>N34*'1.1 Input'!M$30</f>
        <v>0</v>
      </c>
      <c r="AE34" s="6">
        <f>O34*'1.1 Input'!N$30</f>
        <v>0</v>
      </c>
      <c r="AF34" s="6">
        <f t="shared" si="28"/>
        <v>0</v>
      </c>
      <c r="AH34" s="6" t="str">
        <f t="shared" si="29"/>
        <v>Fire System Upgrades (2026-30)</v>
      </c>
      <c r="AI34" s="6" t="str" cm="1">
        <f t="array" ref="AI34">_xlfn.IFNA(INDEX('1.0 Data'!$Q$9:$Q$66,MATCH($AH34,'1.0 Data'!$P$9:$P$66,0),0),"")</f>
        <v>2023/24</v>
      </c>
      <c r="AJ34" s="6" t="str" cm="1">
        <f t="array" ref="AJ34">_xlfn.IFNA(INDEX('1.0 Data'!S$9:S$66,MATCH($AH34,'1.0 Data'!$P$9:$P$66,0),0),"")</f>
        <v>Major Maintenance</v>
      </c>
      <c r="AK34" s="6" t="str" cm="1">
        <f t="array" ref="AK34">_xlfn.IFNA(INDEX('1.0 Data'!T$9:T$66,MATCH($AH34,'1.0 Data'!$P$9:$P$66,0),0),"")</f>
        <v>Transmission Assets</v>
      </c>
      <c r="AL34" s="65">
        <f t="shared" si="30"/>
        <v>0</v>
      </c>
      <c r="AM34" s="65">
        <f t="shared" si="31"/>
        <v>0</v>
      </c>
      <c r="AN34" s="65">
        <f t="shared" si="32"/>
        <v>207900.00000000003</v>
      </c>
      <c r="AO34" s="65">
        <f t="shared" si="33"/>
        <v>207900.00000000003</v>
      </c>
      <c r="AP34" s="65">
        <f t="shared" si="34"/>
        <v>207900.00000000003</v>
      </c>
      <c r="AQ34" s="45">
        <f t="shared" si="35"/>
        <v>623700.00000000012</v>
      </c>
      <c r="AS34" s="71">
        <f t="shared" si="36"/>
        <v>0</v>
      </c>
    </row>
    <row r="35" spans="1:45" ht="16.5" thickTop="1" thickBot="1">
      <c r="A35" s="43" t="str">
        <f>'1.0 Data'!P35</f>
        <v>HV circuit breakers crank housing</v>
      </c>
      <c r="B35" s="67" cm="1">
        <f t="array" ref="B35">_xlfn.IFNA(INDEX('1.0 Data'!$AB$9:$AB$66,MATCH($A35,'1.0 Data'!$P$9:$P$66,0),0),0)</f>
        <v>0</v>
      </c>
      <c r="C35" s="69" cm="1">
        <f t="array" ref="C35">_xlfn.IFNA(INDEX('1.0 Data'!V$9:V$66,MATCH($A35,'1.0 Data'!$P$9:$P$66,0),0),0)</f>
        <v>0</v>
      </c>
      <c r="D35" s="69" cm="1">
        <f t="array" ref="D35">_xlfn.IFNA(INDEX('1.0 Data'!W$9:W$66,MATCH($A35,'1.0 Data'!$P$9:$P$66,0),0),0)</f>
        <v>0</v>
      </c>
      <c r="E35" s="69" cm="1">
        <f t="array" ref="E35">_xlfn.IFNA(INDEX('1.0 Data'!X$9:X$66,MATCH($A35,'1.0 Data'!$P$9:$P$66,0),0),0)</f>
        <v>0</v>
      </c>
      <c r="F35" s="69" cm="1">
        <f t="array" ref="F35">_xlfn.IFNA(INDEX('1.0 Data'!Y$9:Y$66,MATCH($A35,'1.0 Data'!$P$9:$P$66,0),0),0)</f>
        <v>0</v>
      </c>
      <c r="G35" s="69" cm="1">
        <f t="array" ref="G35">_xlfn.IFNA(INDEX('1.0 Data'!Z$9:Z$66,MATCH($A35,'1.0 Data'!$P$9:$P$66,0),0),0)</f>
        <v>0</v>
      </c>
      <c r="H35" s="45">
        <f t="shared" si="12"/>
        <v>0</v>
      </c>
      <c r="J35" s="6" t="str">
        <f t="shared" si="13"/>
        <v>HV circuit breakers crank housing</v>
      </c>
      <c r="K35" s="6">
        <f t="shared" si="14"/>
        <v>0</v>
      </c>
      <c r="L35" s="6">
        <f t="shared" si="15"/>
        <v>0</v>
      </c>
      <c r="M35" s="6">
        <f t="shared" si="16"/>
        <v>0</v>
      </c>
      <c r="N35" s="6">
        <f t="shared" si="17"/>
        <v>0</v>
      </c>
      <c r="O35" s="6">
        <f t="shared" si="18"/>
        <v>0</v>
      </c>
      <c r="P35" s="6">
        <f t="shared" si="19"/>
        <v>0</v>
      </c>
      <c r="R35" s="6" t="str">
        <f t="shared" si="20"/>
        <v>HV circuit breakers crank housing</v>
      </c>
      <c r="S35" s="65">
        <f t="shared" si="21"/>
        <v>0</v>
      </c>
      <c r="T35" s="65">
        <f t="shared" si="22"/>
        <v>0</v>
      </c>
      <c r="U35" s="65">
        <f t="shared" si="23"/>
        <v>0</v>
      </c>
      <c r="V35" s="65">
        <f t="shared" si="24"/>
        <v>0</v>
      </c>
      <c r="W35" s="65">
        <f t="shared" si="25"/>
        <v>0</v>
      </c>
      <c r="X35" s="65">
        <f t="shared" si="26"/>
        <v>0</v>
      </c>
      <c r="Z35" s="6" t="str">
        <f t="shared" si="27"/>
        <v>HV circuit breakers crank housing</v>
      </c>
      <c r="AA35" s="6">
        <f>K35*'1.1 Input'!J$30</f>
        <v>0</v>
      </c>
      <c r="AB35" s="6">
        <f>L35*'1.1 Input'!K$30</f>
        <v>0</v>
      </c>
      <c r="AC35" s="6">
        <f>M35*'1.1 Input'!L$30</f>
        <v>0</v>
      </c>
      <c r="AD35" s="6">
        <f>N35*'1.1 Input'!M$30</f>
        <v>0</v>
      </c>
      <c r="AE35" s="6">
        <f>O35*'1.1 Input'!N$30</f>
        <v>0</v>
      </c>
      <c r="AF35" s="6">
        <f t="shared" si="28"/>
        <v>0</v>
      </c>
      <c r="AH35" s="6" t="str">
        <f t="shared" si="29"/>
        <v>HV circuit breakers crank housing</v>
      </c>
      <c r="AI35" s="6" t="str" cm="1">
        <f t="array" ref="AI35">_xlfn.IFNA(INDEX('1.0 Data'!$Q$9:$Q$66,MATCH($AH35,'1.0 Data'!$P$9:$P$66,0),0),"")</f>
        <v>2023/24</v>
      </c>
      <c r="AJ35" s="6" t="str" cm="1">
        <f t="array" ref="AJ35">_xlfn.IFNA(INDEX('1.0 Data'!S$9:S$66,MATCH($AH35,'1.0 Data'!$P$9:$P$66,0),0),"")</f>
        <v>Spares Management</v>
      </c>
      <c r="AK35" s="6" t="str" cm="1">
        <f t="array" ref="AK35">_xlfn.IFNA(INDEX('1.0 Data'!T$9:T$66,MATCH($AH35,'1.0 Data'!$P$9:$P$66,0),0),"")</f>
        <v>Transmission Assets</v>
      </c>
      <c r="AL35" s="65">
        <f t="shared" si="30"/>
        <v>0</v>
      </c>
      <c r="AM35" s="65">
        <f t="shared" si="31"/>
        <v>0</v>
      </c>
      <c r="AN35" s="65">
        <f t="shared" si="32"/>
        <v>0</v>
      </c>
      <c r="AO35" s="65">
        <f t="shared" si="33"/>
        <v>0</v>
      </c>
      <c r="AP35" s="65">
        <f t="shared" si="34"/>
        <v>0</v>
      </c>
      <c r="AQ35" s="45">
        <f t="shared" si="35"/>
        <v>0</v>
      </c>
      <c r="AS35" s="71">
        <f t="shared" si="36"/>
        <v>0</v>
      </c>
    </row>
    <row r="36" spans="1:45" ht="16.5" thickTop="1" thickBot="1">
      <c r="A36" s="43" t="str">
        <f>'1.0 Data'!P36</f>
        <v>HVDC Spare Cable Management</v>
      </c>
      <c r="B36" s="67" cm="1">
        <f t="array" ref="B36">_xlfn.IFNA(INDEX('1.0 Data'!$AB$9:$AB$66,MATCH($A36,'1.0 Data'!$P$9:$P$66,0),0),0)</f>
        <v>0</v>
      </c>
      <c r="C36" s="69" cm="1">
        <f t="array" ref="C36">_xlfn.IFNA(INDEX('1.0 Data'!V$9:V$66,MATCH($A36,'1.0 Data'!$P$9:$P$66,0),0),0)</f>
        <v>0</v>
      </c>
      <c r="D36" s="69" cm="1">
        <f t="array" ref="D36">_xlfn.IFNA(INDEX('1.0 Data'!W$9:W$66,MATCH($A36,'1.0 Data'!$P$9:$P$66,0),0),0)</f>
        <v>0</v>
      </c>
      <c r="E36" s="69" cm="1">
        <f t="array" ref="E36">_xlfn.IFNA(INDEX('1.0 Data'!X$9:X$66,MATCH($A36,'1.0 Data'!$P$9:$P$66,0),0),0)</f>
        <v>0</v>
      </c>
      <c r="F36" s="69" cm="1">
        <f t="array" ref="F36">_xlfn.IFNA(INDEX('1.0 Data'!Y$9:Y$66,MATCH($A36,'1.0 Data'!$P$9:$P$66,0),0),0)</f>
        <v>0</v>
      </c>
      <c r="G36" s="69" cm="1">
        <f t="array" ref="G36">_xlfn.IFNA(INDEX('1.0 Data'!Z$9:Z$66,MATCH($A36,'1.0 Data'!$P$9:$P$66,0),0),0)</f>
        <v>0</v>
      </c>
      <c r="H36" s="45">
        <f t="shared" si="12"/>
        <v>0</v>
      </c>
      <c r="J36" s="6" t="str">
        <f t="shared" si="13"/>
        <v>HVDC Spare Cable Management</v>
      </c>
      <c r="K36" s="6">
        <f t="shared" si="14"/>
        <v>0</v>
      </c>
      <c r="L36" s="6">
        <f t="shared" si="15"/>
        <v>0</v>
      </c>
      <c r="M36" s="6">
        <f t="shared" si="16"/>
        <v>0</v>
      </c>
      <c r="N36" s="6">
        <f t="shared" si="17"/>
        <v>0</v>
      </c>
      <c r="O36" s="6">
        <f t="shared" si="18"/>
        <v>0</v>
      </c>
      <c r="P36" s="6">
        <f t="shared" si="19"/>
        <v>0</v>
      </c>
      <c r="R36" s="6" t="str">
        <f t="shared" si="20"/>
        <v>HVDC Spare Cable Management</v>
      </c>
      <c r="S36" s="65">
        <f t="shared" si="21"/>
        <v>0</v>
      </c>
      <c r="T36" s="65">
        <f t="shared" si="22"/>
        <v>0</v>
      </c>
      <c r="U36" s="65">
        <f t="shared" si="23"/>
        <v>0</v>
      </c>
      <c r="V36" s="65">
        <f t="shared" si="24"/>
        <v>0</v>
      </c>
      <c r="W36" s="65">
        <f t="shared" si="25"/>
        <v>0</v>
      </c>
      <c r="X36" s="65">
        <f t="shared" si="26"/>
        <v>0</v>
      </c>
      <c r="Z36" s="6" t="str">
        <f t="shared" si="27"/>
        <v>HVDC Spare Cable Management</v>
      </c>
      <c r="AA36" s="6">
        <f>K36*'1.1 Input'!J$30</f>
        <v>0</v>
      </c>
      <c r="AB36" s="6">
        <f>L36*'1.1 Input'!K$30</f>
        <v>0</v>
      </c>
      <c r="AC36" s="6">
        <f>M36*'1.1 Input'!L$30</f>
        <v>0</v>
      </c>
      <c r="AD36" s="6">
        <f>N36*'1.1 Input'!M$30</f>
        <v>0</v>
      </c>
      <c r="AE36" s="6">
        <f>O36*'1.1 Input'!N$30</f>
        <v>0</v>
      </c>
      <c r="AF36" s="6">
        <f t="shared" si="28"/>
        <v>0</v>
      </c>
      <c r="AH36" s="6" t="str">
        <f t="shared" si="29"/>
        <v>HVDC Spare Cable Management</v>
      </c>
      <c r="AI36" s="6" t="str" cm="1">
        <f t="array" ref="AI36">_xlfn.IFNA(INDEX('1.0 Data'!$Q$9:$Q$66,MATCH($AH36,'1.0 Data'!$P$9:$P$66,0),0),"")</f>
        <v>2023/24</v>
      </c>
      <c r="AJ36" s="6" t="str" cm="1">
        <f t="array" ref="AJ36">_xlfn.IFNA(INDEX('1.0 Data'!S$9:S$66,MATCH($AH36,'1.0 Data'!$P$9:$P$66,0),0),"")</f>
        <v>Spares Management</v>
      </c>
      <c r="AK36" s="6" t="str" cm="1">
        <f t="array" ref="AK36">_xlfn.IFNA(INDEX('1.0 Data'!T$9:T$66,MATCH($AH36,'1.0 Data'!$P$9:$P$66,0),0),"")</f>
        <v>Transmission Assets</v>
      </c>
      <c r="AL36" s="65">
        <f t="shared" si="30"/>
        <v>0</v>
      </c>
      <c r="AM36" s="65">
        <f t="shared" si="31"/>
        <v>0</v>
      </c>
      <c r="AN36" s="65">
        <f t="shared" si="32"/>
        <v>0</v>
      </c>
      <c r="AO36" s="65">
        <f t="shared" si="33"/>
        <v>0</v>
      </c>
      <c r="AP36" s="65">
        <f t="shared" si="34"/>
        <v>0</v>
      </c>
      <c r="AQ36" s="45">
        <f t="shared" si="35"/>
        <v>0</v>
      </c>
      <c r="AS36" s="71">
        <f t="shared" si="36"/>
        <v>0</v>
      </c>
    </row>
    <row r="37" spans="1:45" ht="16.5" thickTop="1" thickBot="1">
      <c r="A37" s="43" t="str">
        <f>'1.0 Data'!P37</f>
        <v>HVDC Spare Cable Order</v>
      </c>
      <c r="B37" s="67" cm="1">
        <f t="array" ref="B37">_xlfn.IFNA(INDEX('1.0 Data'!$AB$9:$AB$66,MATCH($A37,'1.0 Data'!$P$9:$P$66,0),0),0)</f>
        <v>0</v>
      </c>
      <c r="C37" s="69" cm="1">
        <f t="array" ref="C37">_xlfn.IFNA(INDEX('1.0 Data'!V$9:V$66,MATCH($A37,'1.0 Data'!$P$9:$P$66,0),0),0)</f>
        <v>0</v>
      </c>
      <c r="D37" s="69" cm="1">
        <f t="array" ref="D37">_xlfn.IFNA(INDEX('1.0 Data'!W$9:W$66,MATCH($A37,'1.0 Data'!$P$9:$P$66,0),0),0)</f>
        <v>0</v>
      </c>
      <c r="E37" s="69" cm="1">
        <f t="array" ref="E37">_xlfn.IFNA(INDEX('1.0 Data'!X$9:X$66,MATCH($A37,'1.0 Data'!$P$9:$P$66,0),0),0)</f>
        <v>0</v>
      </c>
      <c r="F37" s="69" cm="1">
        <f t="array" ref="F37">_xlfn.IFNA(INDEX('1.0 Data'!Y$9:Y$66,MATCH($A37,'1.0 Data'!$P$9:$P$66,0),0),0)</f>
        <v>0</v>
      </c>
      <c r="G37" s="69" cm="1">
        <f t="array" ref="G37">_xlfn.IFNA(INDEX('1.0 Data'!Z$9:Z$66,MATCH($A37,'1.0 Data'!$P$9:$P$66,0),0),0)</f>
        <v>0</v>
      </c>
      <c r="H37" s="45">
        <f t="shared" si="12"/>
        <v>0</v>
      </c>
      <c r="J37" s="6" t="str">
        <f t="shared" si="13"/>
        <v>HVDC Spare Cable Order</v>
      </c>
      <c r="K37" s="6">
        <f t="shared" si="14"/>
        <v>0</v>
      </c>
      <c r="L37" s="6">
        <f t="shared" si="15"/>
        <v>0</v>
      </c>
      <c r="M37" s="6">
        <f t="shared" si="16"/>
        <v>0</v>
      </c>
      <c r="N37" s="6">
        <f t="shared" si="17"/>
        <v>0</v>
      </c>
      <c r="O37" s="6">
        <f t="shared" si="18"/>
        <v>0</v>
      </c>
      <c r="P37" s="6">
        <f t="shared" si="19"/>
        <v>0</v>
      </c>
      <c r="R37" s="6" t="str">
        <f t="shared" si="20"/>
        <v>HVDC Spare Cable Order</v>
      </c>
      <c r="S37" s="65">
        <f t="shared" si="21"/>
        <v>0</v>
      </c>
      <c r="T37" s="65">
        <f t="shared" si="22"/>
        <v>0</v>
      </c>
      <c r="U37" s="65">
        <f t="shared" si="23"/>
        <v>0</v>
      </c>
      <c r="V37" s="65">
        <f t="shared" si="24"/>
        <v>0</v>
      </c>
      <c r="W37" s="65">
        <f t="shared" si="25"/>
        <v>0</v>
      </c>
      <c r="X37" s="65">
        <f t="shared" si="26"/>
        <v>0</v>
      </c>
      <c r="Z37" s="6" t="str">
        <f t="shared" si="27"/>
        <v>HVDC Spare Cable Order</v>
      </c>
      <c r="AA37" s="6">
        <f>K37*'1.1 Input'!J$30</f>
        <v>0</v>
      </c>
      <c r="AB37" s="6">
        <f>L37*'1.1 Input'!K$30</f>
        <v>0</v>
      </c>
      <c r="AC37" s="6">
        <f>M37*'1.1 Input'!L$30</f>
        <v>0</v>
      </c>
      <c r="AD37" s="6">
        <f>N37*'1.1 Input'!M$30</f>
        <v>0</v>
      </c>
      <c r="AE37" s="6">
        <f>O37*'1.1 Input'!N$30</f>
        <v>0</v>
      </c>
      <c r="AF37" s="6">
        <f t="shared" si="28"/>
        <v>0</v>
      </c>
      <c r="AH37" s="6" t="str">
        <f t="shared" si="29"/>
        <v>HVDC Spare Cable Order</v>
      </c>
      <c r="AI37" s="6" t="str" cm="1">
        <f t="array" ref="AI37">_xlfn.IFNA(INDEX('1.0 Data'!$Q$9:$Q$66,MATCH($AH37,'1.0 Data'!$P$9:$P$66,0),0),"")</f>
        <v>2023/24</v>
      </c>
      <c r="AJ37" s="6" t="str" cm="1">
        <f t="array" ref="AJ37">_xlfn.IFNA(INDEX('1.0 Data'!S$9:S$66,MATCH($AH37,'1.0 Data'!$P$9:$P$66,0),0),"")</f>
        <v>Major Maintenance</v>
      </c>
      <c r="AK37" s="6" t="str" cm="1">
        <f t="array" ref="AK37">_xlfn.IFNA(INDEX('1.0 Data'!T$9:T$66,MATCH($AH37,'1.0 Data'!$P$9:$P$66,0),0),"")</f>
        <v>Transmission Assets</v>
      </c>
      <c r="AL37" s="65">
        <f t="shared" si="30"/>
        <v>0</v>
      </c>
      <c r="AM37" s="65">
        <f t="shared" si="31"/>
        <v>0</v>
      </c>
      <c r="AN37" s="65">
        <f t="shared" si="32"/>
        <v>0</v>
      </c>
      <c r="AO37" s="65">
        <f t="shared" si="33"/>
        <v>0</v>
      </c>
      <c r="AP37" s="65">
        <f t="shared" si="34"/>
        <v>0</v>
      </c>
      <c r="AQ37" s="45">
        <f t="shared" si="35"/>
        <v>0</v>
      </c>
      <c r="AS37" s="71">
        <f t="shared" si="36"/>
        <v>0</v>
      </c>
    </row>
    <row r="38" spans="1:45" ht="16.5" thickTop="1" thickBot="1">
      <c r="A38" s="43" t="str">
        <f>'1.0 Data'!P38</f>
        <v>IGBT Generation 3 Upgrade</v>
      </c>
      <c r="B38" s="67" cm="1">
        <f t="array" ref="B38">_xlfn.IFNA(INDEX('1.0 Data'!$AB$9:$AB$66,MATCH($A38,'1.0 Data'!$P$9:$P$66,0),0),0)</f>
        <v>0</v>
      </c>
      <c r="C38" s="69" cm="1">
        <f t="array" ref="C38">_xlfn.IFNA(INDEX('1.0 Data'!V$9:V$66,MATCH($A38,'1.0 Data'!$P$9:$P$66,0),0),0)</f>
        <v>5858944.3000000007</v>
      </c>
      <c r="D38" s="69" cm="1">
        <f t="array" ref="D38">_xlfn.IFNA(INDEX('1.0 Data'!W$9:W$66,MATCH($A38,'1.0 Data'!$P$9:$P$66,0),0),0)</f>
        <v>0</v>
      </c>
      <c r="E38" s="69" cm="1">
        <f t="array" ref="E38">_xlfn.IFNA(INDEX('1.0 Data'!X$9:X$66,MATCH($A38,'1.0 Data'!$P$9:$P$66,0),0),0)</f>
        <v>0</v>
      </c>
      <c r="F38" s="69" cm="1">
        <f t="array" ref="F38">_xlfn.IFNA(INDEX('1.0 Data'!Y$9:Y$66,MATCH($A38,'1.0 Data'!$P$9:$P$66,0),0),0)</f>
        <v>0</v>
      </c>
      <c r="G38" s="69" cm="1">
        <f t="array" ref="G38">_xlfn.IFNA(INDEX('1.0 Data'!Z$9:Z$66,MATCH($A38,'1.0 Data'!$P$9:$P$66,0),0),0)</f>
        <v>0</v>
      </c>
      <c r="H38" s="45">
        <f t="shared" si="12"/>
        <v>5858944.3000000007</v>
      </c>
      <c r="J38" s="6" t="str">
        <f t="shared" si="13"/>
        <v>IGBT Generation 3 Upgrade</v>
      </c>
      <c r="K38" s="6">
        <f t="shared" si="14"/>
        <v>0</v>
      </c>
      <c r="L38" s="6">
        <f t="shared" si="15"/>
        <v>0</v>
      </c>
      <c r="M38" s="6">
        <f t="shared" si="16"/>
        <v>0</v>
      </c>
      <c r="N38" s="6">
        <f t="shared" si="17"/>
        <v>0</v>
      </c>
      <c r="O38" s="6">
        <f t="shared" si="18"/>
        <v>0</v>
      </c>
      <c r="P38" s="6">
        <f t="shared" si="19"/>
        <v>0</v>
      </c>
      <c r="R38" s="6" t="str">
        <f t="shared" si="20"/>
        <v>IGBT Generation 3 Upgrade</v>
      </c>
      <c r="S38" s="65">
        <f t="shared" si="21"/>
        <v>5858944.3000000007</v>
      </c>
      <c r="T38" s="65">
        <f t="shared" si="22"/>
        <v>0</v>
      </c>
      <c r="U38" s="65">
        <f t="shared" si="23"/>
        <v>0</v>
      </c>
      <c r="V38" s="65">
        <f t="shared" si="24"/>
        <v>0</v>
      </c>
      <c r="W38" s="65">
        <f t="shared" si="25"/>
        <v>0</v>
      </c>
      <c r="X38" s="65">
        <f t="shared" si="26"/>
        <v>5858944.3000000007</v>
      </c>
      <c r="Z38" s="6" t="str">
        <f t="shared" si="27"/>
        <v>IGBT Generation 3 Upgrade</v>
      </c>
      <c r="AA38" s="6">
        <f>K38*'1.1 Input'!J$30</f>
        <v>0</v>
      </c>
      <c r="AB38" s="6">
        <f>L38*'1.1 Input'!K$30</f>
        <v>0</v>
      </c>
      <c r="AC38" s="6">
        <f>M38*'1.1 Input'!L$30</f>
        <v>0</v>
      </c>
      <c r="AD38" s="6">
        <f>N38*'1.1 Input'!M$30</f>
        <v>0</v>
      </c>
      <c r="AE38" s="6">
        <f>O38*'1.1 Input'!N$30</f>
        <v>0</v>
      </c>
      <c r="AF38" s="6">
        <f t="shared" si="28"/>
        <v>0</v>
      </c>
      <c r="AH38" s="6" t="str">
        <f t="shared" si="29"/>
        <v>IGBT Generation 3 Upgrade</v>
      </c>
      <c r="AI38" s="6" t="str" cm="1">
        <f t="array" ref="AI38">_xlfn.IFNA(INDEX('1.0 Data'!$Q$9:$Q$66,MATCH($AH38,'1.0 Data'!$P$9:$P$66,0),0),"")</f>
        <v>2023/24</v>
      </c>
      <c r="AJ38" s="6" t="str" cm="1">
        <f t="array" ref="AJ38">_xlfn.IFNA(INDEX('1.0 Data'!S$9:S$66,MATCH($AH38,'1.0 Data'!$P$9:$P$66,0),0),"")</f>
        <v>IGBTs</v>
      </c>
      <c r="AK38" s="6" t="str" cm="1">
        <f t="array" ref="AK38">_xlfn.IFNA(INDEX('1.0 Data'!T$9:T$66,MATCH($AH38,'1.0 Data'!$P$9:$P$66,0),0),"")</f>
        <v>Transmission Assets</v>
      </c>
      <c r="AL38" s="65">
        <f t="shared" si="30"/>
        <v>5858944.3000000007</v>
      </c>
      <c r="AM38" s="65">
        <f t="shared" si="31"/>
        <v>0</v>
      </c>
      <c r="AN38" s="65">
        <f t="shared" si="32"/>
        <v>0</v>
      </c>
      <c r="AO38" s="65">
        <f t="shared" si="33"/>
        <v>0</v>
      </c>
      <c r="AP38" s="65">
        <f t="shared" si="34"/>
        <v>0</v>
      </c>
      <c r="AQ38" s="45">
        <f t="shared" si="35"/>
        <v>5858944.3000000007</v>
      </c>
      <c r="AS38" s="71">
        <f t="shared" si="36"/>
        <v>0</v>
      </c>
    </row>
    <row r="39" spans="1:45" ht="16.5" thickTop="1" thickBot="1">
      <c r="A39" s="43" t="str">
        <f>'1.0 Data'!P39</f>
        <v>IGBT Spares</v>
      </c>
      <c r="B39" s="67" cm="1">
        <f t="array" ref="B39">_xlfn.IFNA(INDEX('1.0 Data'!$AB$9:$AB$66,MATCH($A39,'1.0 Data'!$P$9:$P$66,0),0),0)</f>
        <v>0</v>
      </c>
      <c r="C39" s="69" cm="1">
        <f t="array" ref="C39">_xlfn.IFNA(INDEX('1.0 Data'!V$9:V$66,MATCH($A39,'1.0 Data'!$P$9:$P$66,0),0),0)</f>
        <v>0</v>
      </c>
      <c r="D39" s="69" cm="1">
        <f t="array" ref="D39">_xlfn.IFNA(INDEX('1.0 Data'!W$9:W$66,MATCH($A39,'1.0 Data'!$P$9:$P$66,0),0),0)</f>
        <v>0</v>
      </c>
      <c r="E39" s="69" cm="1">
        <f t="array" ref="E39">_xlfn.IFNA(INDEX('1.0 Data'!X$9:X$66,MATCH($A39,'1.0 Data'!$P$9:$P$66,0),0),0)</f>
        <v>0</v>
      </c>
      <c r="F39" s="69" cm="1">
        <f t="array" ref="F39">_xlfn.IFNA(INDEX('1.0 Data'!Y$9:Y$66,MATCH($A39,'1.0 Data'!$P$9:$P$66,0),0),0)</f>
        <v>0</v>
      </c>
      <c r="G39" s="69" cm="1">
        <f t="array" ref="G39">_xlfn.IFNA(INDEX('1.0 Data'!Z$9:Z$66,MATCH($A39,'1.0 Data'!$P$9:$P$66,0),0),0)</f>
        <v>0</v>
      </c>
      <c r="H39" s="45">
        <f t="shared" si="12"/>
        <v>0</v>
      </c>
      <c r="J39" s="6" t="str">
        <f t="shared" si="13"/>
        <v>IGBT Spares</v>
      </c>
      <c r="K39" s="6">
        <f t="shared" si="14"/>
        <v>0</v>
      </c>
      <c r="L39" s="6">
        <f t="shared" si="15"/>
        <v>0</v>
      </c>
      <c r="M39" s="6">
        <f t="shared" si="16"/>
        <v>0</v>
      </c>
      <c r="N39" s="6">
        <f t="shared" si="17"/>
        <v>0</v>
      </c>
      <c r="O39" s="6">
        <f t="shared" si="18"/>
        <v>0</v>
      </c>
      <c r="P39" s="6">
        <f t="shared" si="19"/>
        <v>0</v>
      </c>
      <c r="R39" s="6" t="str">
        <f t="shared" si="20"/>
        <v>IGBT Spares</v>
      </c>
      <c r="S39" s="65">
        <f t="shared" si="21"/>
        <v>0</v>
      </c>
      <c r="T39" s="65">
        <f t="shared" si="22"/>
        <v>0</v>
      </c>
      <c r="U39" s="65">
        <f t="shared" si="23"/>
        <v>0</v>
      </c>
      <c r="V39" s="65">
        <f t="shared" si="24"/>
        <v>0</v>
      </c>
      <c r="W39" s="65">
        <f t="shared" si="25"/>
        <v>0</v>
      </c>
      <c r="X39" s="65">
        <f t="shared" si="26"/>
        <v>0</v>
      </c>
      <c r="Z39" s="6" t="str">
        <f t="shared" si="27"/>
        <v>IGBT Spares</v>
      </c>
      <c r="AA39" s="6">
        <f>K39*'1.1 Input'!J$30</f>
        <v>0</v>
      </c>
      <c r="AB39" s="6">
        <f>L39*'1.1 Input'!K$30</f>
        <v>0</v>
      </c>
      <c r="AC39" s="6">
        <f>M39*'1.1 Input'!L$30</f>
        <v>0</v>
      </c>
      <c r="AD39" s="6">
        <f>N39*'1.1 Input'!M$30</f>
        <v>0</v>
      </c>
      <c r="AE39" s="6">
        <f>O39*'1.1 Input'!N$30</f>
        <v>0</v>
      </c>
      <c r="AF39" s="6">
        <f t="shared" si="28"/>
        <v>0</v>
      </c>
      <c r="AH39" s="6" t="str">
        <f t="shared" si="29"/>
        <v>IGBT Spares</v>
      </c>
      <c r="AI39" s="6" t="str" cm="1">
        <f t="array" ref="AI39">_xlfn.IFNA(INDEX('1.0 Data'!$Q$9:$Q$66,MATCH($AH39,'1.0 Data'!$P$9:$P$66,0),0),"")</f>
        <v>2023/24</v>
      </c>
      <c r="AJ39" s="6" t="str" cm="1">
        <f t="array" ref="AJ39">_xlfn.IFNA(INDEX('1.0 Data'!S$9:S$66,MATCH($AH39,'1.0 Data'!$P$9:$P$66,0),0),"")</f>
        <v>Spares Management</v>
      </c>
      <c r="AK39" s="6" t="str" cm="1">
        <f t="array" ref="AK39">_xlfn.IFNA(INDEX('1.0 Data'!T$9:T$66,MATCH($AH39,'1.0 Data'!$P$9:$P$66,0),0),"")</f>
        <v>Transmission Assets</v>
      </c>
      <c r="AL39" s="65">
        <f t="shared" si="30"/>
        <v>0</v>
      </c>
      <c r="AM39" s="65">
        <f t="shared" si="31"/>
        <v>0</v>
      </c>
      <c r="AN39" s="65">
        <f t="shared" si="32"/>
        <v>0</v>
      </c>
      <c r="AO39" s="65">
        <f t="shared" si="33"/>
        <v>0</v>
      </c>
      <c r="AP39" s="65">
        <f t="shared" si="34"/>
        <v>0</v>
      </c>
      <c r="AQ39" s="45">
        <f t="shared" si="35"/>
        <v>0</v>
      </c>
      <c r="AS39" s="71">
        <f t="shared" si="36"/>
        <v>0</v>
      </c>
    </row>
    <row r="40" spans="1:45" ht="16.5" thickTop="1" thickBot="1">
      <c r="A40" s="43" t="str">
        <f>'1.0 Data'!P40</f>
        <v>IGBT Water Cooling System Midlife Refurbishment</v>
      </c>
      <c r="B40" s="67" cm="1">
        <f t="array" ref="B40">_xlfn.IFNA(INDEX('1.0 Data'!$AB$9:$AB$66,MATCH($A40,'1.0 Data'!$P$9:$P$66,0),0),0)</f>
        <v>0</v>
      </c>
      <c r="C40" s="69" cm="1">
        <f t="array" ref="C40">_xlfn.IFNA(INDEX('1.0 Data'!V$9:V$66,MATCH($A40,'1.0 Data'!$P$9:$P$66,0),0),0)</f>
        <v>66000</v>
      </c>
      <c r="D40" s="69" cm="1">
        <f t="array" ref="D40">_xlfn.IFNA(INDEX('1.0 Data'!W$9:W$66,MATCH($A40,'1.0 Data'!$P$9:$P$66,0),0),0)</f>
        <v>66000</v>
      </c>
      <c r="E40" s="69" cm="1">
        <f t="array" ref="E40">_xlfn.IFNA(INDEX('1.0 Data'!X$9:X$66,MATCH($A40,'1.0 Data'!$P$9:$P$66,0),0),0)</f>
        <v>149160</v>
      </c>
      <c r="F40" s="69" cm="1">
        <f t="array" ref="F40">_xlfn.IFNA(INDEX('1.0 Data'!Y$9:Y$66,MATCH($A40,'1.0 Data'!$P$9:$P$66,0),0),0)</f>
        <v>462000.00000000006</v>
      </c>
      <c r="G40" s="69" cm="1">
        <f t="array" ref="G40">_xlfn.IFNA(INDEX('1.0 Data'!Z$9:Z$66,MATCH($A40,'1.0 Data'!$P$9:$P$66,0),0),0)</f>
        <v>66000</v>
      </c>
      <c r="H40" s="45">
        <f t="shared" si="12"/>
        <v>809160</v>
      </c>
      <c r="J40" s="6" t="str">
        <f t="shared" si="13"/>
        <v>IGBT Water Cooling System Midlife Refurbishment</v>
      </c>
      <c r="K40" s="6">
        <f t="shared" si="14"/>
        <v>0</v>
      </c>
      <c r="L40" s="6">
        <f t="shared" si="15"/>
        <v>0</v>
      </c>
      <c r="M40" s="6">
        <f t="shared" si="16"/>
        <v>0</v>
      </c>
      <c r="N40" s="6">
        <f t="shared" si="17"/>
        <v>0</v>
      </c>
      <c r="O40" s="6">
        <f t="shared" si="18"/>
        <v>0</v>
      </c>
      <c r="P40" s="6">
        <f t="shared" si="19"/>
        <v>0</v>
      </c>
      <c r="R40" s="6" t="str">
        <f t="shared" si="20"/>
        <v>IGBT Water Cooling System Midlife Refurbishment</v>
      </c>
      <c r="S40" s="65">
        <f t="shared" si="21"/>
        <v>66000</v>
      </c>
      <c r="T40" s="65">
        <f t="shared" si="22"/>
        <v>66000</v>
      </c>
      <c r="U40" s="65">
        <f t="shared" si="23"/>
        <v>149160</v>
      </c>
      <c r="V40" s="65">
        <f t="shared" si="24"/>
        <v>462000.00000000006</v>
      </c>
      <c r="W40" s="65">
        <f t="shared" si="25"/>
        <v>66000</v>
      </c>
      <c r="X40" s="65">
        <f t="shared" si="26"/>
        <v>809160</v>
      </c>
      <c r="Z40" s="6" t="str">
        <f t="shared" si="27"/>
        <v>IGBT Water Cooling System Midlife Refurbishment</v>
      </c>
      <c r="AA40" s="6">
        <f>K40*'1.1 Input'!J$30</f>
        <v>0</v>
      </c>
      <c r="AB40" s="6">
        <f>L40*'1.1 Input'!K$30</f>
        <v>0</v>
      </c>
      <c r="AC40" s="6">
        <f>M40*'1.1 Input'!L$30</f>
        <v>0</v>
      </c>
      <c r="AD40" s="6">
        <f>N40*'1.1 Input'!M$30</f>
        <v>0</v>
      </c>
      <c r="AE40" s="6">
        <f>O40*'1.1 Input'!N$30</f>
        <v>0</v>
      </c>
      <c r="AF40" s="6">
        <f t="shared" si="28"/>
        <v>0</v>
      </c>
      <c r="AH40" s="6" t="str">
        <f t="shared" si="29"/>
        <v>IGBT Water Cooling System Midlife Refurbishment</v>
      </c>
      <c r="AI40" s="6" t="str" cm="1">
        <f t="array" ref="AI40">_xlfn.IFNA(INDEX('1.0 Data'!$Q$9:$Q$66,MATCH($AH40,'1.0 Data'!$P$9:$P$66,0),0),"")</f>
        <v>2023/24</v>
      </c>
      <c r="AJ40" s="6" t="str" cm="1">
        <f t="array" ref="AJ40">_xlfn.IFNA(INDEX('1.0 Data'!S$9:S$66,MATCH($AH40,'1.0 Data'!$P$9:$P$66,0),0),"")</f>
        <v>Major Maintenance</v>
      </c>
      <c r="AK40" s="6" t="str" cm="1">
        <f t="array" ref="AK40">_xlfn.IFNA(INDEX('1.0 Data'!T$9:T$66,MATCH($AH40,'1.0 Data'!$P$9:$P$66,0),0),"")</f>
        <v>Transmission Assets</v>
      </c>
      <c r="AL40" s="65">
        <f t="shared" si="30"/>
        <v>66000</v>
      </c>
      <c r="AM40" s="65">
        <f t="shared" si="31"/>
        <v>66000</v>
      </c>
      <c r="AN40" s="65">
        <f t="shared" si="32"/>
        <v>149160</v>
      </c>
      <c r="AO40" s="65">
        <f t="shared" si="33"/>
        <v>462000.00000000006</v>
      </c>
      <c r="AP40" s="65">
        <f t="shared" si="34"/>
        <v>66000</v>
      </c>
      <c r="AQ40" s="45">
        <f t="shared" si="35"/>
        <v>809160</v>
      </c>
      <c r="AS40" s="71">
        <f t="shared" si="36"/>
        <v>0</v>
      </c>
    </row>
    <row r="41" spans="1:45" ht="16.5" thickTop="1" thickBot="1">
      <c r="A41" s="43" t="str">
        <f>'1.0 Data'!P41</f>
        <v>Incoming Capacitors</v>
      </c>
      <c r="B41" s="67" cm="1">
        <f t="array" ref="B41">_xlfn.IFNA(INDEX('1.0 Data'!$AB$9:$AB$66,MATCH($A41,'1.0 Data'!$P$9:$P$66,0),0),0)</f>
        <v>0</v>
      </c>
      <c r="C41" s="69" cm="1">
        <f t="array" ref="C41">_xlfn.IFNA(INDEX('1.0 Data'!V$9:V$66,MATCH($A41,'1.0 Data'!$P$9:$P$66,0),0),0)</f>
        <v>0</v>
      </c>
      <c r="D41" s="69" cm="1">
        <f t="array" ref="D41">_xlfn.IFNA(INDEX('1.0 Data'!W$9:W$66,MATCH($A41,'1.0 Data'!$P$9:$P$66,0),0),0)</f>
        <v>0</v>
      </c>
      <c r="E41" s="69" cm="1">
        <f t="array" ref="E41">_xlfn.IFNA(INDEX('1.0 Data'!X$9:X$66,MATCH($A41,'1.0 Data'!$P$9:$P$66,0),0),0)</f>
        <v>0</v>
      </c>
      <c r="F41" s="69" cm="1">
        <f t="array" ref="F41">_xlfn.IFNA(INDEX('1.0 Data'!Y$9:Y$66,MATCH($A41,'1.0 Data'!$P$9:$P$66,0),0),0)</f>
        <v>0</v>
      </c>
      <c r="G41" s="69" cm="1">
        <f t="array" ref="G41">_xlfn.IFNA(INDEX('1.0 Data'!Z$9:Z$66,MATCH($A41,'1.0 Data'!$P$9:$P$66,0),0),0)</f>
        <v>0</v>
      </c>
      <c r="H41" s="45">
        <f t="shared" si="12"/>
        <v>0</v>
      </c>
      <c r="J41" s="6" t="str">
        <f t="shared" si="13"/>
        <v>Incoming Capacitors</v>
      </c>
      <c r="K41" s="6">
        <f t="shared" si="14"/>
        <v>0</v>
      </c>
      <c r="L41" s="6">
        <f t="shared" si="15"/>
        <v>0</v>
      </c>
      <c r="M41" s="6">
        <f t="shared" si="16"/>
        <v>0</v>
      </c>
      <c r="N41" s="6">
        <f t="shared" si="17"/>
        <v>0</v>
      </c>
      <c r="O41" s="6">
        <f t="shared" si="18"/>
        <v>0</v>
      </c>
      <c r="P41" s="6">
        <f t="shared" si="19"/>
        <v>0</v>
      </c>
      <c r="R41" s="6" t="str">
        <f t="shared" si="20"/>
        <v>Incoming Capacitors</v>
      </c>
      <c r="S41" s="65">
        <f t="shared" si="21"/>
        <v>0</v>
      </c>
      <c r="T41" s="65">
        <f t="shared" si="22"/>
        <v>0</v>
      </c>
      <c r="U41" s="65">
        <f t="shared" si="23"/>
        <v>0</v>
      </c>
      <c r="V41" s="65">
        <f t="shared" si="24"/>
        <v>0</v>
      </c>
      <c r="W41" s="65">
        <f t="shared" si="25"/>
        <v>0</v>
      </c>
      <c r="X41" s="65">
        <f t="shared" si="26"/>
        <v>0</v>
      </c>
      <c r="Z41" s="6" t="str">
        <f t="shared" si="27"/>
        <v>Incoming Capacitors</v>
      </c>
      <c r="AA41" s="6">
        <f>K41*'1.1 Input'!J$30</f>
        <v>0</v>
      </c>
      <c r="AB41" s="6">
        <f>L41*'1.1 Input'!K$30</f>
        <v>0</v>
      </c>
      <c r="AC41" s="6">
        <f>M41*'1.1 Input'!L$30</f>
        <v>0</v>
      </c>
      <c r="AD41" s="6">
        <f>N41*'1.1 Input'!M$30</f>
        <v>0</v>
      </c>
      <c r="AE41" s="6">
        <f>O41*'1.1 Input'!N$30</f>
        <v>0</v>
      </c>
      <c r="AF41" s="6">
        <f t="shared" si="28"/>
        <v>0</v>
      </c>
      <c r="AH41" s="6" t="str">
        <f t="shared" si="29"/>
        <v>Incoming Capacitors</v>
      </c>
      <c r="AI41" s="6" t="str" cm="1">
        <f t="array" ref="AI41">_xlfn.IFNA(INDEX('1.0 Data'!$Q$9:$Q$66,MATCH($AH41,'1.0 Data'!$P$9:$P$66,0),0),"")</f>
        <v>2023/24</v>
      </c>
      <c r="AJ41" s="6" t="str" cm="1">
        <f t="array" ref="AJ41">_xlfn.IFNA(INDEX('1.0 Data'!S$9:S$66,MATCH($AH41,'1.0 Data'!$P$9:$P$66,0),0),"")</f>
        <v>Spares Management</v>
      </c>
      <c r="AK41" s="6" t="str" cm="1">
        <f t="array" ref="AK41">_xlfn.IFNA(INDEX('1.0 Data'!T$9:T$66,MATCH($AH41,'1.0 Data'!$P$9:$P$66,0),0),"")</f>
        <v>Transmission Assets</v>
      </c>
      <c r="AL41" s="65">
        <f t="shared" si="30"/>
        <v>0</v>
      </c>
      <c r="AM41" s="65">
        <f t="shared" si="31"/>
        <v>0</v>
      </c>
      <c r="AN41" s="65">
        <f t="shared" si="32"/>
        <v>0</v>
      </c>
      <c r="AO41" s="65">
        <f t="shared" si="33"/>
        <v>0</v>
      </c>
      <c r="AP41" s="65">
        <f t="shared" si="34"/>
        <v>0</v>
      </c>
      <c r="AQ41" s="45">
        <f t="shared" si="35"/>
        <v>0</v>
      </c>
      <c r="AS41" s="71">
        <f t="shared" si="36"/>
        <v>0</v>
      </c>
    </row>
    <row r="42" spans="1:45" ht="16.5" thickTop="1" thickBot="1">
      <c r="A42" s="43" t="str">
        <f>'1.0 Data'!P42</f>
        <v>Internal Fencing Protection</v>
      </c>
      <c r="B42" s="67" cm="1">
        <f t="array" ref="B42">_xlfn.IFNA(INDEX('1.0 Data'!$AB$9:$AB$66,MATCH($A42,'1.0 Data'!$P$9:$P$66,0),0),0)</f>
        <v>0</v>
      </c>
      <c r="C42" s="69" cm="1">
        <f t="array" ref="C42">_xlfn.IFNA(INDEX('1.0 Data'!V$9:V$66,MATCH($A42,'1.0 Data'!$P$9:$P$66,0),0),0)</f>
        <v>0</v>
      </c>
      <c r="D42" s="69" cm="1">
        <f t="array" ref="D42">_xlfn.IFNA(INDEX('1.0 Data'!W$9:W$66,MATCH($A42,'1.0 Data'!$P$9:$P$66,0),0),0)</f>
        <v>0</v>
      </c>
      <c r="E42" s="69" cm="1">
        <f t="array" ref="E42">_xlfn.IFNA(INDEX('1.0 Data'!X$9:X$66,MATCH($A42,'1.0 Data'!$P$9:$P$66,0),0),0)</f>
        <v>0</v>
      </c>
      <c r="F42" s="69" cm="1">
        <f t="array" ref="F42">_xlfn.IFNA(INDEX('1.0 Data'!Y$9:Y$66,MATCH($A42,'1.0 Data'!$P$9:$P$66,0),0),0)</f>
        <v>0</v>
      </c>
      <c r="G42" s="69" cm="1">
        <f t="array" ref="G42">_xlfn.IFNA(INDEX('1.0 Data'!Z$9:Z$66,MATCH($A42,'1.0 Data'!$P$9:$P$66,0),0),0)</f>
        <v>0</v>
      </c>
      <c r="H42" s="45">
        <f t="shared" si="12"/>
        <v>0</v>
      </c>
      <c r="J42" s="6" t="str">
        <f t="shared" si="13"/>
        <v>Internal Fencing Protection</v>
      </c>
      <c r="K42" s="6">
        <f t="shared" si="14"/>
        <v>0</v>
      </c>
      <c r="L42" s="6">
        <f t="shared" si="15"/>
        <v>0</v>
      </c>
      <c r="M42" s="6">
        <f t="shared" si="16"/>
        <v>0</v>
      </c>
      <c r="N42" s="6">
        <f t="shared" si="17"/>
        <v>0</v>
      </c>
      <c r="O42" s="6">
        <f t="shared" si="18"/>
        <v>0</v>
      </c>
      <c r="P42" s="6">
        <f t="shared" si="19"/>
        <v>0</v>
      </c>
      <c r="R42" s="6" t="str">
        <f t="shared" si="20"/>
        <v>Internal Fencing Protection</v>
      </c>
      <c r="S42" s="65">
        <f t="shared" si="21"/>
        <v>0</v>
      </c>
      <c r="T42" s="65">
        <f t="shared" si="22"/>
        <v>0</v>
      </c>
      <c r="U42" s="65">
        <f t="shared" si="23"/>
        <v>0</v>
      </c>
      <c r="V42" s="65">
        <f t="shared" si="24"/>
        <v>0</v>
      </c>
      <c r="W42" s="65">
        <f t="shared" si="25"/>
        <v>0</v>
      </c>
      <c r="X42" s="65">
        <f t="shared" si="26"/>
        <v>0</v>
      </c>
      <c r="Z42" s="6" t="str">
        <f t="shared" si="27"/>
        <v>Internal Fencing Protection</v>
      </c>
      <c r="AA42" s="6">
        <f>K42*'1.1 Input'!J$30</f>
        <v>0</v>
      </c>
      <c r="AB42" s="6">
        <f>L42*'1.1 Input'!K$30</f>
        <v>0</v>
      </c>
      <c r="AC42" s="6">
        <f>M42*'1.1 Input'!L$30</f>
        <v>0</v>
      </c>
      <c r="AD42" s="6">
        <f>N42*'1.1 Input'!M$30</f>
        <v>0</v>
      </c>
      <c r="AE42" s="6">
        <f>O42*'1.1 Input'!N$30</f>
        <v>0</v>
      </c>
      <c r="AF42" s="6">
        <f t="shared" si="28"/>
        <v>0</v>
      </c>
      <c r="AH42" s="6" t="str">
        <f t="shared" si="29"/>
        <v>Internal Fencing Protection</v>
      </c>
      <c r="AI42" s="6" t="str" cm="1">
        <f t="array" ref="AI42">_xlfn.IFNA(INDEX('1.0 Data'!$Q$9:$Q$66,MATCH($AH42,'1.0 Data'!$P$9:$P$66,0),0),"")</f>
        <v>2023/24</v>
      </c>
      <c r="AJ42" s="6" t="str" cm="1">
        <f t="array" ref="AJ42">_xlfn.IFNA(INDEX('1.0 Data'!S$9:S$66,MATCH($AH42,'1.0 Data'!$P$9:$P$66,0),0),"")</f>
        <v>Safety and Protection</v>
      </c>
      <c r="AK42" s="6" t="str" cm="1">
        <f t="array" ref="AK42">_xlfn.IFNA(INDEX('1.0 Data'!T$9:T$66,MATCH($AH42,'1.0 Data'!$P$9:$P$66,0),0),"")</f>
        <v>Buildings</v>
      </c>
      <c r="AL42" s="65">
        <f t="shared" si="30"/>
        <v>0</v>
      </c>
      <c r="AM42" s="65">
        <f t="shared" si="31"/>
        <v>0</v>
      </c>
      <c r="AN42" s="65">
        <f t="shared" si="32"/>
        <v>0</v>
      </c>
      <c r="AO42" s="65">
        <f t="shared" si="33"/>
        <v>0</v>
      </c>
      <c r="AP42" s="65">
        <f t="shared" si="34"/>
        <v>0</v>
      </c>
      <c r="AQ42" s="45">
        <f t="shared" si="35"/>
        <v>0</v>
      </c>
      <c r="AS42" s="71">
        <f t="shared" si="36"/>
        <v>0</v>
      </c>
    </row>
    <row r="43" spans="1:45" ht="16.5" thickTop="1" thickBot="1">
      <c r="A43" s="43" t="str">
        <f>'1.0 Data'!P43</f>
        <v>Land Grading</v>
      </c>
      <c r="B43" s="67" cm="1">
        <f t="array" ref="B43">_xlfn.IFNA(INDEX('1.0 Data'!$AB$9:$AB$66,MATCH($A43,'1.0 Data'!$P$9:$P$66,0),0),0)</f>
        <v>0</v>
      </c>
      <c r="C43" s="69" cm="1">
        <f t="array" ref="C43">_xlfn.IFNA(INDEX('1.0 Data'!V$9:V$66,MATCH($A43,'1.0 Data'!$P$9:$P$66,0),0),0)</f>
        <v>31680.000000000004</v>
      </c>
      <c r="D43" s="69" cm="1">
        <f t="array" ref="D43">_xlfn.IFNA(INDEX('1.0 Data'!W$9:W$66,MATCH($A43,'1.0 Data'!$P$9:$P$66,0),0),0)</f>
        <v>31680.000000000004</v>
      </c>
      <c r="E43" s="69" cm="1">
        <f t="array" ref="E43">_xlfn.IFNA(INDEX('1.0 Data'!X$9:X$66,MATCH($A43,'1.0 Data'!$P$9:$P$66,0),0),0)</f>
        <v>0</v>
      </c>
      <c r="F43" s="69" cm="1">
        <f t="array" ref="F43">_xlfn.IFNA(INDEX('1.0 Data'!Y$9:Y$66,MATCH($A43,'1.0 Data'!$P$9:$P$66,0),0),0)</f>
        <v>0</v>
      </c>
      <c r="G43" s="69" cm="1">
        <f t="array" ref="G43">_xlfn.IFNA(INDEX('1.0 Data'!Z$9:Z$66,MATCH($A43,'1.0 Data'!$P$9:$P$66,0),0),0)</f>
        <v>0</v>
      </c>
      <c r="H43" s="45">
        <f t="shared" si="12"/>
        <v>63360.000000000007</v>
      </c>
      <c r="J43" s="6" t="str">
        <f t="shared" si="13"/>
        <v>Land Grading</v>
      </c>
      <c r="K43" s="6">
        <f t="shared" si="14"/>
        <v>0</v>
      </c>
      <c r="L43" s="6">
        <f t="shared" si="15"/>
        <v>0</v>
      </c>
      <c r="M43" s="6">
        <f t="shared" si="16"/>
        <v>0</v>
      </c>
      <c r="N43" s="6">
        <f t="shared" si="17"/>
        <v>0</v>
      </c>
      <c r="O43" s="6">
        <f t="shared" si="18"/>
        <v>0</v>
      </c>
      <c r="P43" s="6">
        <f t="shared" si="19"/>
        <v>0</v>
      </c>
      <c r="R43" s="6" t="str">
        <f t="shared" si="20"/>
        <v>Land Grading</v>
      </c>
      <c r="S43" s="65">
        <f t="shared" si="21"/>
        <v>31680.000000000004</v>
      </c>
      <c r="T43" s="65">
        <f t="shared" si="22"/>
        <v>31680.000000000004</v>
      </c>
      <c r="U43" s="65">
        <f t="shared" si="23"/>
        <v>0</v>
      </c>
      <c r="V43" s="65">
        <f t="shared" si="24"/>
        <v>0</v>
      </c>
      <c r="W43" s="65">
        <f t="shared" si="25"/>
        <v>0</v>
      </c>
      <c r="X43" s="65">
        <f t="shared" si="26"/>
        <v>63360.000000000007</v>
      </c>
      <c r="Z43" s="6" t="str">
        <f t="shared" si="27"/>
        <v>Land Grading</v>
      </c>
      <c r="AA43" s="6">
        <f>K43*'1.1 Input'!J$30</f>
        <v>0</v>
      </c>
      <c r="AB43" s="6">
        <f>L43*'1.1 Input'!K$30</f>
        <v>0</v>
      </c>
      <c r="AC43" s="6">
        <f>M43*'1.1 Input'!L$30</f>
        <v>0</v>
      </c>
      <c r="AD43" s="6">
        <f>N43*'1.1 Input'!M$30</f>
        <v>0</v>
      </c>
      <c r="AE43" s="6">
        <f>O43*'1.1 Input'!N$30</f>
        <v>0</v>
      </c>
      <c r="AF43" s="6">
        <f t="shared" si="28"/>
        <v>0</v>
      </c>
      <c r="AH43" s="6" t="str">
        <f t="shared" si="29"/>
        <v>Land Grading</v>
      </c>
      <c r="AI43" s="6" t="str" cm="1">
        <f t="array" ref="AI43">_xlfn.IFNA(INDEX('1.0 Data'!$Q$9:$Q$66,MATCH($AH43,'1.0 Data'!$P$9:$P$66,0),0),"")</f>
        <v>2023/24</v>
      </c>
      <c r="AJ43" s="6" t="str" cm="1">
        <f t="array" ref="AJ43">_xlfn.IFNA(INDEX('1.0 Data'!S$9:S$66,MATCH($AH43,'1.0 Data'!$P$9:$P$66,0),0),"")</f>
        <v>Major Maintenance</v>
      </c>
      <c r="AK43" s="6" t="str" cm="1">
        <f t="array" ref="AK43">_xlfn.IFNA(INDEX('1.0 Data'!T$9:T$66,MATCH($AH43,'1.0 Data'!$P$9:$P$66,0),0),"")</f>
        <v>Buildings</v>
      </c>
      <c r="AL43" s="65">
        <f t="shared" si="30"/>
        <v>31680.000000000004</v>
      </c>
      <c r="AM43" s="65">
        <f t="shared" si="31"/>
        <v>31680.000000000004</v>
      </c>
      <c r="AN43" s="65">
        <f t="shared" si="32"/>
        <v>0</v>
      </c>
      <c r="AO43" s="65">
        <f t="shared" si="33"/>
        <v>0</v>
      </c>
      <c r="AP43" s="65">
        <f t="shared" si="34"/>
        <v>0</v>
      </c>
      <c r="AQ43" s="45">
        <f t="shared" si="35"/>
        <v>63360.000000000007</v>
      </c>
      <c r="AS43" s="71">
        <f t="shared" si="36"/>
        <v>0</v>
      </c>
    </row>
    <row r="44" spans="1:45" ht="16.5" thickTop="1" thickBot="1">
      <c r="A44" s="43" t="str">
        <f>'1.0 Data'!P44</f>
        <v>Master Controller- FEED</v>
      </c>
      <c r="B44" s="67" cm="1">
        <f t="array" ref="B44">_xlfn.IFNA(INDEX('1.0 Data'!$AB$9:$AB$66,MATCH($A44,'1.0 Data'!$P$9:$P$66,0),0),0)</f>
        <v>0</v>
      </c>
      <c r="C44" s="69" cm="1">
        <f t="array" ref="C44">_xlfn.IFNA(INDEX('1.0 Data'!V$9:V$66,MATCH($A44,'1.0 Data'!$P$9:$P$66,0),0),0)</f>
        <v>0</v>
      </c>
      <c r="D44" s="69" cm="1">
        <f t="array" ref="D44">_xlfn.IFNA(INDEX('1.0 Data'!W$9:W$66,MATCH($A44,'1.0 Data'!$P$9:$P$66,0),0),0)</f>
        <v>0</v>
      </c>
      <c r="E44" s="69" cm="1">
        <f t="array" ref="E44">_xlfn.IFNA(INDEX('1.0 Data'!X$9:X$66,MATCH($A44,'1.0 Data'!$P$9:$P$66,0),0),0)</f>
        <v>0</v>
      </c>
      <c r="F44" s="69" cm="1">
        <f t="array" ref="F44">_xlfn.IFNA(INDEX('1.0 Data'!Y$9:Y$66,MATCH($A44,'1.0 Data'!$P$9:$P$66,0),0),0)</f>
        <v>0</v>
      </c>
      <c r="G44" s="69" cm="1">
        <f t="array" ref="G44">_xlfn.IFNA(INDEX('1.0 Data'!Z$9:Z$66,MATCH($A44,'1.0 Data'!$P$9:$P$66,0),0),0)</f>
        <v>132000</v>
      </c>
      <c r="H44" s="45">
        <f t="shared" si="12"/>
        <v>132000</v>
      </c>
      <c r="J44" s="6" t="str">
        <f t="shared" si="13"/>
        <v>Master Controller- FEED</v>
      </c>
      <c r="K44" s="6">
        <f t="shared" si="14"/>
        <v>0</v>
      </c>
      <c r="L44" s="6">
        <f t="shared" si="15"/>
        <v>0</v>
      </c>
      <c r="M44" s="6">
        <f t="shared" si="16"/>
        <v>0</v>
      </c>
      <c r="N44" s="6">
        <f t="shared" si="17"/>
        <v>0</v>
      </c>
      <c r="O44" s="6">
        <f t="shared" si="18"/>
        <v>0</v>
      </c>
      <c r="P44" s="6">
        <f t="shared" si="19"/>
        <v>0</v>
      </c>
      <c r="R44" s="6" t="str">
        <f t="shared" si="20"/>
        <v>Master Controller- FEED</v>
      </c>
      <c r="S44" s="65">
        <f t="shared" si="21"/>
        <v>0</v>
      </c>
      <c r="T44" s="65">
        <f t="shared" si="22"/>
        <v>0</v>
      </c>
      <c r="U44" s="65">
        <f t="shared" si="23"/>
        <v>0</v>
      </c>
      <c r="V44" s="65">
        <f t="shared" si="24"/>
        <v>0</v>
      </c>
      <c r="W44" s="65">
        <f t="shared" si="25"/>
        <v>132000</v>
      </c>
      <c r="X44" s="65">
        <f t="shared" si="26"/>
        <v>132000</v>
      </c>
      <c r="Z44" s="6" t="str">
        <f t="shared" si="27"/>
        <v>Master Controller- FEED</v>
      </c>
      <c r="AA44" s="6">
        <f>K44*'1.1 Input'!J$30</f>
        <v>0</v>
      </c>
      <c r="AB44" s="6">
        <f>L44*'1.1 Input'!K$30</f>
        <v>0</v>
      </c>
      <c r="AC44" s="6">
        <f>M44*'1.1 Input'!L$30</f>
        <v>0</v>
      </c>
      <c r="AD44" s="6">
        <f>N44*'1.1 Input'!M$30</f>
        <v>0</v>
      </c>
      <c r="AE44" s="6">
        <f>O44*'1.1 Input'!N$30</f>
        <v>0</v>
      </c>
      <c r="AF44" s="6">
        <f t="shared" si="28"/>
        <v>0</v>
      </c>
      <c r="AH44" s="6" t="str">
        <f t="shared" si="29"/>
        <v>Master Controller- FEED</v>
      </c>
      <c r="AI44" s="6" t="str" cm="1">
        <f t="array" ref="AI44">_xlfn.IFNA(INDEX('1.0 Data'!$Q$9:$Q$66,MATCH($AH44,'1.0 Data'!$P$9:$P$66,0),0),"")</f>
        <v>2023/24</v>
      </c>
      <c r="AJ44" s="6" t="str" cm="1">
        <f t="array" ref="AJ44">_xlfn.IFNA(INDEX('1.0 Data'!S$9:S$66,MATCH($AH44,'1.0 Data'!$P$9:$P$66,0),0),"")</f>
        <v>Asset Monitoring</v>
      </c>
      <c r="AK44" s="6" t="str" cm="1">
        <f t="array" ref="AK44">_xlfn.IFNA(INDEX('1.0 Data'!T$9:T$66,MATCH($AH44,'1.0 Data'!$P$9:$P$66,0),0),"")</f>
        <v>Transmission Assets</v>
      </c>
      <c r="AL44" s="65">
        <f t="shared" si="30"/>
        <v>0</v>
      </c>
      <c r="AM44" s="65">
        <f t="shared" si="31"/>
        <v>0</v>
      </c>
      <c r="AN44" s="65">
        <f t="shared" si="32"/>
        <v>0</v>
      </c>
      <c r="AO44" s="65">
        <f t="shared" si="33"/>
        <v>0</v>
      </c>
      <c r="AP44" s="65">
        <f t="shared" si="34"/>
        <v>132000</v>
      </c>
      <c r="AQ44" s="45">
        <f t="shared" si="35"/>
        <v>132000</v>
      </c>
      <c r="AS44" s="71">
        <f t="shared" si="36"/>
        <v>0</v>
      </c>
    </row>
    <row r="45" spans="1:45" ht="16.5" thickTop="1" thickBot="1">
      <c r="A45" s="43" t="str">
        <f>'1.0 Data'!P45</f>
        <v>Mid-Life Criticality Assessment</v>
      </c>
      <c r="B45" s="67" cm="1">
        <f t="array" ref="B45">_xlfn.IFNA(INDEX('1.0 Data'!$AB$9:$AB$66,MATCH($A45,'1.0 Data'!$P$9:$P$66,0),0),0)</f>
        <v>0</v>
      </c>
      <c r="C45" s="69" cm="1">
        <f t="array" ref="C45">_xlfn.IFNA(INDEX('1.0 Data'!V$9:V$66,MATCH($A45,'1.0 Data'!$P$9:$P$66,0),0),0)</f>
        <v>0</v>
      </c>
      <c r="D45" s="69" cm="1">
        <f t="array" ref="D45">_xlfn.IFNA(INDEX('1.0 Data'!W$9:W$66,MATCH($A45,'1.0 Data'!$P$9:$P$66,0),0),0)</f>
        <v>0</v>
      </c>
      <c r="E45" s="69" cm="1">
        <f t="array" ref="E45">_xlfn.IFNA(INDEX('1.0 Data'!X$9:X$66,MATCH($A45,'1.0 Data'!$P$9:$P$66,0),0),0)</f>
        <v>0</v>
      </c>
      <c r="F45" s="69" cm="1">
        <f t="array" ref="F45">_xlfn.IFNA(INDEX('1.0 Data'!Y$9:Y$66,MATCH($A45,'1.0 Data'!$P$9:$P$66,0),0),0)</f>
        <v>0</v>
      </c>
      <c r="G45" s="69" cm="1">
        <f t="array" ref="G45">_xlfn.IFNA(INDEX('1.0 Data'!Z$9:Z$66,MATCH($A45,'1.0 Data'!$P$9:$P$66,0),0),0)</f>
        <v>0</v>
      </c>
      <c r="H45" s="45">
        <f t="shared" si="12"/>
        <v>0</v>
      </c>
      <c r="J45" s="6" t="str">
        <f t="shared" si="13"/>
        <v>Mid-Life Criticality Assessment</v>
      </c>
      <c r="K45" s="6">
        <f t="shared" si="14"/>
        <v>0</v>
      </c>
      <c r="L45" s="6">
        <f t="shared" si="15"/>
        <v>0</v>
      </c>
      <c r="M45" s="6">
        <f t="shared" si="16"/>
        <v>0</v>
      </c>
      <c r="N45" s="6">
        <f t="shared" si="17"/>
        <v>0</v>
      </c>
      <c r="O45" s="6">
        <f t="shared" si="18"/>
        <v>0</v>
      </c>
      <c r="P45" s="6">
        <f t="shared" si="19"/>
        <v>0</v>
      </c>
      <c r="R45" s="6" t="str">
        <f t="shared" si="20"/>
        <v>Mid-Life Criticality Assessment</v>
      </c>
      <c r="S45" s="65">
        <f t="shared" si="21"/>
        <v>0</v>
      </c>
      <c r="T45" s="65">
        <f t="shared" si="22"/>
        <v>0</v>
      </c>
      <c r="U45" s="65">
        <f t="shared" si="23"/>
        <v>0</v>
      </c>
      <c r="V45" s="65">
        <f t="shared" si="24"/>
        <v>0</v>
      </c>
      <c r="W45" s="65">
        <f t="shared" si="25"/>
        <v>0</v>
      </c>
      <c r="X45" s="65">
        <f t="shared" si="26"/>
        <v>0</v>
      </c>
      <c r="Z45" s="6" t="str">
        <f t="shared" si="27"/>
        <v>Mid-Life Criticality Assessment</v>
      </c>
      <c r="AA45" s="6">
        <f>K45*'1.1 Input'!J$30</f>
        <v>0</v>
      </c>
      <c r="AB45" s="6">
        <f>L45*'1.1 Input'!K$30</f>
        <v>0</v>
      </c>
      <c r="AC45" s="6">
        <f>M45*'1.1 Input'!L$30</f>
        <v>0</v>
      </c>
      <c r="AD45" s="6">
        <f>N45*'1.1 Input'!M$30</f>
        <v>0</v>
      </c>
      <c r="AE45" s="6">
        <f>O45*'1.1 Input'!N$30</f>
        <v>0</v>
      </c>
      <c r="AF45" s="6">
        <f t="shared" si="28"/>
        <v>0</v>
      </c>
      <c r="AH45" s="6" t="str">
        <f t="shared" si="29"/>
        <v>Mid-Life Criticality Assessment</v>
      </c>
      <c r="AI45" s="6" t="str" cm="1">
        <f t="array" ref="AI45">_xlfn.IFNA(INDEX('1.0 Data'!$Q$9:$Q$66,MATCH($AH45,'1.0 Data'!$P$9:$P$66,0),0),"")</f>
        <v>2023/24</v>
      </c>
      <c r="AJ45" s="6" t="str" cm="1">
        <f t="array" ref="AJ45">_xlfn.IFNA(INDEX('1.0 Data'!S$9:S$66,MATCH($AH45,'1.0 Data'!$P$9:$P$66,0),0),"")</f>
        <v>Asset Monitoring</v>
      </c>
      <c r="AK45" s="6" t="str" cm="1">
        <f t="array" ref="AK45">_xlfn.IFNA(INDEX('1.0 Data'!T$9:T$66,MATCH($AH45,'1.0 Data'!$P$9:$P$66,0),0),"")</f>
        <v>Transmission Assets</v>
      </c>
      <c r="AL45" s="65">
        <f t="shared" si="30"/>
        <v>0</v>
      </c>
      <c r="AM45" s="65">
        <f t="shared" si="31"/>
        <v>0</v>
      </c>
      <c r="AN45" s="65">
        <f t="shared" si="32"/>
        <v>0</v>
      </c>
      <c r="AO45" s="65">
        <f t="shared" si="33"/>
        <v>0</v>
      </c>
      <c r="AP45" s="65">
        <f t="shared" si="34"/>
        <v>0</v>
      </c>
      <c r="AQ45" s="45">
        <f t="shared" si="35"/>
        <v>0</v>
      </c>
      <c r="AS45" s="71">
        <f t="shared" si="36"/>
        <v>0</v>
      </c>
    </row>
    <row r="46" spans="1:45" ht="16.5" thickTop="1" thickBot="1">
      <c r="A46" s="43" t="str">
        <f>'1.0 Data'!P46</f>
        <v>Network Cable Testing Equipment</v>
      </c>
      <c r="B46" s="67" cm="1">
        <f t="array" ref="B46">_xlfn.IFNA(INDEX('1.0 Data'!$AB$9:$AB$66,MATCH($A46,'1.0 Data'!$P$9:$P$66,0),0),0)</f>
        <v>0</v>
      </c>
      <c r="C46" s="69" cm="1">
        <f t="array" ref="C46">_xlfn.IFNA(INDEX('1.0 Data'!V$9:V$66,MATCH($A46,'1.0 Data'!$P$9:$P$66,0),0),0)</f>
        <v>0</v>
      </c>
      <c r="D46" s="69" cm="1">
        <f t="array" ref="D46">_xlfn.IFNA(INDEX('1.0 Data'!W$9:W$66,MATCH($A46,'1.0 Data'!$P$9:$P$66,0),0),0)</f>
        <v>0</v>
      </c>
      <c r="E46" s="69" cm="1">
        <f t="array" ref="E46">_xlfn.IFNA(INDEX('1.0 Data'!X$9:X$66,MATCH($A46,'1.0 Data'!$P$9:$P$66,0),0),0)</f>
        <v>0</v>
      </c>
      <c r="F46" s="69" cm="1">
        <f t="array" ref="F46">_xlfn.IFNA(INDEX('1.0 Data'!Y$9:Y$66,MATCH($A46,'1.0 Data'!$P$9:$P$66,0),0),0)</f>
        <v>0</v>
      </c>
      <c r="G46" s="69" cm="1">
        <f t="array" ref="G46">_xlfn.IFNA(INDEX('1.0 Data'!Z$9:Z$66,MATCH($A46,'1.0 Data'!$P$9:$P$66,0),0),0)</f>
        <v>0</v>
      </c>
      <c r="H46" s="45">
        <f t="shared" si="12"/>
        <v>0</v>
      </c>
      <c r="J46" s="6" t="str">
        <f t="shared" si="13"/>
        <v>Network Cable Testing Equipment</v>
      </c>
      <c r="K46" s="6">
        <f t="shared" si="14"/>
        <v>0</v>
      </c>
      <c r="L46" s="6">
        <f t="shared" si="15"/>
        <v>0</v>
      </c>
      <c r="M46" s="6">
        <f t="shared" si="16"/>
        <v>0</v>
      </c>
      <c r="N46" s="6">
        <f t="shared" si="17"/>
        <v>0</v>
      </c>
      <c r="O46" s="6">
        <f t="shared" si="18"/>
        <v>0</v>
      </c>
      <c r="P46" s="6">
        <f t="shared" si="19"/>
        <v>0</v>
      </c>
      <c r="R46" s="6" t="str">
        <f t="shared" si="20"/>
        <v>Network Cable Testing Equipment</v>
      </c>
      <c r="S46" s="65">
        <f t="shared" si="21"/>
        <v>0</v>
      </c>
      <c r="T46" s="65">
        <f t="shared" si="22"/>
        <v>0</v>
      </c>
      <c r="U46" s="65">
        <f t="shared" si="23"/>
        <v>0</v>
      </c>
      <c r="V46" s="65">
        <f t="shared" si="24"/>
        <v>0</v>
      </c>
      <c r="W46" s="65">
        <f t="shared" si="25"/>
        <v>0</v>
      </c>
      <c r="X46" s="65">
        <f t="shared" si="26"/>
        <v>0</v>
      </c>
      <c r="Z46" s="6" t="str">
        <f t="shared" si="27"/>
        <v>Network Cable Testing Equipment</v>
      </c>
      <c r="AA46" s="6">
        <f>K46*'1.1 Input'!J$30</f>
        <v>0</v>
      </c>
      <c r="AB46" s="6">
        <f>L46*'1.1 Input'!K$30</f>
        <v>0</v>
      </c>
      <c r="AC46" s="6">
        <f>M46*'1.1 Input'!L$30</f>
        <v>0</v>
      </c>
      <c r="AD46" s="6">
        <f>N46*'1.1 Input'!M$30</f>
        <v>0</v>
      </c>
      <c r="AE46" s="6">
        <f>O46*'1.1 Input'!N$30</f>
        <v>0</v>
      </c>
      <c r="AF46" s="6">
        <f t="shared" si="28"/>
        <v>0</v>
      </c>
      <c r="AH46" s="6" t="str">
        <f t="shared" si="29"/>
        <v>Network Cable Testing Equipment</v>
      </c>
      <c r="AI46" s="6" t="str" cm="1">
        <f t="array" ref="AI46">_xlfn.IFNA(INDEX('1.0 Data'!$Q$9:$Q$66,MATCH($AH46,'1.0 Data'!$P$9:$P$66,0),0),"")</f>
        <v>2023/24</v>
      </c>
      <c r="AJ46" s="6" t="str" cm="1">
        <f t="array" ref="AJ46">_xlfn.IFNA(INDEX('1.0 Data'!S$9:S$66,MATCH($AH46,'1.0 Data'!$P$9:$P$66,0),0),"")</f>
        <v>Asset Monitoring</v>
      </c>
      <c r="AK46" s="6" t="str" cm="1">
        <f t="array" ref="AK46">_xlfn.IFNA(INDEX('1.0 Data'!T$9:T$66,MATCH($AH46,'1.0 Data'!$P$9:$P$66,0),0),"")</f>
        <v>Transmission Assets</v>
      </c>
      <c r="AL46" s="65">
        <f t="shared" si="30"/>
        <v>0</v>
      </c>
      <c r="AM46" s="65">
        <f t="shared" si="31"/>
        <v>0</v>
      </c>
      <c r="AN46" s="65">
        <f t="shared" si="32"/>
        <v>0</v>
      </c>
      <c r="AO46" s="65">
        <f t="shared" si="33"/>
        <v>0</v>
      </c>
      <c r="AP46" s="65">
        <f t="shared" si="34"/>
        <v>0</v>
      </c>
      <c r="AQ46" s="45">
        <f t="shared" si="35"/>
        <v>0</v>
      </c>
      <c r="AS46" s="71">
        <f t="shared" si="36"/>
        <v>0</v>
      </c>
    </row>
    <row r="47" spans="1:45" ht="16.5" thickTop="1" thickBot="1">
      <c r="A47" s="43" t="str">
        <f>'1.0 Data'!P47</f>
        <v>On-going Major Capital Maintenance</v>
      </c>
      <c r="B47" s="67" cm="1">
        <f t="array" ref="B47">_xlfn.IFNA(INDEX('1.0 Data'!$AB$9:$AB$66,MATCH($A47,'1.0 Data'!$P$9:$P$66,0),0),0)</f>
        <v>0</v>
      </c>
      <c r="C47" s="69" cm="1">
        <f t="array" ref="C47">_xlfn.IFNA(INDEX('1.0 Data'!V$9:V$66,MATCH($A47,'1.0 Data'!$P$9:$P$66,0),0),0)</f>
        <v>165000</v>
      </c>
      <c r="D47" s="69" cm="1">
        <f t="array" ref="D47">_xlfn.IFNA(INDEX('1.0 Data'!W$9:W$66,MATCH($A47,'1.0 Data'!$P$9:$P$66,0),0),0)</f>
        <v>165000</v>
      </c>
      <c r="E47" s="69" cm="1">
        <f t="array" ref="E47">_xlfn.IFNA(INDEX('1.0 Data'!X$9:X$66,MATCH($A47,'1.0 Data'!$P$9:$P$66,0),0),0)</f>
        <v>165000</v>
      </c>
      <c r="F47" s="69" cm="1">
        <f t="array" ref="F47">_xlfn.IFNA(INDEX('1.0 Data'!Y$9:Y$66,MATCH($A47,'1.0 Data'!$P$9:$P$66,0),0),0)</f>
        <v>165000</v>
      </c>
      <c r="G47" s="69" cm="1">
        <f t="array" ref="G47">_xlfn.IFNA(INDEX('1.0 Data'!Z$9:Z$66,MATCH($A47,'1.0 Data'!$P$9:$P$66,0),0),0)</f>
        <v>165000</v>
      </c>
      <c r="H47" s="45">
        <f t="shared" si="12"/>
        <v>825000</v>
      </c>
      <c r="J47" s="6" t="str">
        <f t="shared" si="13"/>
        <v>On-going Major Capital Maintenance</v>
      </c>
      <c r="K47" s="6">
        <f t="shared" si="14"/>
        <v>0</v>
      </c>
      <c r="L47" s="6">
        <f t="shared" si="15"/>
        <v>0</v>
      </c>
      <c r="M47" s="6">
        <f t="shared" si="16"/>
        <v>0</v>
      </c>
      <c r="N47" s="6">
        <f t="shared" si="17"/>
        <v>0</v>
      </c>
      <c r="O47" s="6">
        <f t="shared" si="18"/>
        <v>0</v>
      </c>
      <c r="P47" s="6">
        <f t="shared" si="19"/>
        <v>0</v>
      </c>
      <c r="R47" s="6" t="str">
        <f t="shared" si="20"/>
        <v>On-going Major Capital Maintenance</v>
      </c>
      <c r="S47" s="65">
        <f t="shared" si="21"/>
        <v>165000</v>
      </c>
      <c r="T47" s="65">
        <f t="shared" si="22"/>
        <v>165000</v>
      </c>
      <c r="U47" s="65">
        <f t="shared" si="23"/>
        <v>165000</v>
      </c>
      <c r="V47" s="65">
        <f t="shared" si="24"/>
        <v>165000</v>
      </c>
      <c r="W47" s="65">
        <f t="shared" si="25"/>
        <v>165000</v>
      </c>
      <c r="X47" s="65">
        <f t="shared" si="26"/>
        <v>825000</v>
      </c>
      <c r="Z47" s="6" t="str">
        <f t="shared" si="27"/>
        <v>On-going Major Capital Maintenance</v>
      </c>
      <c r="AA47" s="6">
        <f>K47*'1.1 Input'!J$30</f>
        <v>0</v>
      </c>
      <c r="AB47" s="6">
        <f>L47*'1.1 Input'!K$30</f>
        <v>0</v>
      </c>
      <c r="AC47" s="6">
        <f>M47*'1.1 Input'!L$30</f>
        <v>0</v>
      </c>
      <c r="AD47" s="6">
        <f>N47*'1.1 Input'!M$30</f>
        <v>0</v>
      </c>
      <c r="AE47" s="6">
        <f>O47*'1.1 Input'!N$30</f>
        <v>0</v>
      </c>
      <c r="AF47" s="6">
        <f t="shared" si="28"/>
        <v>0</v>
      </c>
      <c r="AH47" s="6" t="str">
        <f t="shared" si="29"/>
        <v>On-going Major Capital Maintenance</v>
      </c>
      <c r="AI47" s="6" t="str" cm="1">
        <f t="array" ref="AI47">_xlfn.IFNA(INDEX('1.0 Data'!$Q$9:$Q$66,MATCH($AH47,'1.0 Data'!$P$9:$P$66,0),0),"")</f>
        <v>2023/24</v>
      </c>
      <c r="AJ47" s="6" t="str" cm="1">
        <f t="array" ref="AJ47">_xlfn.IFNA(INDEX('1.0 Data'!S$9:S$66,MATCH($AH47,'1.0 Data'!$P$9:$P$66,0),0),"")</f>
        <v>Major Maintenance</v>
      </c>
      <c r="AK47" s="6" t="str" cm="1">
        <f t="array" ref="AK47">_xlfn.IFNA(INDEX('1.0 Data'!T$9:T$66,MATCH($AH47,'1.0 Data'!$P$9:$P$66,0),0),"")</f>
        <v>Transmission Assets</v>
      </c>
      <c r="AL47" s="65">
        <f t="shared" si="30"/>
        <v>165000</v>
      </c>
      <c r="AM47" s="65">
        <f t="shared" si="31"/>
        <v>165000</v>
      </c>
      <c r="AN47" s="65">
        <f t="shared" si="32"/>
        <v>165000</v>
      </c>
      <c r="AO47" s="65">
        <f t="shared" si="33"/>
        <v>165000</v>
      </c>
      <c r="AP47" s="65">
        <f t="shared" si="34"/>
        <v>165000</v>
      </c>
      <c r="AQ47" s="45">
        <f t="shared" si="35"/>
        <v>825000</v>
      </c>
      <c r="AS47" s="71">
        <f t="shared" si="36"/>
        <v>0</v>
      </c>
    </row>
    <row r="48" spans="1:45" ht="16.5" thickTop="1" thickBot="1">
      <c r="A48" s="43" t="str">
        <f>'1.0 Data'!P48</f>
        <v>Operations Asset Integration</v>
      </c>
      <c r="B48" s="67" cm="1">
        <f t="array" ref="B48">_xlfn.IFNA(INDEX('1.0 Data'!$AB$9:$AB$66,MATCH($A48,'1.0 Data'!$P$9:$P$66,0),0),0)</f>
        <v>0</v>
      </c>
      <c r="C48" s="69" cm="1">
        <f t="array" ref="C48">_xlfn.IFNA(INDEX('1.0 Data'!V$9:V$66,MATCH($A48,'1.0 Data'!$P$9:$P$66,0),0),0)</f>
        <v>89760</v>
      </c>
      <c r="D48" s="69" cm="1">
        <f t="array" ref="D48">_xlfn.IFNA(INDEX('1.0 Data'!W$9:W$66,MATCH($A48,'1.0 Data'!$P$9:$P$66,0),0),0)</f>
        <v>89760</v>
      </c>
      <c r="E48" s="69" cm="1">
        <f t="array" ref="E48">_xlfn.IFNA(INDEX('1.0 Data'!X$9:X$66,MATCH($A48,'1.0 Data'!$P$9:$P$66,0),0),0)</f>
        <v>89760</v>
      </c>
      <c r="F48" s="69" cm="1">
        <f t="array" ref="F48">_xlfn.IFNA(INDEX('1.0 Data'!Y$9:Y$66,MATCH($A48,'1.0 Data'!$P$9:$P$66,0),0),0)</f>
        <v>89760</v>
      </c>
      <c r="G48" s="69" cm="1">
        <f t="array" ref="G48">_xlfn.IFNA(INDEX('1.0 Data'!Z$9:Z$66,MATCH($A48,'1.0 Data'!$P$9:$P$66,0),0),0)</f>
        <v>0</v>
      </c>
      <c r="H48" s="45">
        <f t="shared" si="12"/>
        <v>359040</v>
      </c>
      <c r="J48" s="6" t="str">
        <f t="shared" si="13"/>
        <v>Operations Asset Integration</v>
      </c>
      <c r="K48" s="6">
        <f t="shared" si="14"/>
        <v>0</v>
      </c>
      <c r="L48" s="6">
        <f t="shared" si="15"/>
        <v>0</v>
      </c>
      <c r="M48" s="6">
        <f t="shared" si="16"/>
        <v>0</v>
      </c>
      <c r="N48" s="6">
        <f t="shared" si="17"/>
        <v>0</v>
      </c>
      <c r="O48" s="6">
        <f t="shared" si="18"/>
        <v>0</v>
      </c>
      <c r="P48" s="6">
        <f t="shared" si="19"/>
        <v>0</v>
      </c>
      <c r="R48" s="6" t="str">
        <f t="shared" si="20"/>
        <v>Operations Asset Integration</v>
      </c>
      <c r="S48" s="65">
        <f t="shared" si="21"/>
        <v>89760</v>
      </c>
      <c r="T48" s="65">
        <f t="shared" si="22"/>
        <v>89760</v>
      </c>
      <c r="U48" s="65">
        <f t="shared" si="23"/>
        <v>89760</v>
      </c>
      <c r="V48" s="65">
        <f t="shared" si="24"/>
        <v>89760</v>
      </c>
      <c r="W48" s="65">
        <f t="shared" si="25"/>
        <v>0</v>
      </c>
      <c r="X48" s="65">
        <f t="shared" si="26"/>
        <v>359040</v>
      </c>
      <c r="Z48" s="6" t="str">
        <f t="shared" si="27"/>
        <v>Operations Asset Integration</v>
      </c>
      <c r="AA48" s="6">
        <f>K48*'1.1 Input'!J$30</f>
        <v>0</v>
      </c>
      <c r="AB48" s="6">
        <f>L48*'1.1 Input'!K$30</f>
        <v>0</v>
      </c>
      <c r="AC48" s="6">
        <f>M48*'1.1 Input'!L$30</f>
        <v>0</v>
      </c>
      <c r="AD48" s="6">
        <f>N48*'1.1 Input'!M$30</f>
        <v>0</v>
      </c>
      <c r="AE48" s="6">
        <f>O48*'1.1 Input'!N$30</f>
        <v>0</v>
      </c>
      <c r="AF48" s="6">
        <f t="shared" si="28"/>
        <v>0</v>
      </c>
      <c r="AH48" s="6" t="str">
        <f t="shared" si="29"/>
        <v>Operations Asset Integration</v>
      </c>
      <c r="AI48" s="6" t="str" cm="1">
        <f t="array" ref="AI48">_xlfn.IFNA(INDEX('1.0 Data'!$Q$9:$Q$66,MATCH($AH48,'1.0 Data'!$P$9:$P$66,0),0),"")</f>
        <v>2023/24</v>
      </c>
      <c r="AJ48" s="6" t="str" cm="1">
        <f t="array" ref="AJ48">_xlfn.IFNA(INDEX('1.0 Data'!S$9:S$66,MATCH($AH48,'1.0 Data'!$P$9:$P$66,0),0),"")</f>
        <v>Asset Monitoring</v>
      </c>
      <c r="AK48" s="6" t="str" cm="1">
        <f t="array" ref="AK48">_xlfn.IFNA(INDEX('1.0 Data'!T$9:T$66,MATCH($AH48,'1.0 Data'!$P$9:$P$66,0),0),"")</f>
        <v>Transmission Assets</v>
      </c>
      <c r="AL48" s="65">
        <f t="shared" si="30"/>
        <v>89760</v>
      </c>
      <c r="AM48" s="65">
        <f t="shared" si="31"/>
        <v>89760</v>
      </c>
      <c r="AN48" s="65">
        <f t="shared" si="32"/>
        <v>89760</v>
      </c>
      <c r="AO48" s="65">
        <f t="shared" si="33"/>
        <v>89760</v>
      </c>
      <c r="AP48" s="65">
        <f t="shared" si="34"/>
        <v>0</v>
      </c>
      <c r="AQ48" s="45">
        <f t="shared" si="35"/>
        <v>359040</v>
      </c>
      <c r="AS48" s="71">
        <f t="shared" si="36"/>
        <v>0</v>
      </c>
    </row>
    <row r="49" spans="1:45" ht="16.5" thickTop="1" thickBot="1">
      <c r="A49" s="43" t="str">
        <f>'1.0 Data'!P49</f>
        <v>Physical Site Security and Public Protection - Bangalora</v>
      </c>
      <c r="B49" s="67" cm="1">
        <f t="array" ref="B49">_xlfn.IFNA(INDEX('1.0 Data'!$AB$9:$AB$66,MATCH($A49,'1.0 Data'!$P$9:$P$66,0),0),0)</f>
        <v>0.65015384974088641</v>
      </c>
      <c r="C49" s="69" cm="1">
        <f t="array" ref="C49">_xlfn.IFNA(INDEX('1.0 Data'!V$9:V$66,MATCH($A49,'1.0 Data'!$P$9:$P$66,0),0),0)</f>
        <v>609420.53333333333</v>
      </c>
      <c r="D49" s="69" cm="1">
        <f t="array" ref="D49">_xlfn.IFNA(INDEX('1.0 Data'!W$9:W$66,MATCH($A49,'1.0 Data'!$P$9:$P$66,0),0),0)</f>
        <v>367552.53333333338</v>
      </c>
      <c r="E49" s="69" cm="1">
        <f t="array" ref="E49">_xlfn.IFNA(INDEX('1.0 Data'!X$9:X$66,MATCH($A49,'1.0 Data'!$P$9:$P$66,0),0),0)</f>
        <v>57090.000000000007</v>
      </c>
      <c r="F49" s="69" cm="1">
        <f t="array" ref="F49">_xlfn.IFNA(INDEX('1.0 Data'!Y$9:Y$66,MATCH($A49,'1.0 Data'!$P$9:$P$66,0),0),0)</f>
        <v>0</v>
      </c>
      <c r="G49" s="69" cm="1">
        <f t="array" ref="G49">_xlfn.IFNA(INDEX('1.0 Data'!Z$9:Z$66,MATCH($A49,'1.0 Data'!$P$9:$P$66,0),0),0)</f>
        <v>0</v>
      </c>
      <c r="H49" s="45">
        <f t="shared" si="12"/>
        <v>1034063.0666666667</v>
      </c>
      <c r="J49" s="6" t="str">
        <f t="shared" si="13"/>
        <v>Physical Site Security and Public Protection - Bangalora</v>
      </c>
      <c r="K49" s="6">
        <f t="shared" si="14"/>
        <v>396217.10585781088</v>
      </c>
      <c r="L49" s="6">
        <f t="shared" si="15"/>
        <v>238965.69452868219</v>
      </c>
      <c r="M49" s="6">
        <f t="shared" si="16"/>
        <v>37117.283281707212</v>
      </c>
      <c r="N49" s="6">
        <f t="shared" si="17"/>
        <v>0</v>
      </c>
      <c r="O49" s="6">
        <f t="shared" si="18"/>
        <v>0</v>
      </c>
      <c r="P49" s="6">
        <f t="shared" si="19"/>
        <v>672300.0836682003</v>
      </c>
      <c r="R49" s="6" t="str">
        <f t="shared" si="20"/>
        <v>Physical Site Security and Public Protection - Bangalora</v>
      </c>
      <c r="S49" s="65">
        <f t="shared" si="21"/>
        <v>213203.42747552248</v>
      </c>
      <c r="T49" s="65">
        <f t="shared" si="22"/>
        <v>128586.83880465121</v>
      </c>
      <c r="U49" s="65">
        <f t="shared" si="23"/>
        <v>19972.716718292799</v>
      </c>
      <c r="V49" s="65">
        <f t="shared" si="24"/>
        <v>0</v>
      </c>
      <c r="W49" s="65">
        <f t="shared" si="25"/>
        <v>0</v>
      </c>
      <c r="X49" s="65">
        <f t="shared" si="26"/>
        <v>361762.98299846647</v>
      </c>
      <c r="Z49" s="6" t="str">
        <f t="shared" si="27"/>
        <v>Physical Site Security and Public Protection - Bangalora</v>
      </c>
      <c r="AA49" s="6">
        <f>K49*'1.1 Input'!J$30</f>
        <v>405117.3155466126</v>
      </c>
      <c r="AB49" s="6">
        <f>L49*'1.1 Input'!K$30</f>
        <v>246995.89627387401</v>
      </c>
      <c r="AC49" s="6">
        <f>M49*'1.1 Input'!L$30</f>
        <v>38710.482365436394</v>
      </c>
      <c r="AD49" s="6">
        <f>N49*'1.1 Input'!M$30</f>
        <v>0</v>
      </c>
      <c r="AE49" s="6">
        <f>O49*'1.1 Input'!N$30</f>
        <v>0</v>
      </c>
      <c r="AF49" s="6">
        <f t="shared" si="28"/>
        <v>690823.69418592297</v>
      </c>
      <c r="AH49" s="6" t="str">
        <f t="shared" si="29"/>
        <v>Physical Site Security and Public Protection - Bangalora</v>
      </c>
      <c r="AI49" s="6" t="str" cm="1">
        <f t="array" ref="AI49">_xlfn.IFNA(INDEX('1.0 Data'!$Q$9:$Q$66,MATCH($AH49,'1.0 Data'!$P$9:$P$66,0),0),"")</f>
        <v>2023/24</v>
      </c>
      <c r="AJ49" s="6" t="str" cm="1">
        <f t="array" ref="AJ49">_xlfn.IFNA(INDEX('1.0 Data'!S$9:S$66,MATCH($AH49,'1.0 Data'!$P$9:$P$66,0),0),"")</f>
        <v>Safety and Protection</v>
      </c>
      <c r="AK49" s="6" t="str" cm="1">
        <f t="array" ref="AK49">_xlfn.IFNA(INDEX('1.0 Data'!T$9:T$66,MATCH($AH49,'1.0 Data'!$P$9:$P$66,0),0),"")</f>
        <v>Buildings</v>
      </c>
      <c r="AL49" s="65">
        <f t="shared" si="30"/>
        <v>618320.74302213511</v>
      </c>
      <c r="AM49" s="65">
        <f t="shared" si="31"/>
        <v>375582.73507852521</v>
      </c>
      <c r="AN49" s="65">
        <f t="shared" si="32"/>
        <v>58683.199083729196</v>
      </c>
      <c r="AO49" s="65">
        <f t="shared" si="33"/>
        <v>0</v>
      </c>
      <c r="AP49" s="65">
        <f t="shared" si="34"/>
        <v>0</v>
      </c>
      <c r="AQ49" s="45">
        <f t="shared" si="35"/>
        <v>1052586.6771843894</v>
      </c>
      <c r="AS49" s="71">
        <f t="shared" si="36"/>
        <v>0</v>
      </c>
    </row>
    <row r="50" spans="1:45" ht="16.5" thickTop="1" thickBot="1">
      <c r="A50" s="43" t="str">
        <f>'1.0 Data'!P50</f>
        <v>Physical Site Security and Public Protection - Mullumbimby</v>
      </c>
      <c r="B50" s="67" cm="1">
        <f t="array" ref="B50">_xlfn.IFNA(INDEX('1.0 Data'!$AB$9:$AB$66,MATCH($A50,'1.0 Data'!$P$9:$P$66,0),0),0)</f>
        <v>0.45768024711626842</v>
      </c>
      <c r="C50" s="69" cm="1">
        <f t="array" ref="C50">_xlfn.IFNA(INDEX('1.0 Data'!V$9:V$66,MATCH($A50,'1.0 Data'!$P$9:$P$66,0),0),0)</f>
        <v>1423716.8</v>
      </c>
      <c r="D50" s="69" cm="1">
        <f t="array" ref="D50">_xlfn.IFNA(INDEX('1.0 Data'!W$9:W$66,MATCH($A50,'1.0 Data'!$P$9:$P$66,0),0),0)</f>
        <v>670172.80000000005</v>
      </c>
      <c r="E50" s="69" cm="1">
        <f t="array" ref="E50">_xlfn.IFNA(INDEX('1.0 Data'!X$9:X$66,MATCH($A50,'1.0 Data'!$P$9:$P$66,0),0),0)</f>
        <v>0</v>
      </c>
      <c r="F50" s="69" cm="1">
        <f t="array" ref="F50">_xlfn.IFNA(INDEX('1.0 Data'!Y$9:Y$66,MATCH($A50,'1.0 Data'!$P$9:$P$66,0),0),0)</f>
        <v>0</v>
      </c>
      <c r="G50" s="69" cm="1">
        <f t="array" ref="G50">_xlfn.IFNA(INDEX('1.0 Data'!Z$9:Z$66,MATCH($A50,'1.0 Data'!$P$9:$P$66,0),0),0)</f>
        <v>0</v>
      </c>
      <c r="H50" s="45">
        <f t="shared" si="12"/>
        <v>2093889.6</v>
      </c>
      <c r="J50" s="6" t="str">
        <f t="shared" si="13"/>
        <v>Physical Site Security and Public Protection - Mullumbimby</v>
      </c>
      <c r="K50" s="6">
        <f t="shared" si="14"/>
        <v>651607.05684758292</v>
      </c>
      <c r="L50" s="6">
        <f t="shared" si="15"/>
        <v>306724.85271460155</v>
      </c>
      <c r="M50" s="6">
        <f t="shared" si="16"/>
        <v>0</v>
      </c>
      <c r="N50" s="6">
        <f t="shared" si="17"/>
        <v>0</v>
      </c>
      <c r="O50" s="6">
        <f t="shared" si="18"/>
        <v>0</v>
      </c>
      <c r="P50" s="6">
        <f t="shared" si="19"/>
        <v>958331.90956218448</v>
      </c>
      <c r="R50" s="6" t="str">
        <f t="shared" si="20"/>
        <v>Physical Site Security and Public Protection - Mullumbimby</v>
      </c>
      <c r="S50" s="65">
        <f t="shared" si="21"/>
        <v>772109.74315241713</v>
      </c>
      <c r="T50" s="65">
        <f t="shared" si="22"/>
        <v>363447.94728539849</v>
      </c>
      <c r="U50" s="65">
        <f t="shared" si="23"/>
        <v>0</v>
      </c>
      <c r="V50" s="65">
        <f t="shared" si="24"/>
        <v>0</v>
      </c>
      <c r="W50" s="65">
        <f t="shared" si="25"/>
        <v>0</v>
      </c>
      <c r="X50" s="65">
        <f t="shared" si="26"/>
        <v>1135557.6904378156</v>
      </c>
      <c r="Z50" s="6" t="str">
        <f t="shared" si="27"/>
        <v>Physical Site Security and Public Protection - Mullumbimby</v>
      </c>
      <c r="AA50" s="6">
        <f>K50*'1.1 Input'!J$30</f>
        <v>666244.08123372251</v>
      </c>
      <c r="AB50" s="6">
        <f>L50*'1.1 Input'!K$30</f>
        <v>317032.03279925953</v>
      </c>
      <c r="AC50" s="6">
        <f>M50*'1.1 Input'!L$30</f>
        <v>0</v>
      </c>
      <c r="AD50" s="6">
        <f>N50*'1.1 Input'!M$30</f>
        <v>0</v>
      </c>
      <c r="AE50" s="6">
        <f>O50*'1.1 Input'!N$30</f>
        <v>0</v>
      </c>
      <c r="AF50" s="6">
        <f t="shared" si="28"/>
        <v>983276.11403298203</v>
      </c>
      <c r="AH50" s="6" t="str">
        <f t="shared" si="29"/>
        <v>Physical Site Security and Public Protection - Mullumbimby</v>
      </c>
      <c r="AI50" s="6" t="str" cm="1">
        <f t="array" ref="AI50">_xlfn.IFNA(INDEX('1.0 Data'!$Q$9:$Q$66,MATCH($AH50,'1.0 Data'!$P$9:$P$66,0),0),"")</f>
        <v>2023/24</v>
      </c>
      <c r="AJ50" s="6" t="str" cm="1">
        <f t="array" ref="AJ50">_xlfn.IFNA(INDEX('1.0 Data'!S$9:S$66,MATCH($AH50,'1.0 Data'!$P$9:$P$66,0),0),"")</f>
        <v>Safety and Protection</v>
      </c>
      <c r="AK50" s="6" t="str" cm="1">
        <f t="array" ref="AK50">_xlfn.IFNA(INDEX('1.0 Data'!T$9:T$66,MATCH($AH50,'1.0 Data'!$P$9:$P$66,0),0),"")</f>
        <v>Buildings</v>
      </c>
      <c r="AL50" s="65">
        <f t="shared" si="30"/>
        <v>1438353.8243861396</v>
      </c>
      <c r="AM50" s="65">
        <f t="shared" si="31"/>
        <v>680479.98008465802</v>
      </c>
      <c r="AN50" s="65">
        <f t="shared" si="32"/>
        <v>0</v>
      </c>
      <c r="AO50" s="65">
        <f t="shared" si="33"/>
        <v>0</v>
      </c>
      <c r="AP50" s="65">
        <f t="shared" si="34"/>
        <v>0</v>
      </c>
      <c r="AQ50" s="45">
        <f t="shared" si="35"/>
        <v>2118833.8044707975</v>
      </c>
      <c r="AS50" s="71">
        <f t="shared" si="36"/>
        <v>0</v>
      </c>
    </row>
    <row r="51" spans="1:45" ht="16.5" thickTop="1" thickBot="1">
      <c r="A51" s="43" t="str">
        <f>'1.0 Data'!P51</f>
        <v>PLC Reactor Filters</v>
      </c>
      <c r="B51" s="67" cm="1">
        <f t="array" ref="B51">_xlfn.IFNA(INDEX('1.0 Data'!$AB$9:$AB$66,MATCH($A51,'1.0 Data'!$P$9:$P$66,0),0),0)</f>
        <v>0</v>
      </c>
      <c r="C51" s="69" cm="1">
        <f t="array" ref="C51">_xlfn.IFNA(INDEX('1.0 Data'!V$9:V$66,MATCH($A51,'1.0 Data'!$P$9:$P$66,0),0),0)</f>
        <v>0</v>
      </c>
      <c r="D51" s="69" cm="1">
        <f t="array" ref="D51">_xlfn.IFNA(INDEX('1.0 Data'!W$9:W$66,MATCH($A51,'1.0 Data'!$P$9:$P$66,0),0),0)</f>
        <v>0</v>
      </c>
      <c r="E51" s="69" cm="1">
        <f t="array" ref="E51">_xlfn.IFNA(INDEX('1.0 Data'!X$9:X$66,MATCH($A51,'1.0 Data'!$P$9:$P$66,0),0),0)</f>
        <v>0</v>
      </c>
      <c r="F51" s="69" cm="1">
        <f t="array" ref="F51">_xlfn.IFNA(INDEX('1.0 Data'!Y$9:Y$66,MATCH($A51,'1.0 Data'!$P$9:$P$66,0),0),0)</f>
        <v>0</v>
      </c>
      <c r="G51" s="69" cm="1">
        <f t="array" ref="G51">_xlfn.IFNA(INDEX('1.0 Data'!Z$9:Z$66,MATCH($A51,'1.0 Data'!$P$9:$P$66,0),0),0)</f>
        <v>0</v>
      </c>
      <c r="H51" s="45">
        <f t="shared" si="12"/>
        <v>0</v>
      </c>
      <c r="J51" s="6" t="str">
        <f t="shared" si="13"/>
        <v>PLC Reactor Filters</v>
      </c>
      <c r="K51" s="6">
        <f t="shared" si="14"/>
        <v>0</v>
      </c>
      <c r="L51" s="6">
        <f t="shared" si="15"/>
        <v>0</v>
      </c>
      <c r="M51" s="6">
        <f t="shared" si="16"/>
        <v>0</v>
      </c>
      <c r="N51" s="6">
        <f t="shared" si="17"/>
        <v>0</v>
      </c>
      <c r="O51" s="6">
        <f t="shared" si="18"/>
        <v>0</v>
      </c>
      <c r="P51" s="6">
        <f t="shared" si="19"/>
        <v>0</v>
      </c>
      <c r="R51" s="6" t="str">
        <f t="shared" si="20"/>
        <v>PLC Reactor Filters</v>
      </c>
      <c r="S51" s="65">
        <f t="shared" si="21"/>
        <v>0</v>
      </c>
      <c r="T51" s="65">
        <f t="shared" si="22"/>
        <v>0</v>
      </c>
      <c r="U51" s="65">
        <f t="shared" si="23"/>
        <v>0</v>
      </c>
      <c r="V51" s="65">
        <f t="shared" si="24"/>
        <v>0</v>
      </c>
      <c r="W51" s="65">
        <f t="shared" si="25"/>
        <v>0</v>
      </c>
      <c r="X51" s="65">
        <f t="shared" si="26"/>
        <v>0</v>
      </c>
      <c r="Z51" s="6" t="str">
        <f t="shared" si="27"/>
        <v>PLC Reactor Filters</v>
      </c>
      <c r="AA51" s="6">
        <f>K51*'1.1 Input'!J$30</f>
        <v>0</v>
      </c>
      <c r="AB51" s="6">
        <f>L51*'1.1 Input'!K$30</f>
        <v>0</v>
      </c>
      <c r="AC51" s="6">
        <f>M51*'1.1 Input'!L$30</f>
        <v>0</v>
      </c>
      <c r="AD51" s="6">
        <f>N51*'1.1 Input'!M$30</f>
        <v>0</v>
      </c>
      <c r="AE51" s="6">
        <f>O51*'1.1 Input'!N$30</f>
        <v>0</v>
      </c>
      <c r="AF51" s="6">
        <f t="shared" si="28"/>
        <v>0</v>
      </c>
      <c r="AH51" s="6" t="str">
        <f t="shared" si="29"/>
        <v>PLC Reactor Filters</v>
      </c>
      <c r="AI51" s="6" t="str" cm="1">
        <f t="array" ref="AI51">_xlfn.IFNA(INDEX('1.0 Data'!$Q$9:$Q$66,MATCH($AH51,'1.0 Data'!$P$9:$P$66,0),0),"")</f>
        <v>2023/24</v>
      </c>
      <c r="AJ51" s="6" t="str" cm="1">
        <f t="array" ref="AJ51">_xlfn.IFNA(INDEX('1.0 Data'!S$9:S$66,MATCH($AH51,'1.0 Data'!$P$9:$P$66,0),0),"")</f>
        <v>Major Maintenance</v>
      </c>
      <c r="AK51" s="6" t="str" cm="1">
        <f t="array" ref="AK51">_xlfn.IFNA(INDEX('1.0 Data'!T$9:T$66,MATCH($AH51,'1.0 Data'!$P$9:$P$66,0),0),"")</f>
        <v>Transmission Assets</v>
      </c>
      <c r="AL51" s="65">
        <f t="shared" si="30"/>
        <v>0</v>
      </c>
      <c r="AM51" s="65">
        <f t="shared" si="31"/>
        <v>0</v>
      </c>
      <c r="AN51" s="65">
        <f t="shared" si="32"/>
        <v>0</v>
      </c>
      <c r="AO51" s="65">
        <f t="shared" si="33"/>
        <v>0</v>
      </c>
      <c r="AP51" s="65">
        <f t="shared" si="34"/>
        <v>0</v>
      </c>
      <c r="AQ51" s="45">
        <f t="shared" si="35"/>
        <v>0</v>
      </c>
      <c r="AS51" s="71">
        <f t="shared" si="36"/>
        <v>0</v>
      </c>
    </row>
    <row r="52" spans="1:45" ht="16.5" thickTop="1" thickBot="1">
      <c r="A52" s="43" t="str">
        <f>'1.0 Data'!P52</f>
        <v>PLC Reactor Filters (2026 - 30)</v>
      </c>
      <c r="B52" s="67" cm="1">
        <f t="array" ref="B52">_xlfn.IFNA(INDEX('1.0 Data'!$AB$9:$AB$66,MATCH($A52,'1.0 Data'!$P$9:$P$66,0),0),0)</f>
        <v>0</v>
      </c>
      <c r="C52" s="69" cm="1">
        <f t="array" ref="C52">_xlfn.IFNA(INDEX('1.0 Data'!V$9:V$66,MATCH($A52,'1.0 Data'!$P$9:$P$66,0),0),0)</f>
        <v>0</v>
      </c>
      <c r="D52" s="69" cm="1">
        <f t="array" ref="D52">_xlfn.IFNA(INDEX('1.0 Data'!W$9:W$66,MATCH($A52,'1.0 Data'!$P$9:$P$66,0),0),0)</f>
        <v>0</v>
      </c>
      <c r="E52" s="69" cm="1">
        <f t="array" ref="E52">_xlfn.IFNA(INDEX('1.0 Data'!X$9:X$66,MATCH($A52,'1.0 Data'!$P$9:$P$66,0),0),0)</f>
        <v>0</v>
      </c>
      <c r="F52" s="69" cm="1">
        <f t="array" ref="F52">_xlfn.IFNA(INDEX('1.0 Data'!Y$9:Y$66,MATCH($A52,'1.0 Data'!$P$9:$P$66,0),0),0)</f>
        <v>0</v>
      </c>
      <c r="G52" s="69" cm="1">
        <f t="array" ref="G52">_xlfn.IFNA(INDEX('1.0 Data'!Z$9:Z$66,MATCH($A52,'1.0 Data'!$P$9:$P$66,0),0),0)</f>
        <v>0</v>
      </c>
      <c r="H52" s="45">
        <f t="shared" si="12"/>
        <v>0</v>
      </c>
      <c r="J52" s="6" t="str">
        <f t="shared" si="13"/>
        <v>PLC Reactor Filters (2026 - 30)</v>
      </c>
      <c r="K52" s="6">
        <f t="shared" si="14"/>
        <v>0</v>
      </c>
      <c r="L52" s="6">
        <f t="shared" si="15"/>
        <v>0</v>
      </c>
      <c r="M52" s="6">
        <f t="shared" si="16"/>
        <v>0</v>
      </c>
      <c r="N52" s="6">
        <f t="shared" si="17"/>
        <v>0</v>
      </c>
      <c r="O52" s="6">
        <f t="shared" si="18"/>
        <v>0</v>
      </c>
      <c r="P52" s="6">
        <f t="shared" si="19"/>
        <v>0</v>
      </c>
      <c r="R52" s="6" t="str">
        <f t="shared" si="20"/>
        <v>PLC Reactor Filters (2026 - 30)</v>
      </c>
      <c r="S52" s="65">
        <f t="shared" si="21"/>
        <v>0</v>
      </c>
      <c r="T52" s="65">
        <f t="shared" si="22"/>
        <v>0</v>
      </c>
      <c r="U52" s="65">
        <f t="shared" si="23"/>
        <v>0</v>
      </c>
      <c r="V52" s="65">
        <f t="shared" si="24"/>
        <v>0</v>
      </c>
      <c r="W52" s="65">
        <f t="shared" si="25"/>
        <v>0</v>
      </c>
      <c r="X52" s="65">
        <f t="shared" si="26"/>
        <v>0</v>
      </c>
      <c r="Z52" s="6" t="str">
        <f t="shared" si="27"/>
        <v>PLC Reactor Filters (2026 - 30)</v>
      </c>
      <c r="AA52" s="6">
        <f>K52*'1.1 Input'!J$30</f>
        <v>0</v>
      </c>
      <c r="AB52" s="6">
        <f>L52*'1.1 Input'!K$30</f>
        <v>0</v>
      </c>
      <c r="AC52" s="6">
        <f>M52*'1.1 Input'!L$30</f>
        <v>0</v>
      </c>
      <c r="AD52" s="6">
        <f>N52*'1.1 Input'!M$30</f>
        <v>0</v>
      </c>
      <c r="AE52" s="6">
        <f>O52*'1.1 Input'!N$30</f>
        <v>0</v>
      </c>
      <c r="AF52" s="6">
        <f t="shared" si="28"/>
        <v>0</v>
      </c>
      <c r="AH52" s="6" t="str">
        <f t="shared" si="29"/>
        <v>PLC Reactor Filters (2026 - 30)</v>
      </c>
      <c r="AI52" s="6" t="str" cm="1">
        <f t="array" ref="AI52">_xlfn.IFNA(INDEX('1.0 Data'!$Q$9:$Q$66,MATCH($AH52,'1.0 Data'!$P$9:$P$66,0),0),"")</f>
        <v>2023/24</v>
      </c>
      <c r="AJ52" s="6" t="str" cm="1">
        <f t="array" ref="AJ52">_xlfn.IFNA(INDEX('1.0 Data'!S$9:S$66,MATCH($AH52,'1.0 Data'!$P$9:$P$66,0),0),"")</f>
        <v>Spares Management</v>
      </c>
      <c r="AK52" s="6" t="str" cm="1">
        <f t="array" ref="AK52">_xlfn.IFNA(INDEX('1.0 Data'!T$9:T$66,MATCH($AH52,'1.0 Data'!$P$9:$P$66,0),0),"")</f>
        <v>Transmission Assets</v>
      </c>
      <c r="AL52" s="65">
        <f t="shared" si="30"/>
        <v>0</v>
      </c>
      <c r="AM52" s="65">
        <f t="shared" si="31"/>
        <v>0</v>
      </c>
      <c r="AN52" s="65">
        <f t="shared" si="32"/>
        <v>0</v>
      </c>
      <c r="AO52" s="65">
        <f t="shared" si="33"/>
        <v>0</v>
      </c>
      <c r="AP52" s="65">
        <f t="shared" si="34"/>
        <v>0</v>
      </c>
      <c r="AQ52" s="45">
        <f t="shared" si="35"/>
        <v>0</v>
      </c>
      <c r="AS52" s="71">
        <f t="shared" si="36"/>
        <v>0</v>
      </c>
    </row>
    <row r="53" spans="1:45" ht="16.5" thickTop="1" thickBot="1">
      <c r="A53" s="43" t="str">
        <f>'1.0 Data'!P53</f>
        <v>Power Quality Metering</v>
      </c>
      <c r="B53" s="67" cm="1">
        <f t="array" ref="B53">_xlfn.IFNA(INDEX('1.0 Data'!$AB$9:$AB$66,MATCH($A53,'1.0 Data'!$P$9:$P$66,0),0),0)</f>
        <v>0</v>
      </c>
      <c r="C53" s="69" cm="1">
        <f t="array" ref="C53">_xlfn.IFNA(INDEX('1.0 Data'!V$9:V$66,MATCH($A53,'1.0 Data'!$P$9:$P$66,0),0),0)</f>
        <v>0</v>
      </c>
      <c r="D53" s="69" cm="1">
        <f t="array" ref="D53">_xlfn.IFNA(INDEX('1.0 Data'!W$9:W$66,MATCH($A53,'1.0 Data'!$P$9:$P$66,0),0),0)</f>
        <v>0</v>
      </c>
      <c r="E53" s="69" cm="1">
        <f t="array" ref="E53">_xlfn.IFNA(INDEX('1.0 Data'!X$9:X$66,MATCH($A53,'1.0 Data'!$P$9:$P$66,0),0),0)</f>
        <v>0</v>
      </c>
      <c r="F53" s="69" cm="1">
        <f t="array" ref="F53">_xlfn.IFNA(INDEX('1.0 Data'!Y$9:Y$66,MATCH($A53,'1.0 Data'!$P$9:$P$66,0),0),0)</f>
        <v>0</v>
      </c>
      <c r="G53" s="69" cm="1">
        <f t="array" ref="G53">_xlfn.IFNA(INDEX('1.0 Data'!Z$9:Z$66,MATCH($A53,'1.0 Data'!$P$9:$P$66,0),0),0)</f>
        <v>0</v>
      </c>
      <c r="H53" s="45">
        <f t="shared" si="12"/>
        <v>0</v>
      </c>
      <c r="J53" s="6" t="str">
        <f t="shared" si="13"/>
        <v>Power Quality Metering</v>
      </c>
      <c r="K53" s="6">
        <f t="shared" si="14"/>
        <v>0</v>
      </c>
      <c r="L53" s="6">
        <f t="shared" si="15"/>
        <v>0</v>
      </c>
      <c r="M53" s="6">
        <f t="shared" si="16"/>
        <v>0</v>
      </c>
      <c r="N53" s="6">
        <f t="shared" si="17"/>
        <v>0</v>
      </c>
      <c r="O53" s="6">
        <f t="shared" si="18"/>
        <v>0</v>
      </c>
      <c r="P53" s="6">
        <f t="shared" si="19"/>
        <v>0</v>
      </c>
      <c r="R53" s="6" t="str">
        <f t="shared" si="20"/>
        <v>Power Quality Metering</v>
      </c>
      <c r="S53" s="65">
        <f t="shared" si="21"/>
        <v>0</v>
      </c>
      <c r="T53" s="65">
        <f t="shared" si="22"/>
        <v>0</v>
      </c>
      <c r="U53" s="65">
        <f t="shared" si="23"/>
        <v>0</v>
      </c>
      <c r="V53" s="65">
        <f t="shared" si="24"/>
        <v>0</v>
      </c>
      <c r="W53" s="65">
        <f t="shared" si="25"/>
        <v>0</v>
      </c>
      <c r="X53" s="65">
        <f t="shared" si="26"/>
        <v>0</v>
      </c>
      <c r="Z53" s="6" t="str">
        <f t="shared" si="27"/>
        <v>Power Quality Metering</v>
      </c>
      <c r="AA53" s="6">
        <f>K53*'1.1 Input'!J$30</f>
        <v>0</v>
      </c>
      <c r="AB53" s="6">
        <f>L53*'1.1 Input'!K$30</f>
        <v>0</v>
      </c>
      <c r="AC53" s="6">
        <f>M53*'1.1 Input'!L$30</f>
        <v>0</v>
      </c>
      <c r="AD53" s="6">
        <f>N53*'1.1 Input'!M$30</f>
        <v>0</v>
      </c>
      <c r="AE53" s="6">
        <f>O53*'1.1 Input'!N$30</f>
        <v>0</v>
      </c>
      <c r="AF53" s="6">
        <f t="shared" si="28"/>
        <v>0</v>
      </c>
      <c r="AH53" s="6" t="str">
        <f t="shared" si="29"/>
        <v>Power Quality Metering</v>
      </c>
      <c r="AI53" s="6" t="str" cm="1">
        <f t="array" ref="AI53">_xlfn.IFNA(INDEX('1.0 Data'!$Q$9:$Q$66,MATCH($AH53,'1.0 Data'!$P$9:$P$66,0),0),"")</f>
        <v>2023/24</v>
      </c>
      <c r="AJ53" s="6" t="str" cm="1">
        <f t="array" ref="AJ53">_xlfn.IFNA(INDEX('1.0 Data'!S$9:S$66,MATCH($AH53,'1.0 Data'!$P$9:$P$66,0),0),"")</f>
        <v>Asset Monitoring</v>
      </c>
      <c r="AK53" s="6" t="str" cm="1">
        <f t="array" ref="AK53">_xlfn.IFNA(INDEX('1.0 Data'!T$9:T$66,MATCH($AH53,'1.0 Data'!$P$9:$P$66,0),0),"")</f>
        <v>Transmission Assets</v>
      </c>
      <c r="AL53" s="65">
        <f t="shared" si="30"/>
        <v>0</v>
      </c>
      <c r="AM53" s="65">
        <f t="shared" si="31"/>
        <v>0</v>
      </c>
      <c r="AN53" s="65">
        <f t="shared" si="32"/>
        <v>0</v>
      </c>
      <c r="AO53" s="65">
        <f t="shared" si="33"/>
        <v>0</v>
      </c>
      <c r="AP53" s="65">
        <f t="shared" si="34"/>
        <v>0</v>
      </c>
      <c r="AQ53" s="45">
        <f t="shared" si="35"/>
        <v>0</v>
      </c>
      <c r="AS53" s="71">
        <f t="shared" si="36"/>
        <v>0</v>
      </c>
    </row>
    <row r="54" spans="1:45" ht="16.5" thickTop="1" thickBot="1">
      <c r="A54" s="43" t="str">
        <f>'1.0 Data'!P54</f>
        <v>Power Supply Upgrade - Phase 2</v>
      </c>
      <c r="B54" s="67" cm="1">
        <f t="array" ref="B54">_xlfn.IFNA(INDEX('1.0 Data'!$AB$9:$AB$66,MATCH($A54,'1.0 Data'!$P$9:$P$66,0),0),0)</f>
        <v>0</v>
      </c>
      <c r="C54" s="69" cm="1">
        <f t="array" ref="C54">_xlfn.IFNA(INDEX('1.0 Data'!V$9:V$66,MATCH($A54,'1.0 Data'!$P$9:$P$66,0),0),0)</f>
        <v>0</v>
      </c>
      <c r="D54" s="69" cm="1">
        <f t="array" ref="D54">_xlfn.IFNA(INDEX('1.0 Data'!W$9:W$66,MATCH($A54,'1.0 Data'!$P$9:$P$66,0),0),0)</f>
        <v>0</v>
      </c>
      <c r="E54" s="69" cm="1">
        <f t="array" ref="E54">_xlfn.IFNA(INDEX('1.0 Data'!X$9:X$66,MATCH($A54,'1.0 Data'!$P$9:$P$66,0),0),0)</f>
        <v>0</v>
      </c>
      <c r="F54" s="69" cm="1">
        <f t="array" ref="F54">_xlfn.IFNA(INDEX('1.0 Data'!Y$9:Y$66,MATCH($A54,'1.0 Data'!$P$9:$P$66,0),0),0)</f>
        <v>0</v>
      </c>
      <c r="G54" s="69" cm="1">
        <f t="array" ref="G54">_xlfn.IFNA(INDEX('1.0 Data'!Z$9:Z$66,MATCH($A54,'1.0 Data'!$P$9:$P$66,0),0),0)</f>
        <v>0</v>
      </c>
      <c r="H54" s="45">
        <f t="shared" si="12"/>
        <v>0</v>
      </c>
      <c r="J54" s="6" t="str">
        <f t="shared" si="13"/>
        <v>Power Supply Upgrade - Phase 2</v>
      </c>
      <c r="K54" s="6">
        <f t="shared" si="14"/>
        <v>0</v>
      </c>
      <c r="L54" s="6">
        <f t="shared" si="15"/>
        <v>0</v>
      </c>
      <c r="M54" s="6">
        <f t="shared" si="16"/>
        <v>0</v>
      </c>
      <c r="N54" s="6">
        <f t="shared" si="17"/>
        <v>0</v>
      </c>
      <c r="O54" s="6">
        <f t="shared" si="18"/>
        <v>0</v>
      </c>
      <c r="P54" s="6">
        <f t="shared" si="19"/>
        <v>0</v>
      </c>
      <c r="R54" s="6" t="str">
        <f t="shared" si="20"/>
        <v>Power Supply Upgrade - Phase 2</v>
      </c>
      <c r="S54" s="65">
        <f t="shared" si="21"/>
        <v>0</v>
      </c>
      <c r="T54" s="65">
        <f t="shared" si="22"/>
        <v>0</v>
      </c>
      <c r="U54" s="65">
        <f t="shared" si="23"/>
        <v>0</v>
      </c>
      <c r="V54" s="65">
        <f t="shared" si="24"/>
        <v>0</v>
      </c>
      <c r="W54" s="65">
        <f t="shared" si="25"/>
        <v>0</v>
      </c>
      <c r="X54" s="65">
        <f t="shared" si="26"/>
        <v>0</v>
      </c>
      <c r="Z54" s="6" t="str">
        <f t="shared" si="27"/>
        <v>Power Supply Upgrade - Phase 2</v>
      </c>
      <c r="AA54" s="6">
        <f>K54*'1.1 Input'!J$30</f>
        <v>0</v>
      </c>
      <c r="AB54" s="6">
        <f>L54*'1.1 Input'!K$30</f>
        <v>0</v>
      </c>
      <c r="AC54" s="6">
        <f>M54*'1.1 Input'!L$30</f>
        <v>0</v>
      </c>
      <c r="AD54" s="6">
        <f>N54*'1.1 Input'!M$30</f>
        <v>0</v>
      </c>
      <c r="AE54" s="6">
        <f>O54*'1.1 Input'!N$30</f>
        <v>0</v>
      </c>
      <c r="AF54" s="6">
        <f t="shared" si="28"/>
        <v>0</v>
      </c>
      <c r="AH54" s="6" t="str">
        <f t="shared" si="29"/>
        <v>Power Supply Upgrade - Phase 2</v>
      </c>
      <c r="AI54" s="6" t="str" cm="1">
        <f t="array" ref="AI54">_xlfn.IFNA(INDEX('1.0 Data'!$Q$9:$Q$66,MATCH($AH54,'1.0 Data'!$P$9:$P$66,0),0),"")</f>
        <v>2023/24</v>
      </c>
      <c r="AJ54" s="6" t="str" cm="1">
        <f t="array" ref="AJ54">_xlfn.IFNA(INDEX('1.0 Data'!S$9:S$66,MATCH($AH54,'1.0 Data'!$P$9:$P$66,0),0),"")</f>
        <v>Spares Management</v>
      </c>
      <c r="AK54" s="6" t="str" cm="1">
        <f t="array" ref="AK54">_xlfn.IFNA(INDEX('1.0 Data'!T$9:T$66,MATCH($AH54,'1.0 Data'!$P$9:$P$66,0),0),"")</f>
        <v>Transmission Assets</v>
      </c>
      <c r="AL54" s="65">
        <f t="shared" si="30"/>
        <v>0</v>
      </c>
      <c r="AM54" s="65">
        <f t="shared" si="31"/>
        <v>0</v>
      </c>
      <c r="AN54" s="65">
        <f t="shared" si="32"/>
        <v>0</v>
      </c>
      <c r="AO54" s="65">
        <f t="shared" si="33"/>
        <v>0</v>
      </c>
      <c r="AP54" s="65">
        <f t="shared" si="34"/>
        <v>0</v>
      </c>
      <c r="AQ54" s="45">
        <f t="shared" si="35"/>
        <v>0</v>
      </c>
      <c r="AS54" s="71">
        <f t="shared" si="36"/>
        <v>0</v>
      </c>
    </row>
    <row r="55" spans="1:45" ht="16.5" thickTop="1" thickBot="1">
      <c r="A55" s="43" t="str">
        <f>'1.0 Data'!P55</f>
        <v>Reactor cooling enhancements</v>
      </c>
      <c r="B55" s="67" cm="1">
        <f t="array" ref="B55">_xlfn.IFNA(INDEX('1.0 Data'!$AB$9:$AB$66,MATCH($A55,'1.0 Data'!$P$9:$P$66,0),0),0)</f>
        <v>0</v>
      </c>
      <c r="C55" s="69" cm="1">
        <f t="array" ref="C55">_xlfn.IFNA(INDEX('1.0 Data'!V$9:V$66,MATCH($A55,'1.0 Data'!$P$9:$P$66,0),0),0)</f>
        <v>344520</v>
      </c>
      <c r="D55" s="69" cm="1">
        <f t="array" ref="D55">_xlfn.IFNA(INDEX('1.0 Data'!W$9:W$66,MATCH($A55,'1.0 Data'!$P$9:$P$66,0),0),0)</f>
        <v>825000.00000000012</v>
      </c>
      <c r="E55" s="69" cm="1">
        <f t="array" ref="E55">_xlfn.IFNA(INDEX('1.0 Data'!X$9:X$66,MATCH($A55,'1.0 Data'!$P$9:$P$66,0),0),0)</f>
        <v>825000.00000000012</v>
      </c>
      <c r="F55" s="69" cm="1">
        <f t="array" ref="F55">_xlfn.IFNA(INDEX('1.0 Data'!Y$9:Y$66,MATCH($A55,'1.0 Data'!$P$9:$P$66,0),0),0)</f>
        <v>0</v>
      </c>
      <c r="G55" s="69" cm="1">
        <f t="array" ref="G55">_xlfn.IFNA(INDEX('1.0 Data'!Z$9:Z$66,MATCH($A55,'1.0 Data'!$P$9:$P$66,0),0),0)</f>
        <v>0</v>
      </c>
      <c r="H55" s="45">
        <f t="shared" si="12"/>
        <v>1994520</v>
      </c>
      <c r="J55" s="6" t="str">
        <f t="shared" si="13"/>
        <v>Reactor cooling enhancements</v>
      </c>
      <c r="K55" s="6">
        <f t="shared" si="14"/>
        <v>0</v>
      </c>
      <c r="L55" s="6">
        <f t="shared" si="15"/>
        <v>0</v>
      </c>
      <c r="M55" s="6">
        <f t="shared" si="16"/>
        <v>0</v>
      </c>
      <c r="N55" s="6">
        <f t="shared" si="17"/>
        <v>0</v>
      </c>
      <c r="O55" s="6">
        <f t="shared" si="18"/>
        <v>0</v>
      </c>
      <c r="P55" s="6">
        <f t="shared" si="19"/>
        <v>0</v>
      </c>
      <c r="R55" s="6" t="str">
        <f t="shared" si="20"/>
        <v>Reactor cooling enhancements</v>
      </c>
      <c r="S55" s="65">
        <f t="shared" si="21"/>
        <v>344520</v>
      </c>
      <c r="T55" s="65">
        <f t="shared" si="22"/>
        <v>825000.00000000012</v>
      </c>
      <c r="U55" s="65">
        <f t="shared" si="23"/>
        <v>825000.00000000012</v>
      </c>
      <c r="V55" s="65">
        <f t="shared" si="24"/>
        <v>0</v>
      </c>
      <c r="W55" s="65">
        <f t="shared" si="25"/>
        <v>0</v>
      </c>
      <c r="X55" s="65">
        <f t="shared" si="26"/>
        <v>1994520</v>
      </c>
      <c r="Z55" s="6" t="str">
        <f t="shared" si="27"/>
        <v>Reactor cooling enhancements</v>
      </c>
      <c r="AA55" s="6">
        <f>K55*'1.1 Input'!J$30</f>
        <v>0</v>
      </c>
      <c r="AB55" s="6">
        <f>L55*'1.1 Input'!K$30</f>
        <v>0</v>
      </c>
      <c r="AC55" s="6">
        <f>M55*'1.1 Input'!L$30</f>
        <v>0</v>
      </c>
      <c r="AD55" s="6">
        <f>N55*'1.1 Input'!M$30</f>
        <v>0</v>
      </c>
      <c r="AE55" s="6">
        <f>O55*'1.1 Input'!N$30</f>
        <v>0</v>
      </c>
      <c r="AF55" s="6">
        <f t="shared" si="28"/>
        <v>0</v>
      </c>
      <c r="AH55" s="6" t="str">
        <f t="shared" si="29"/>
        <v>Reactor cooling enhancements</v>
      </c>
      <c r="AI55" s="6" t="str" cm="1">
        <f t="array" ref="AI55">_xlfn.IFNA(INDEX('1.0 Data'!$Q$9:$Q$66,MATCH($AH55,'1.0 Data'!$P$9:$P$66,0),0),"")</f>
        <v>2023/24</v>
      </c>
      <c r="AJ55" s="6" t="str" cm="1">
        <f t="array" ref="AJ55">_xlfn.IFNA(INDEX('1.0 Data'!S$9:S$66,MATCH($AH55,'1.0 Data'!$P$9:$P$66,0),0),"")</f>
        <v>Major Maintenance</v>
      </c>
      <c r="AK55" s="6" t="str" cm="1">
        <f t="array" ref="AK55">_xlfn.IFNA(INDEX('1.0 Data'!T$9:T$66,MATCH($AH55,'1.0 Data'!$P$9:$P$66,0),0),"")</f>
        <v>Transmission Assets</v>
      </c>
      <c r="AL55" s="65">
        <f t="shared" si="30"/>
        <v>344520</v>
      </c>
      <c r="AM55" s="65">
        <f t="shared" si="31"/>
        <v>825000.00000000012</v>
      </c>
      <c r="AN55" s="65">
        <f t="shared" si="32"/>
        <v>825000.00000000012</v>
      </c>
      <c r="AO55" s="65">
        <f t="shared" si="33"/>
        <v>0</v>
      </c>
      <c r="AP55" s="65">
        <f t="shared" si="34"/>
        <v>0</v>
      </c>
      <c r="AQ55" s="45">
        <f t="shared" si="35"/>
        <v>1994520</v>
      </c>
      <c r="AS55" s="71">
        <f t="shared" si="36"/>
        <v>0</v>
      </c>
    </row>
    <row r="56" spans="1:45" ht="16.5" thickTop="1" thickBot="1">
      <c r="A56" s="43" t="str">
        <f>'1.0 Data'!P56</f>
        <v>Reposition Nitrogen Tanks</v>
      </c>
      <c r="B56" s="67" cm="1">
        <f t="array" ref="B56">_xlfn.IFNA(INDEX('1.0 Data'!$AB$9:$AB$66,MATCH($A56,'1.0 Data'!$P$9:$P$66,0),0),0)</f>
        <v>0</v>
      </c>
      <c r="C56" s="69" cm="1">
        <f t="array" ref="C56">_xlfn.IFNA(INDEX('1.0 Data'!V$9:V$66,MATCH($A56,'1.0 Data'!$P$9:$P$66,0),0),0)</f>
        <v>220812.90000000005</v>
      </c>
      <c r="D56" s="69" cm="1">
        <f t="array" ref="D56">_xlfn.IFNA(INDEX('1.0 Data'!W$9:W$66,MATCH($A56,'1.0 Data'!$P$9:$P$66,0),0),0)</f>
        <v>0</v>
      </c>
      <c r="E56" s="69" cm="1">
        <f t="array" ref="E56">_xlfn.IFNA(INDEX('1.0 Data'!X$9:X$66,MATCH($A56,'1.0 Data'!$P$9:$P$66,0),0),0)</f>
        <v>0</v>
      </c>
      <c r="F56" s="69" cm="1">
        <f t="array" ref="F56">_xlfn.IFNA(INDEX('1.0 Data'!Y$9:Y$66,MATCH($A56,'1.0 Data'!$P$9:$P$66,0),0),0)</f>
        <v>0</v>
      </c>
      <c r="G56" s="69" cm="1">
        <f t="array" ref="G56">_xlfn.IFNA(INDEX('1.0 Data'!Z$9:Z$66,MATCH($A56,'1.0 Data'!$P$9:$P$66,0),0),0)</f>
        <v>0</v>
      </c>
      <c r="H56" s="45">
        <f t="shared" si="12"/>
        <v>220812.90000000005</v>
      </c>
      <c r="J56" s="6" t="str">
        <f t="shared" si="13"/>
        <v>Reposition Nitrogen Tanks</v>
      </c>
      <c r="K56" s="6">
        <f t="shared" si="14"/>
        <v>0</v>
      </c>
      <c r="L56" s="6">
        <f t="shared" si="15"/>
        <v>0</v>
      </c>
      <c r="M56" s="6">
        <f t="shared" si="16"/>
        <v>0</v>
      </c>
      <c r="N56" s="6">
        <f t="shared" si="17"/>
        <v>0</v>
      </c>
      <c r="O56" s="6">
        <f t="shared" si="18"/>
        <v>0</v>
      </c>
      <c r="P56" s="6">
        <f t="shared" si="19"/>
        <v>0</v>
      </c>
      <c r="R56" s="6" t="str">
        <f t="shared" si="20"/>
        <v>Reposition Nitrogen Tanks</v>
      </c>
      <c r="S56" s="65">
        <f t="shared" si="21"/>
        <v>220812.90000000005</v>
      </c>
      <c r="T56" s="65">
        <f t="shared" si="22"/>
        <v>0</v>
      </c>
      <c r="U56" s="65">
        <f t="shared" si="23"/>
        <v>0</v>
      </c>
      <c r="V56" s="65">
        <f t="shared" si="24"/>
        <v>0</v>
      </c>
      <c r="W56" s="65">
        <f t="shared" si="25"/>
        <v>0</v>
      </c>
      <c r="X56" s="65">
        <f t="shared" si="26"/>
        <v>220812.90000000005</v>
      </c>
      <c r="Z56" s="6" t="str">
        <f t="shared" si="27"/>
        <v>Reposition Nitrogen Tanks</v>
      </c>
      <c r="AA56" s="6">
        <f>K56*'1.1 Input'!J$30</f>
        <v>0</v>
      </c>
      <c r="AB56" s="6">
        <f>L56*'1.1 Input'!K$30</f>
        <v>0</v>
      </c>
      <c r="AC56" s="6">
        <f>M56*'1.1 Input'!L$30</f>
        <v>0</v>
      </c>
      <c r="AD56" s="6">
        <f>N56*'1.1 Input'!M$30</f>
        <v>0</v>
      </c>
      <c r="AE56" s="6">
        <f>O56*'1.1 Input'!N$30</f>
        <v>0</v>
      </c>
      <c r="AF56" s="6">
        <f t="shared" si="28"/>
        <v>0</v>
      </c>
      <c r="AH56" s="6" t="str">
        <f t="shared" si="29"/>
        <v>Reposition Nitrogen Tanks</v>
      </c>
      <c r="AI56" s="6" t="str" cm="1">
        <f t="array" ref="AI56">_xlfn.IFNA(INDEX('1.0 Data'!$Q$9:$Q$66,MATCH($AH56,'1.0 Data'!$P$9:$P$66,0),0),"")</f>
        <v>2023/25</v>
      </c>
      <c r="AJ56" s="6" t="str" cm="1">
        <f t="array" ref="AJ56">_xlfn.IFNA(INDEX('1.0 Data'!S$9:S$66,MATCH($AH56,'1.0 Data'!$P$9:$P$66,0),0),"")</f>
        <v>Safety and Protection</v>
      </c>
      <c r="AK56" s="6" t="str" cm="1">
        <f t="array" ref="AK56">_xlfn.IFNA(INDEX('1.0 Data'!T$9:T$66,MATCH($AH56,'1.0 Data'!$P$9:$P$66,0),0),"")</f>
        <v>Transmission Assets</v>
      </c>
      <c r="AL56" s="65">
        <f t="shared" si="30"/>
        <v>220812.90000000005</v>
      </c>
      <c r="AM56" s="65">
        <f t="shared" si="31"/>
        <v>0</v>
      </c>
      <c r="AN56" s="65">
        <f t="shared" si="32"/>
        <v>0</v>
      </c>
      <c r="AO56" s="65">
        <f t="shared" si="33"/>
        <v>0</v>
      </c>
      <c r="AP56" s="65">
        <f t="shared" si="34"/>
        <v>0</v>
      </c>
      <c r="AQ56" s="45">
        <f t="shared" si="35"/>
        <v>220812.90000000005</v>
      </c>
      <c r="AS56" s="71">
        <f t="shared" si="36"/>
        <v>0</v>
      </c>
    </row>
    <row r="57" spans="1:45" ht="16.5" thickTop="1" thickBot="1">
      <c r="A57" s="43" t="str">
        <f>'1.0 Data'!P57</f>
        <v>RTU Upgrade - Comms Interface to EE and AEMO</v>
      </c>
      <c r="B57" s="67" cm="1">
        <f t="array" ref="B57">_xlfn.IFNA(INDEX('1.0 Data'!$AB$9:$AB$66,MATCH($A57,'1.0 Data'!$P$9:$P$66,0),0),0)</f>
        <v>0</v>
      </c>
      <c r="C57" s="69" cm="1">
        <f t="array" ref="C57">_xlfn.IFNA(INDEX('1.0 Data'!V$9:V$66,MATCH($A57,'1.0 Data'!$P$9:$P$66,0),0),0)</f>
        <v>0</v>
      </c>
      <c r="D57" s="69" cm="1">
        <f t="array" ref="D57">_xlfn.IFNA(INDEX('1.0 Data'!W$9:W$66,MATCH($A57,'1.0 Data'!$P$9:$P$66,0),0),0)</f>
        <v>0</v>
      </c>
      <c r="E57" s="69" cm="1">
        <f t="array" ref="E57">_xlfn.IFNA(INDEX('1.0 Data'!X$9:X$66,MATCH($A57,'1.0 Data'!$P$9:$P$66,0),0),0)</f>
        <v>0</v>
      </c>
      <c r="F57" s="69" cm="1">
        <f t="array" ref="F57">_xlfn.IFNA(INDEX('1.0 Data'!Y$9:Y$66,MATCH($A57,'1.0 Data'!$P$9:$P$66,0),0),0)</f>
        <v>0</v>
      </c>
      <c r="G57" s="69" cm="1">
        <f t="array" ref="G57">_xlfn.IFNA(INDEX('1.0 Data'!Z$9:Z$66,MATCH($A57,'1.0 Data'!$P$9:$P$66,0),0),0)</f>
        <v>0</v>
      </c>
      <c r="H57" s="45">
        <f t="shared" si="12"/>
        <v>0</v>
      </c>
      <c r="J57" s="6" t="str">
        <f t="shared" si="13"/>
        <v>RTU Upgrade - Comms Interface to EE and AEMO</v>
      </c>
      <c r="K57" s="6">
        <f t="shared" si="14"/>
        <v>0</v>
      </c>
      <c r="L57" s="6">
        <f t="shared" si="15"/>
        <v>0</v>
      </c>
      <c r="M57" s="6">
        <f t="shared" si="16"/>
        <v>0</v>
      </c>
      <c r="N57" s="6">
        <f t="shared" si="17"/>
        <v>0</v>
      </c>
      <c r="O57" s="6">
        <f t="shared" si="18"/>
        <v>0</v>
      </c>
      <c r="P57" s="6">
        <f t="shared" si="19"/>
        <v>0</v>
      </c>
      <c r="R57" s="6" t="str">
        <f t="shared" si="20"/>
        <v>RTU Upgrade - Comms Interface to EE and AEMO</v>
      </c>
      <c r="S57" s="65">
        <f t="shared" si="21"/>
        <v>0</v>
      </c>
      <c r="T57" s="65">
        <f t="shared" si="22"/>
        <v>0</v>
      </c>
      <c r="U57" s="65">
        <f t="shared" si="23"/>
        <v>0</v>
      </c>
      <c r="V57" s="65">
        <f t="shared" si="24"/>
        <v>0</v>
      </c>
      <c r="W57" s="65">
        <f t="shared" si="25"/>
        <v>0</v>
      </c>
      <c r="X57" s="65">
        <f t="shared" si="26"/>
        <v>0</v>
      </c>
      <c r="Z57" s="6" t="str">
        <f t="shared" si="27"/>
        <v>RTU Upgrade - Comms Interface to EE and AEMO</v>
      </c>
      <c r="AA57" s="6">
        <f>K57*'1.1 Input'!J$30</f>
        <v>0</v>
      </c>
      <c r="AB57" s="6">
        <f>L57*'1.1 Input'!K$30</f>
        <v>0</v>
      </c>
      <c r="AC57" s="6">
        <f>M57*'1.1 Input'!L$30</f>
        <v>0</v>
      </c>
      <c r="AD57" s="6">
        <f>N57*'1.1 Input'!M$30</f>
        <v>0</v>
      </c>
      <c r="AE57" s="6">
        <f>O57*'1.1 Input'!N$30</f>
        <v>0</v>
      </c>
      <c r="AF57" s="6">
        <f t="shared" si="28"/>
        <v>0</v>
      </c>
      <c r="AH57" s="6" t="str">
        <f t="shared" si="29"/>
        <v>RTU Upgrade - Comms Interface to EE and AEMO</v>
      </c>
      <c r="AI57" s="6" t="str" cm="1">
        <f t="array" ref="AI57">_xlfn.IFNA(INDEX('1.0 Data'!$Q$9:$Q$66,MATCH($AH57,'1.0 Data'!$P$9:$P$66,0),0),"")</f>
        <v>2023/26</v>
      </c>
      <c r="AJ57" s="6" t="str" cm="1">
        <f t="array" ref="AJ57">_xlfn.IFNA(INDEX('1.0 Data'!S$9:S$66,MATCH($AH57,'1.0 Data'!$P$9:$P$66,0),0),"")</f>
        <v>Asset Monitoring</v>
      </c>
      <c r="AK57" s="6" t="str" cm="1">
        <f t="array" ref="AK57">_xlfn.IFNA(INDEX('1.0 Data'!T$9:T$66,MATCH($AH57,'1.0 Data'!$P$9:$P$66,0),0),"")</f>
        <v>Transmission Assets</v>
      </c>
      <c r="AL57" s="65">
        <f t="shared" si="30"/>
        <v>0</v>
      </c>
      <c r="AM57" s="65">
        <f t="shared" si="31"/>
        <v>0</v>
      </c>
      <c r="AN57" s="65">
        <f t="shared" si="32"/>
        <v>0</v>
      </c>
      <c r="AO57" s="65">
        <f t="shared" si="33"/>
        <v>0</v>
      </c>
      <c r="AP57" s="65">
        <f t="shared" si="34"/>
        <v>0</v>
      </c>
      <c r="AQ57" s="45">
        <f t="shared" si="35"/>
        <v>0</v>
      </c>
      <c r="AS57" s="71">
        <f t="shared" si="36"/>
        <v>0</v>
      </c>
    </row>
    <row r="58" spans="1:45" ht="16.5" thickTop="1" thickBot="1">
      <c r="A58" s="43" t="str">
        <f>'1.0 Data'!P58</f>
        <v>SCADA Hardware Lifecycle Management</v>
      </c>
      <c r="B58" s="67" cm="1">
        <f t="array" ref="B58">_xlfn.IFNA(INDEX('1.0 Data'!$AB$9:$AB$66,MATCH($A58,'1.0 Data'!$P$9:$P$66,0),0),0)</f>
        <v>0</v>
      </c>
      <c r="C58" s="69" cm="1">
        <f t="array" ref="C58">_xlfn.IFNA(INDEX('1.0 Data'!V$9:V$66,MATCH($A58,'1.0 Data'!$P$9:$P$66,0),0),0)</f>
        <v>0</v>
      </c>
      <c r="D58" s="69" cm="1">
        <f t="array" ref="D58">_xlfn.IFNA(INDEX('1.0 Data'!W$9:W$66,MATCH($A58,'1.0 Data'!$P$9:$P$66,0),0),0)</f>
        <v>0</v>
      </c>
      <c r="E58" s="69" cm="1">
        <f t="array" ref="E58">_xlfn.IFNA(INDEX('1.0 Data'!X$9:X$66,MATCH($A58,'1.0 Data'!$P$9:$P$66,0),0),0)</f>
        <v>0</v>
      </c>
      <c r="F58" s="69" cm="1">
        <f t="array" ref="F58">_xlfn.IFNA(INDEX('1.0 Data'!Y$9:Y$66,MATCH($A58,'1.0 Data'!$P$9:$P$66,0),0),0)</f>
        <v>0</v>
      </c>
      <c r="G58" s="69" cm="1">
        <f t="array" ref="G58">_xlfn.IFNA(INDEX('1.0 Data'!Z$9:Z$66,MATCH($A58,'1.0 Data'!$P$9:$P$66,0),0),0)</f>
        <v>0</v>
      </c>
      <c r="H58" s="45">
        <f t="shared" si="12"/>
        <v>0</v>
      </c>
      <c r="J58" s="6" t="str">
        <f t="shared" si="13"/>
        <v>SCADA Hardware Lifecycle Management</v>
      </c>
      <c r="K58" s="6">
        <f t="shared" si="14"/>
        <v>0</v>
      </c>
      <c r="L58" s="6">
        <f t="shared" si="15"/>
        <v>0</v>
      </c>
      <c r="M58" s="6">
        <f t="shared" si="16"/>
        <v>0</v>
      </c>
      <c r="N58" s="6">
        <f t="shared" si="17"/>
        <v>0</v>
      </c>
      <c r="O58" s="6">
        <f t="shared" si="18"/>
        <v>0</v>
      </c>
      <c r="P58" s="6">
        <f t="shared" si="19"/>
        <v>0</v>
      </c>
      <c r="R58" s="6" t="str">
        <f t="shared" si="20"/>
        <v>SCADA Hardware Lifecycle Management</v>
      </c>
      <c r="S58" s="65">
        <f t="shared" si="21"/>
        <v>0</v>
      </c>
      <c r="T58" s="65">
        <f t="shared" si="22"/>
        <v>0</v>
      </c>
      <c r="U58" s="65">
        <f t="shared" si="23"/>
        <v>0</v>
      </c>
      <c r="V58" s="65">
        <f t="shared" si="24"/>
        <v>0</v>
      </c>
      <c r="W58" s="65">
        <f t="shared" si="25"/>
        <v>0</v>
      </c>
      <c r="X58" s="65">
        <f t="shared" si="26"/>
        <v>0</v>
      </c>
      <c r="Z58" s="6" t="str">
        <f t="shared" si="27"/>
        <v>SCADA Hardware Lifecycle Management</v>
      </c>
      <c r="AA58" s="6">
        <f>K58*'1.1 Input'!J$30</f>
        <v>0</v>
      </c>
      <c r="AB58" s="6">
        <f>L58*'1.1 Input'!K$30</f>
        <v>0</v>
      </c>
      <c r="AC58" s="6">
        <f>M58*'1.1 Input'!L$30</f>
        <v>0</v>
      </c>
      <c r="AD58" s="6">
        <f>N58*'1.1 Input'!M$30</f>
        <v>0</v>
      </c>
      <c r="AE58" s="6">
        <f>O58*'1.1 Input'!N$30</f>
        <v>0</v>
      </c>
      <c r="AF58" s="6">
        <f t="shared" si="28"/>
        <v>0</v>
      </c>
      <c r="AH58" s="6" t="str">
        <f t="shared" si="29"/>
        <v>SCADA Hardware Lifecycle Management</v>
      </c>
      <c r="AI58" s="6" t="str" cm="1">
        <f t="array" ref="AI58">_xlfn.IFNA(INDEX('1.0 Data'!$Q$9:$Q$66,MATCH($AH58,'1.0 Data'!$P$9:$P$66,0),0),"")</f>
        <v>2023/27</v>
      </c>
      <c r="AJ58" s="6" t="str" cm="1">
        <f t="array" ref="AJ58">_xlfn.IFNA(INDEX('1.0 Data'!S$9:S$66,MATCH($AH58,'1.0 Data'!$P$9:$P$66,0),0),"")</f>
        <v>Asset Monitoring</v>
      </c>
      <c r="AK58" s="6" t="str" cm="1">
        <f t="array" ref="AK58">_xlfn.IFNA(INDEX('1.0 Data'!T$9:T$66,MATCH($AH58,'1.0 Data'!$P$9:$P$66,0),0),"")</f>
        <v>Transmission Assets</v>
      </c>
      <c r="AL58" s="65">
        <f t="shared" si="30"/>
        <v>0</v>
      </c>
      <c r="AM58" s="65">
        <f t="shared" si="31"/>
        <v>0</v>
      </c>
      <c r="AN58" s="65">
        <f t="shared" si="32"/>
        <v>0</v>
      </c>
      <c r="AO58" s="65">
        <f t="shared" si="33"/>
        <v>0</v>
      </c>
      <c r="AP58" s="65">
        <f t="shared" si="34"/>
        <v>0</v>
      </c>
      <c r="AQ58" s="45">
        <f t="shared" si="35"/>
        <v>0</v>
      </c>
      <c r="AS58" s="71">
        <f t="shared" si="36"/>
        <v>0</v>
      </c>
    </row>
    <row r="59" spans="1:45" ht="16.5" thickTop="1" thickBot="1">
      <c r="A59" s="43" t="str">
        <f>'1.0 Data'!P59</f>
        <v>Sound Wall Earthing</v>
      </c>
      <c r="B59" s="67" cm="1">
        <f t="array" ref="B59">_xlfn.IFNA(INDEX('1.0 Data'!$AB$9:$AB$66,MATCH($A59,'1.0 Data'!$P$9:$P$66,0),0),0)</f>
        <v>0</v>
      </c>
      <c r="C59" s="69" cm="1">
        <f t="array" ref="C59">_xlfn.IFNA(INDEX('1.0 Data'!V$9:V$66,MATCH($A59,'1.0 Data'!$P$9:$P$66,0),0),0)</f>
        <v>0</v>
      </c>
      <c r="D59" s="69" cm="1">
        <f t="array" ref="D59">_xlfn.IFNA(INDEX('1.0 Data'!W$9:W$66,MATCH($A59,'1.0 Data'!$P$9:$P$66,0),0),0)</f>
        <v>0</v>
      </c>
      <c r="E59" s="69" cm="1">
        <f t="array" ref="E59">_xlfn.IFNA(INDEX('1.0 Data'!X$9:X$66,MATCH($A59,'1.0 Data'!$P$9:$P$66,0),0),0)</f>
        <v>61253.830000000009</v>
      </c>
      <c r="F59" s="69" cm="1">
        <f t="array" ref="F59">_xlfn.IFNA(INDEX('1.0 Data'!Y$9:Y$66,MATCH($A59,'1.0 Data'!$P$9:$P$66,0),0),0)</f>
        <v>0</v>
      </c>
      <c r="G59" s="69" cm="1">
        <f t="array" ref="G59">_xlfn.IFNA(INDEX('1.0 Data'!Z$9:Z$66,MATCH($A59,'1.0 Data'!$P$9:$P$66,0),0),0)</f>
        <v>0</v>
      </c>
      <c r="H59" s="45">
        <f t="shared" si="12"/>
        <v>61253.830000000009</v>
      </c>
      <c r="J59" s="6" t="str">
        <f t="shared" si="13"/>
        <v>Sound Wall Earthing</v>
      </c>
      <c r="K59" s="6">
        <f t="shared" si="14"/>
        <v>0</v>
      </c>
      <c r="L59" s="6">
        <f t="shared" si="15"/>
        <v>0</v>
      </c>
      <c r="M59" s="6">
        <f t="shared" si="16"/>
        <v>0</v>
      </c>
      <c r="N59" s="6">
        <f t="shared" si="17"/>
        <v>0</v>
      </c>
      <c r="O59" s="6">
        <f t="shared" si="18"/>
        <v>0</v>
      </c>
      <c r="P59" s="6">
        <f t="shared" si="19"/>
        <v>0</v>
      </c>
      <c r="R59" s="6" t="str">
        <f t="shared" si="20"/>
        <v>Sound Wall Earthing</v>
      </c>
      <c r="S59" s="65">
        <f t="shared" si="21"/>
        <v>0</v>
      </c>
      <c r="T59" s="65">
        <f t="shared" si="22"/>
        <v>0</v>
      </c>
      <c r="U59" s="65">
        <f t="shared" si="23"/>
        <v>61253.830000000009</v>
      </c>
      <c r="V59" s="65">
        <f t="shared" si="24"/>
        <v>0</v>
      </c>
      <c r="W59" s="65">
        <f t="shared" si="25"/>
        <v>0</v>
      </c>
      <c r="X59" s="65">
        <f t="shared" si="26"/>
        <v>61253.830000000009</v>
      </c>
      <c r="Z59" s="6" t="str">
        <f t="shared" si="27"/>
        <v>Sound Wall Earthing</v>
      </c>
      <c r="AA59" s="6">
        <f>K59*'1.1 Input'!J$30</f>
        <v>0</v>
      </c>
      <c r="AB59" s="6">
        <f>L59*'1.1 Input'!K$30</f>
        <v>0</v>
      </c>
      <c r="AC59" s="6">
        <f>M59*'1.1 Input'!L$30</f>
        <v>0</v>
      </c>
      <c r="AD59" s="6">
        <f>N59*'1.1 Input'!M$30</f>
        <v>0</v>
      </c>
      <c r="AE59" s="6">
        <f>O59*'1.1 Input'!N$30</f>
        <v>0</v>
      </c>
      <c r="AF59" s="6">
        <f t="shared" si="28"/>
        <v>0</v>
      </c>
      <c r="AH59" s="6" t="str">
        <f t="shared" si="29"/>
        <v>Sound Wall Earthing</v>
      </c>
      <c r="AI59" s="6" t="str" cm="1">
        <f t="array" ref="AI59">_xlfn.IFNA(INDEX('1.0 Data'!$Q$9:$Q$66,MATCH($AH59,'1.0 Data'!$P$9:$P$66,0),0),"")</f>
        <v>2023/28</v>
      </c>
      <c r="AJ59" s="6" t="str" cm="1">
        <f t="array" ref="AJ59">_xlfn.IFNA(INDEX('1.0 Data'!S$9:S$66,MATCH($AH59,'1.0 Data'!$P$9:$P$66,0),0),"")</f>
        <v>Safety and Protection</v>
      </c>
      <c r="AK59" s="6" t="str" cm="1">
        <f t="array" ref="AK59">_xlfn.IFNA(INDEX('1.0 Data'!T$9:T$66,MATCH($AH59,'1.0 Data'!$P$9:$P$66,0),0),"")</f>
        <v>Transmission Assets</v>
      </c>
      <c r="AL59" s="65">
        <f t="shared" si="30"/>
        <v>0</v>
      </c>
      <c r="AM59" s="65">
        <f t="shared" si="31"/>
        <v>0</v>
      </c>
      <c r="AN59" s="65">
        <f t="shared" si="32"/>
        <v>61253.830000000009</v>
      </c>
      <c r="AO59" s="65">
        <f t="shared" si="33"/>
        <v>0</v>
      </c>
      <c r="AP59" s="65">
        <f t="shared" si="34"/>
        <v>0</v>
      </c>
      <c r="AQ59" s="45">
        <f t="shared" si="35"/>
        <v>61253.830000000009</v>
      </c>
      <c r="AS59" s="71">
        <f t="shared" si="36"/>
        <v>0</v>
      </c>
    </row>
    <row r="60" spans="1:45" ht="16.5" thickTop="1" thickBot="1">
      <c r="A60" s="43" t="str">
        <f>'1.0 Data'!P60</f>
        <v>Sparing for Obsolescence Placeholder</v>
      </c>
      <c r="B60" s="67" cm="1">
        <f t="array" ref="B60">_xlfn.IFNA(INDEX('1.0 Data'!$AB$9:$AB$66,MATCH($A60,'1.0 Data'!$P$9:$P$66,0),0),0)</f>
        <v>0</v>
      </c>
      <c r="C60" s="69" cm="1">
        <f t="array" ref="C60">_xlfn.IFNA(INDEX('1.0 Data'!V$9:V$66,MATCH($A60,'1.0 Data'!$P$9:$P$66,0),0),0)</f>
        <v>0</v>
      </c>
      <c r="D60" s="69" cm="1">
        <f t="array" ref="D60">_xlfn.IFNA(INDEX('1.0 Data'!W$9:W$66,MATCH($A60,'1.0 Data'!$P$9:$P$66,0),0),0)</f>
        <v>0</v>
      </c>
      <c r="E60" s="69" cm="1">
        <f t="array" ref="E60">_xlfn.IFNA(INDEX('1.0 Data'!X$9:X$66,MATCH($A60,'1.0 Data'!$P$9:$P$66,0),0),0)</f>
        <v>0</v>
      </c>
      <c r="F60" s="69" cm="1">
        <f t="array" ref="F60">_xlfn.IFNA(INDEX('1.0 Data'!Y$9:Y$66,MATCH($A60,'1.0 Data'!$P$9:$P$66,0),0),0)</f>
        <v>0</v>
      </c>
      <c r="G60" s="69" cm="1">
        <f t="array" ref="G60">_xlfn.IFNA(INDEX('1.0 Data'!Z$9:Z$66,MATCH($A60,'1.0 Data'!$P$9:$P$66,0),0),0)</f>
        <v>0</v>
      </c>
      <c r="H60" s="45">
        <f t="shared" si="12"/>
        <v>0</v>
      </c>
      <c r="J60" s="6" t="str">
        <f t="shared" si="13"/>
        <v>Sparing for Obsolescence Placeholder</v>
      </c>
      <c r="K60" s="6">
        <f t="shared" si="14"/>
        <v>0</v>
      </c>
      <c r="L60" s="6">
        <f t="shared" si="15"/>
        <v>0</v>
      </c>
      <c r="M60" s="6">
        <f t="shared" si="16"/>
        <v>0</v>
      </c>
      <c r="N60" s="6">
        <f t="shared" si="17"/>
        <v>0</v>
      </c>
      <c r="O60" s="6">
        <f t="shared" si="18"/>
        <v>0</v>
      </c>
      <c r="P60" s="6">
        <f t="shared" si="19"/>
        <v>0</v>
      </c>
      <c r="R60" s="6" t="str">
        <f t="shared" si="20"/>
        <v>Sparing for Obsolescence Placeholder</v>
      </c>
      <c r="S60" s="65">
        <f t="shared" si="21"/>
        <v>0</v>
      </c>
      <c r="T60" s="65">
        <f t="shared" si="22"/>
        <v>0</v>
      </c>
      <c r="U60" s="65">
        <f t="shared" si="23"/>
        <v>0</v>
      </c>
      <c r="V60" s="65">
        <f t="shared" si="24"/>
        <v>0</v>
      </c>
      <c r="W60" s="65">
        <f t="shared" si="25"/>
        <v>0</v>
      </c>
      <c r="X60" s="65">
        <f t="shared" si="26"/>
        <v>0</v>
      </c>
      <c r="Z60" s="6" t="str">
        <f t="shared" si="27"/>
        <v>Sparing for Obsolescence Placeholder</v>
      </c>
      <c r="AA60" s="6">
        <f>K60*'1.1 Input'!J$30</f>
        <v>0</v>
      </c>
      <c r="AB60" s="6">
        <f>L60*'1.1 Input'!K$30</f>
        <v>0</v>
      </c>
      <c r="AC60" s="6">
        <f>M60*'1.1 Input'!L$30</f>
        <v>0</v>
      </c>
      <c r="AD60" s="6">
        <f>N60*'1.1 Input'!M$30</f>
        <v>0</v>
      </c>
      <c r="AE60" s="6">
        <f>O60*'1.1 Input'!N$30</f>
        <v>0</v>
      </c>
      <c r="AF60" s="6">
        <f t="shared" si="28"/>
        <v>0</v>
      </c>
      <c r="AH60" s="6" t="str">
        <f t="shared" si="29"/>
        <v>Sparing for Obsolescence Placeholder</v>
      </c>
      <c r="AI60" s="6" t="str" cm="1">
        <f t="array" ref="AI60">_xlfn.IFNA(INDEX('1.0 Data'!$Q$9:$Q$66,MATCH($AH60,'1.0 Data'!$P$9:$P$66,0),0),"")</f>
        <v>2023/29</v>
      </c>
      <c r="AJ60" s="6" t="str" cm="1">
        <f t="array" ref="AJ60">_xlfn.IFNA(INDEX('1.0 Data'!S$9:S$66,MATCH($AH60,'1.0 Data'!$P$9:$P$66,0),0),"")</f>
        <v>Spares Management</v>
      </c>
      <c r="AK60" s="6" t="str" cm="1">
        <f t="array" ref="AK60">_xlfn.IFNA(INDEX('1.0 Data'!T$9:T$66,MATCH($AH60,'1.0 Data'!$P$9:$P$66,0),0),"")</f>
        <v>Transmission Assets</v>
      </c>
      <c r="AL60" s="65">
        <f t="shared" si="30"/>
        <v>0</v>
      </c>
      <c r="AM60" s="65">
        <f t="shared" si="31"/>
        <v>0</v>
      </c>
      <c r="AN60" s="65">
        <f t="shared" si="32"/>
        <v>0</v>
      </c>
      <c r="AO60" s="65">
        <f t="shared" si="33"/>
        <v>0</v>
      </c>
      <c r="AP60" s="65">
        <f t="shared" si="34"/>
        <v>0</v>
      </c>
      <c r="AQ60" s="45">
        <f t="shared" si="35"/>
        <v>0</v>
      </c>
      <c r="AS60" s="71">
        <f t="shared" si="36"/>
        <v>0</v>
      </c>
    </row>
    <row r="61" spans="1:45" ht="16.5" thickTop="1" thickBot="1">
      <c r="A61" s="43" t="str">
        <f>'1.0 Data'!P61</f>
        <v>UTV 4x4</v>
      </c>
      <c r="B61" s="67" cm="1">
        <f t="array" ref="B61">_xlfn.IFNA(INDEX('1.0 Data'!$AB$9:$AB$66,MATCH($A61,'1.0 Data'!$P$9:$P$66,0),0),0)</f>
        <v>0</v>
      </c>
      <c r="C61" s="69" cm="1">
        <f t="array" ref="C61">_xlfn.IFNA(INDEX('1.0 Data'!V$9:V$66,MATCH($A61,'1.0 Data'!$P$9:$P$66,0),0),0)</f>
        <v>26664.000000000004</v>
      </c>
      <c r="D61" s="69" cm="1">
        <f t="array" ref="D61">_xlfn.IFNA(INDEX('1.0 Data'!W$9:W$66,MATCH($A61,'1.0 Data'!$P$9:$P$66,0),0),0)</f>
        <v>0</v>
      </c>
      <c r="E61" s="69" cm="1">
        <f t="array" ref="E61">_xlfn.IFNA(INDEX('1.0 Data'!X$9:X$66,MATCH($A61,'1.0 Data'!$P$9:$P$66,0),0),0)</f>
        <v>0</v>
      </c>
      <c r="F61" s="69" cm="1">
        <f t="array" ref="F61">_xlfn.IFNA(INDEX('1.0 Data'!Y$9:Y$66,MATCH($A61,'1.0 Data'!$P$9:$P$66,0),0),0)</f>
        <v>0</v>
      </c>
      <c r="G61" s="69" cm="1">
        <f t="array" ref="G61">_xlfn.IFNA(INDEX('1.0 Data'!Z$9:Z$66,MATCH($A61,'1.0 Data'!$P$9:$P$66,0),0),0)</f>
        <v>0</v>
      </c>
      <c r="H61" s="45">
        <f t="shared" si="12"/>
        <v>26664.000000000004</v>
      </c>
      <c r="J61" s="6" t="str">
        <f t="shared" si="13"/>
        <v>UTV 4x4</v>
      </c>
      <c r="K61" s="6">
        <f t="shared" si="14"/>
        <v>0</v>
      </c>
      <c r="L61" s="6">
        <f t="shared" si="15"/>
        <v>0</v>
      </c>
      <c r="M61" s="6">
        <f t="shared" si="16"/>
        <v>0</v>
      </c>
      <c r="N61" s="6">
        <f t="shared" si="17"/>
        <v>0</v>
      </c>
      <c r="O61" s="6">
        <f t="shared" si="18"/>
        <v>0</v>
      </c>
      <c r="P61" s="6">
        <f t="shared" si="19"/>
        <v>0</v>
      </c>
      <c r="R61" s="6" t="str">
        <f t="shared" si="20"/>
        <v>UTV 4x4</v>
      </c>
      <c r="S61" s="65">
        <f t="shared" si="21"/>
        <v>26664.000000000004</v>
      </c>
      <c r="T61" s="65">
        <f t="shared" si="22"/>
        <v>0</v>
      </c>
      <c r="U61" s="65">
        <f t="shared" si="23"/>
        <v>0</v>
      </c>
      <c r="V61" s="65">
        <f t="shared" si="24"/>
        <v>0</v>
      </c>
      <c r="W61" s="65">
        <f t="shared" si="25"/>
        <v>0</v>
      </c>
      <c r="X61" s="65">
        <f t="shared" si="26"/>
        <v>26664.000000000004</v>
      </c>
      <c r="Z61" s="6" t="str">
        <f t="shared" si="27"/>
        <v>UTV 4x4</v>
      </c>
      <c r="AA61" s="6">
        <f>K61*'1.1 Input'!J$30</f>
        <v>0</v>
      </c>
      <c r="AB61" s="6">
        <f>L61*'1.1 Input'!K$30</f>
        <v>0</v>
      </c>
      <c r="AC61" s="6">
        <f>M61*'1.1 Input'!L$30</f>
        <v>0</v>
      </c>
      <c r="AD61" s="6">
        <f>N61*'1.1 Input'!M$30</f>
        <v>0</v>
      </c>
      <c r="AE61" s="6">
        <f>O61*'1.1 Input'!N$30</f>
        <v>0</v>
      </c>
      <c r="AF61" s="6">
        <f t="shared" si="28"/>
        <v>0</v>
      </c>
      <c r="AH61" s="6" t="str">
        <f t="shared" si="29"/>
        <v>UTV 4x4</v>
      </c>
      <c r="AI61" s="6" t="str" cm="1">
        <f t="array" ref="AI61">_xlfn.IFNA(INDEX('1.0 Data'!$Q$9:$Q$66,MATCH($AH61,'1.0 Data'!$P$9:$P$66,0),0),"")</f>
        <v>2023/30</v>
      </c>
      <c r="AJ61" s="6" t="str" cm="1">
        <f t="array" ref="AJ61">_xlfn.IFNA(INDEX('1.0 Data'!S$9:S$66,MATCH($AH61,'1.0 Data'!$P$9:$P$66,0),0),"")</f>
        <v>Asset Monitoring</v>
      </c>
      <c r="AK61" s="6" t="str" cm="1">
        <f t="array" ref="AK61">_xlfn.IFNA(INDEX('1.0 Data'!T$9:T$66,MATCH($AH61,'1.0 Data'!$P$9:$P$66,0),0),"")</f>
        <v>Transmission Assets</v>
      </c>
      <c r="AL61" s="65">
        <f t="shared" si="30"/>
        <v>26664.000000000004</v>
      </c>
      <c r="AM61" s="65">
        <f t="shared" si="31"/>
        <v>0</v>
      </c>
      <c r="AN61" s="65">
        <f t="shared" si="32"/>
        <v>0</v>
      </c>
      <c r="AO61" s="65">
        <f t="shared" si="33"/>
        <v>0</v>
      </c>
      <c r="AP61" s="65">
        <f t="shared" si="34"/>
        <v>0</v>
      </c>
      <c r="AQ61" s="45">
        <f t="shared" si="35"/>
        <v>26664.000000000004</v>
      </c>
      <c r="AS61" s="71">
        <f t="shared" si="36"/>
        <v>0</v>
      </c>
    </row>
    <row r="62" spans="1:45" ht="16.5" thickTop="1" thickBot="1">
      <c r="A62" s="43" t="str">
        <f>'1.0 Data'!P62</f>
        <v>Spares Management</v>
      </c>
      <c r="B62" s="67" cm="1">
        <f t="array" ref="B62">_xlfn.IFNA(INDEX('1.0 Data'!$AB$9:$AB$66,MATCH($A62,'1.0 Data'!$P$9:$P$66,0),0),0)</f>
        <v>0</v>
      </c>
      <c r="C62" s="69" cm="1">
        <f t="array" ref="C62">_xlfn.IFNA(INDEX('1.0 Data'!V$9:V$66,MATCH($A62,'1.0 Data'!$P$9:$P$66,0),0),0)</f>
        <v>1775760.9100000001</v>
      </c>
      <c r="D62" s="69" cm="1">
        <f t="array" ref="D62">_xlfn.IFNA(INDEX('1.0 Data'!W$9:W$66,MATCH($A62,'1.0 Data'!$P$9:$P$66,0),0),0)</f>
        <v>1176544.7100000002</v>
      </c>
      <c r="E62" s="69" cm="1">
        <f t="array" ref="E62">_xlfn.IFNA(INDEX('1.0 Data'!X$9:X$66,MATCH($A62,'1.0 Data'!$P$9:$P$66,0),0),0)</f>
        <v>1642660.9100000001</v>
      </c>
      <c r="F62" s="69" cm="1">
        <f t="array" ref="F62">_xlfn.IFNA(INDEX('1.0 Data'!Y$9:Y$66,MATCH($A62,'1.0 Data'!$P$9:$P$66,0),0),0)</f>
        <v>1497460.9100000001</v>
      </c>
      <c r="G62" s="69" cm="1">
        <f t="array" ref="G62">_xlfn.IFNA(INDEX('1.0 Data'!Z$9:Z$66,MATCH($A62,'1.0 Data'!$P$9:$P$66,0),0),0)</f>
        <v>6007572.5600000015</v>
      </c>
      <c r="H62" s="45">
        <f t="shared" si="12"/>
        <v>12100000.000000002</v>
      </c>
      <c r="J62" s="6" t="str">
        <f t="shared" si="13"/>
        <v>Spares Management</v>
      </c>
      <c r="K62" s="6">
        <f t="shared" si="14"/>
        <v>0</v>
      </c>
      <c r="L62" s="6">
        <f t="shared" si="15"/>
        <v>0</v>
      </c>
      <c r="M62" s="6">
        <f t="shared" si="16"/>
        <v>0</v>
      </c>
      <c r="N62" s="6">
        <f t="shared" si="17"/>
        <v>0</v>
      </c>
      <c r="O62" s="6">
        <f t="shared" si="18"/>
        <v>0</v>
      </c>
      <c r="P62" s="6">
        <f t="shared" si="19"/>
        <v>0</v>
      </c>
      <c r="R62" s="6" t="str">
        <f t="shared" si="20"/>
        <v>Spares Management</v>
      </c>
      <c r="S62" s="65">
        <f t="shared" si="21"/>
        <v>1775760.9100000001</v>
      </c>
      <c r="T62" s="65">
        <f t="shared" si="22"/>
        <v>1176544.7100000002</v>
      </c>
      <c r="U62" s="65">
        <f t="shared" si="23"/>
        <v>1642660.9100000001</v>
      </c>
      <c r="V62" s="65">
        <f t="shared" si="24"/>
        <v>1497460.9100000001</v>
      </c>
      <c r="W62" s="65">
        <f t="shared" si="25"/>
        <v>6007572.5600000015</v>
      </c>
      <c r="X62" s="65">
        <f t="shared" si="26"/>
        <v>12100000.000000002</v>
      </c>
      <c r="Z62" s="6" t="str">
        <f t="shared" si="27"/>
        <v>Spares Management</v>
      </c>
      <c r="AA62" s="6">
        <f>K62*'1.1 Input'!J$30</f>
        <v>0</v>
      </c>
      <c r="AB62" s="6">
        <f>L62*'1.1 Input'!K$30</f>
        <v>0</v>
      </c>
      <c r="AC62" s="6">
        <f>M62*'1.1 Input'!L$30</f>
        <v>0</v>
      </c>
      <c r="AD62" s="6">
        <f>N62*'1.1 Input'!M$30</f>
        <v>0</v>
      </c>
      <c r="AE62" s="6">
        <f>O62*'1.1 Input'!N$30</f>
        <v>0</v>
      </c>
      <c r="AF62" s="6">
        <f t="shared" si="28"/>
        <v>0</v>
      </c>
      <c r="AH62" s="6" t="str">
        <f t="shared" si="29"/>
        <v>Spares Management</v>
      </c>
      <c r="AI62" s="6" t="str" cm="1">
        <f t="array" ref="AI62">_xlfn.IFNA(INDEX('1.0 Data'!$Q$9:$Q$66,MATCH($AH62,'1.0 Data'!$P$9:$P$66,0),0),"")</f>
        <v>2023/31</v>
      </c>
      <c r="AJ62" s="6" t="str" cm="1">
        <f t="array" ref="AJ62">_xlfn.IFNA(INDEX('1.0 Data'!S$9:S$66,MATCH($AH62,'1.0 Data'!$P$9:$P$66,0),0),"")</f>
        <v>Spares Management</v>
      </c>
      <c r="AK62" s="6" t="str" cm="1">
        <f t="array" ref="AK62">_xlfn.IFNA(INDEX('1.0 Data'!T$9:T$66,MATCH($AH62,'1.0 Data'!$P$9:$P$66,0),0),"")</f>
        <v>Transmission Assets</v>
      </c>
      <c r="AL62" s="65">
        <f t="shared" si="30"/>
        <v>1775760.9100000001</v>
      </c>
      <c r="AM62" s="65">
        <f t="shared" si="31"/>
        <v>1176544.7100000002</v>
      </c>
      <c r="AN62" s="65">
        <f t="shared" si="32"/>
        <v>1642660.9100000001</v>
      </c>
      <c r="AO62" s="65">
        <f t="shared" si="33"/>
        <v>1497460.9100000001</v>
      </c>
      <c r="AP62" s="65">
        <f t="shared" si="34"/>
        <v>6007572.5600000015</v>
      </c>
      <c r="AQ62" s="45">
        <f t="shared" si="35"/>
        <v>12100000.000000002</v>
      </c>
      <c r="AS62" s="71">
        <f t="shared" si="36"/>
        <v>0</v>
      </c>
    </row>
    <row r="63" spans="1:45" ht="16.5" thickTop="1" thickBot="1">
      <c r="A63" s="43" t="str">
        <f>'1.0 Data'!P63</f>
        <v>Transmission Determination cost</v>
      </c>
      <c r="B63" s="67" cm="1">
        <f t="array" ref="B63">_xlfn.IFNA(INDEX('1.0 Data'!$AB$9:$AB$66,MATCH($A63,'1.0 Data'!$P$9:$P$66,0),0),0)</f>
        <v>0</v>
      </c>
      <c r="C63" s="69" cm="1">
        <f t="array" ref="C63">_xlfn.IFNA(INDEX('1.0 Data'!V$9:V$66,MATCH($A63,'1.0 Data'!$P$9:$P$66,0),0),0)</f>
        <v>0</v>
      </c>
      <c r="D63" s="69" cm="1">
        <f t="array" ref="D63">_xlfn.IFNA(INDEX('1.0 Data'!W$9:W$66,MATCH($A63,'1.0 Data'!$P$9:$P$66,0),0),0)</f>
        <v>0</v>
      </c>
      <c r="E63" s="69" cm="1">
        <f t="array" ref="E63">_xlfn.IFNA(INDEX('1.0 Data'!X$9:X$66,MATCH($A63,'1.0 Data'!$P$9:$P$66,0),0),0)</f>
        <v>0</v>
      </c>
      <c r="F63" s="69" cm="1">
        <f t="array" ref="F63">_xlfn.IFNA(INDEX('1.0 Data'!Y$9:Y$66,MATCH($A63,'1.0 Data'!$P$9:$P$66,0),0),0)</f>
        <v>141575</v>
      </c>
      <c r="G63" s="69" cm="1">
        <f t="array" ref="G63">_xlfn.IFNA(INDEX('1.0 Data'!Z$9:Z$66,MATCH($A63,'1.0 Data'!$P$9:$P$66,0),0),0)</f>
        <v>141575</v>
      </c>
      <c r="H63" s="45">
        <f t="shared" si="12"/>
        <v>283150</v>
      </c>
      <c r="J63" s="6" t="str">
        <f t="shared" si="13"/>
        <v>Transmission Determination cost</v>
      </c>
      <c r="K63" s="6">
        <f t="shared" si="14"/>
        <v>0</v>
      </c>
      <c r="L63" s="6">
        <f t="shared" si="15"/>
        <v>0</v>
      </c>
      <c r="M63" s="6">
        <f t="shared" si="16"/>
        <v>0</v>
      </c>
      <c r="N63" s="6">
        <f t="shared" si="17"/>
        <v>0</v>
      </c>
      <c r="O63" s="6">
        <f t="shared" si="18"/>
        <v>0</v>
      </c>
      <c r="P63" s="6">
        <f t="shared" si="19"/>
        <v>0</v>
      </c>
      <c r="R63" s="6" t="str">
        <f t="shared" si="20"/>
        <v>Transmission Determination cost</v>
      </c>
      <c r="S63" s="65">
        <f t="shared" si="21"/>
        <v>0</v>
      </c>
      <c r="T63" s="65">
        <f t="shared" si="22"/>
        <v>0</v>
      </c>
      <c r="U63" s="65">
        <f t="shared" si="23"/>
        <v>0</v>
      </c>
      <c r="V63" s="65">
        <f t="shared" si="24"/>
        <v>141575</v>
      </c>
      <c r="W63" s="65">
        <f t="shared" si="25"/>
        <v>141575</v>
      </c>
      <c r="X63" s="65">
        <f t="shared" si="26"/>
        <v>283150</v>
      </c>
      <c r="Z63" s="6" t="str">
        <f t="shared" si="27"/>
        <v>Transmission Determination cost</v>
      </c>
      <c r="AA63" s="6">
        <f>K63*'1.1 Input'!J$30</f>
        <v>0</v>
      </c>
      <c r="AB63" s="6">
        <f>L63*'1.1 Input'!K$30</f>
        <v>0</v>
      </c>
      <c r="AC63" s="6">
        <f>M63*'1.1 Input'!L$30</f>
        <v>0</v>
      </c>
      <c r="AD63" s="6">
        <f>N63*'1.1 Input'!M$30</f>
        <v>0</v>
      </c>
      <c r="AE63" s="6">
        <f>O63*'1.1 Input'!N$30</f>
        <v>0</v>
      </c>
      <c r="AF63" s="6">
        <f t="shared" si="28"/>
        <v>0</v>
      </c>
      <c r="AH63" s="6" t="str">
        <f t="shared" si="29"/>
        <v>Transmission Determination cost</v>
      </c>
      <c r="AI63" s="6" t="str" cm="1">
        <f t="array" ref="AI63">_xlfn.IFNA(INDEX('1.0 Data'!$Q$9:$Q$66,MATCH($AH63,'1.0 Data'!$P$9:$P$66,0),0),"")</f>
        <v>2023/32</v>
      </c>
      <c r="AJ63" s="6" t="str" cm="1">
        <f t="array" ref="AJ63">_xlfn.IFNA(INDEX('1.0 Data'!S$9:S$66,MATCH($AH63,'1.0 Data'!$P$9:$P$66,0),0),"")</f>
        <v>Transmission Determination Costs</v>
      </c>
      <c r="AK63" s="6" t="str" cm="1">
        <f t="array" ref="AK63">_xlfn.IFNA(INDEX('1.0 Data'!T$9:T$66,MATCH($AH63,'1.0 Data'!$P$9:$P$66,0),0),"")</f>
        <v>Transmission Determination Costs</v>
      </c>
      <c r="AL63" s="65">
        <f t="shared" si="30"/>
        <v>0</v>
      </c>
      <c r="AM63" s="65">
        <f t="shared" si="31"/>
        <v>0</v>
      </c>
      <c r="AN63" s="65">
        <f t="shared" si="32"/>
        <v>0</v>
      </c>
      <c r="AO63" s="65">
        <f t="shared" si="33"/>
        <v>141575</v>
      </c>
      <c r="AP63" s="65">
        <f t="shared" si="34"/>
        <v>141575</v>
      </c>
      <c r="AQ63" s="45">
        <f t="shared" si="35"/>
        <v>283150</v>
      </c>
      <c r="AS63" s="71">
        <f t="shared" si="36"/>
        <v>0</v>
      </c>
    </row>
    <row r="64" spans="1:45" ht="16.5" thickTop="1" thickBot="1">
      <c r="A64" s="43">
        <f>'1.0 Data'!P64</f>
        <v>0</v>
      </c>
      <c r="B64" s="67" cm="1">
        <f t="array" ref="B64">_xlfn.IFNA(INDEX('1.0 Data'!$AB$9:$AB$66,MATCH($A64,'1.0 Data'!$P$9:$P$66,0),0),0)</f>
        <v>0</v>
      </c>
      <c r="C64" s="69" cm="1">
        <f t="array" ref="C64">_xlfn.IFNA(INDEX('1.0 Data'!V$9:V$66,MATCH($A64,'1.0 Data'!$P$9:$P$66,0),0),0)</f>
        <v>0</v>
      </c>
      <c r="D64" s="69" cm="1">
        <f t="array" ref="D64">_xlfn.IFNA(INDEX('1.0 Data'!W$9:W$66,MATCH($A64,'1.0 Data'!$P$9:$P$66,0),0),0)</f>
        <v>0</v>
      </c>
      <c r="E64" s="69" cm="1">
        <f t="array" ref="E64">_xlfn.IFNA(INDEX('1.0 Data'!X$9:X$66,MATCH($A64,'1.0 Data'!$P$9:$P$66,0),0),0)</f>
        <v>0</v>
      </c>
      <c r="F64" s="69" cm="1">
        <f t="array" ref="F64">_xlfn.IFNA(INDEX('1.0 Data'!Y$9:Y$66,MATCH($A64,'1.0 Data'!$P$9:$P$66,0),0),0)</f>
        <v>0</v>
      </c>
      <c r="G64" s="69" cm="1">
        <f t="array" ref="G64">_xlfn.IFNA(INDEX('1.0 Data'!Z$9:Z$66,MATCH($A64,'1.0 Data'!$P$9:$P$66,0),0),0)</f>
        <v>0</v>
      </c>
      <c r="H64" s="45">
        <f t="shared" si="12"/>
        <v>0</v>
      </c>
      <c r="J64" s="6">
        <f t="shared" si="13"/>
        <v>0</v>
      </c>
      <c r="K64" s="6">
        <f t="shared" si="14"/>
        <v>0</v>
      </c>
      <c r="L64" s="6">
        <f t="shared" si="15"/>
        <v>0</v>
      </c>
      <c r="M64" s="6">
        <f t="shared" si="16"/>
        <v>0</v>
      </c>
      <c r="N64" s="6">
        <f t="shared" si="17"/>
        <v>0</v>
      </c>
      <c r="O64" s="6">
        <f t="shared" si="18"/>
        <v>0</v>
      </c>
      <c r="P64" s="6">
        <f t="shared" si="19"/>
        <v>0</v>
      </c>
      <c r="R64" s="6">
        <f t="shared" si="20"/>
        <v>0</v>
      </c>
      <c r="S64" s="65">
        <f t="shared" si="21"/>
        <v>0</v>
      </c>
      <c r="T64" s="65">
        <f t="shared" si="22"/>
        <v>0</v>
      </c>
      <c r="U64" s="65">
        <f t="shared" si="23"/>
        <v>0</v>
      </c>
      <c r="V64" s="65">
        <f t="shared" si="24"/>
        <v>0</v>
      </c>
      <c r="W64" s="65">
        <f t="shared" si="25"/>
        <v>0</v>
      </c>
      <c r="X64" s="65">
        <f t="shared" si="26"/>
        <v>0</v>
      </c>
      <c r="Z64" s="6">
        <f t="shared" si="27"/>
        <v>0</v>
      </c>
      <c r="AA64" s="6">
        <f>K64*'1.1 Input'!J$30</f>
        <v>0</v>
      </c>
      <c r="AB64" s="6">
        <f>L64*'1.1 Input'!K$30</f>
        <v>0</v>
      </c>
      <c r="AC64" s="6">
        <f>M64*'1.1 Input'!L$30</f>
        <v>0</v>
      </c>
      <c r="AD64" s="6">
        <f>N64*'1.1 Input'!M$30</f>
        <v>0</v>
      </c>
      <c r="AE64" s="6">
        <f>O64*'1.1 Input'!N$30</f>
        <v>0</v>
      </c>
      <c r="AF64" s="6">
        <f t="shared" si="28"/>
        <v>0</v>
      </c>
      <c r="AH64" s="6">
        <f t="shared" si="29"/>
        <v>0</v>
      </c>
      <c r="AI64" s="6" t="str" cm="1">
        <f t="array" ref="AI64">_xlfn.IFNA(INDEX('1.0 Data'!$Q$9:$Q$66,MATCH($AH64,'1.0 Data'!$P$9:$P$66,0),0),"")</f>
        <v/>
      </c>
      <c r="AJ64" s="6" t="str" cm="1">
        <f t="array" ref="AJ64">_xlfn.IFNA(INDEX('1.0 Data'!S$9:S$66,MATCH($AH64,'1.0 Data'!$P$9:$P$66,0),0),"")</f>
        <v/>
      </c>
      <c r="AK64" s="6" t="str" cm="1">
        <f t="array" ref="AK64">_xlfn.IFNA(INDEX('1.0 Data'!T$9:T$66,MATCH($AH64,'1.0 Data'!$P$9:$P$66,0),0),"")</f>
        <v/>
      </c>
      <c r="AL64" s="65">
        <f t="shared" si="30"/>
        <v>0</v>
      </c>
      <c r="AM64" s="65">
        <f t="shared" si="31"/>
        <v>0</v>
      </c>
      <c r="AN64" s="65">
        <f t="shared" si="32"/>
        <v>0</v>
      </c>
      <c r="AO64" s="65">
        <f t="shared" si="33"/>
        <v>0</v>
      </c>
      <c r="AP64" s="65">
        <f t="shared" si="34"/>
        <v>0</v>
      </c>
      <c r="AQ64" s="45">
        <f t="shared" si="35"/>
        <v>0</v>
      </c>
      <c r="AS64" s="71">
        <f t="shared" si="36"/>
        <v>0</v>
      </c>
    </row>
    <row r="65" spans="1:45" ht="16.5" thickTop="1" thickBot="1">
      <c r="A65" s="43">
        <f>'1.0 Data'!P65</f>
        <v>0</v>
      </c>
      <c r="B65" s="67" cm="1">
        <f t="array" ref="B65">_xlfn.IFNA(INDEX('1.0 Data'!$AB$9:$AB$66,MATCH($A65,'1.0 Data'!$P$9:$P$66,0),0),0)</f>
        <v>0</v>
      </c>
      <c r="C65" s="69" cm="1">
        <f t="array" ref="C65">_xlfn.IFNA(INDEX('1.0 Data'!V$9:V$66,MATCH($A65,'1.0 Data'!$P$9:$P$66,0),0),0)</f>
        <v>0</v>
      </c>
      <c r="D65" s="69" cm="1">
        <f t="array" ref="D65">_xlfn.IFNA(INDEX('1.0 Data'!W$9:W$66,MATCH($A65,'1.0 Data'!$P$9:$P$66,0),0),0)</f>
        <v>0</v>
      </c>
      <c r="E65" s="69" cm="1">
        <f t="array" ref="E65">_xlfn.IFNA(INDEX('1.0 Data'!X$9:X$66,MATCH($A65,'1.0 Data'!$P$9:$P$66,0),0),0)</f>
        <v>0</v>
      </c>
      <c r="F65" s="69" cm="1">
        <f t="array" ref="F65">_xlfn.IFNA(INDEX('1.0 Data'!Y$9:Y$66,MATCH($A65,'1.0 Data'!$P$9:$P$66,0),0),0)</f>
        <v>0</v>
      </c>
      <c r="G65" s="69" cm="1">
        <f t="array" ref="G65">_xlfn.IFNA(INDEX('1.0 Data'!Z$9:Z$66,MATCH($A65,'1.0 Data'!$P$9:$P$66,0),0),0)</f>
        <v>0</v>
      </c>
      <c r="H65" s="45">
        <f t="shared" si="12"/>
        <v>0</v>
      </c>
      <c r="J65" s="6">
        <f t="shared" si="13"/>
        <v>0</v>
      </c>
      <c r="K65" s="6">
        <f t="shared" si="14"/>
        <v>0</v>
      </c>
      <c r="L65" s="6">
        <f t="shared" si="15"/>
        <v>0</v>
      </c>
      <c r="M65" s="6">
        <f t="shared" si="16"/>
        <v>0</v>
      </c>
      <c r="N65" s="6">
        <f t="shared" si="17"/>
        <v>0</v>
      </c>
      <c r="O65" s="6">
        <f>G65*$B65</f>
        <v>0</v>
      </c>
      <c r="P65" s="6">
        <f t="shared" si="19"/>
        <v>0</v>
      </c>
      <c r="R65" s="6">
        <f t="shared" si="20"/>
        <v>0</v>
      </c>
      <c r="S65" s="65">
        <f t="shared" si="21"/>
        <v>0</v>
      </c>
      <c r="T65" s="65">
        <f t="shared" si="22"/>
        <v>0</v>
      </c>
      <c r="U65" s="65">
        <f t="shared" si="23"/>
        <v>0</v>
      </c>
      <c r="V65" s="65">
        <f t="shared" si="24"/>
        <v>0</v>
      </c>
      <c r="W65" s="65">
        <f t="shared" si="25"/>
        <v>0</v>
      </c>
      <c r="X65" s="65">
        <f t="shared" si="26"/>
        <v>0</v>
      </c>
      <c r="Z65" s="6">
        <f t="shared" si="27"/>
        <v>0</v>
      </c>
      <c r="AA65" s="6">
        <f>K65*'1.1 Input'!J$30</f>
        <v>0</v>
      </c>
      <c r="AB65" s="6">
        <f>L65*'1.1 Input'!K$30</f>
        <v>0</v>
      </c>
      <c r="AC65" s="6">
        <f>M65*'1.1 Input'!L$30</f>
        <v>0</v>
      </c>
      <c r="AD65" s="6">
        <f>N65*'1.1 Input'!M$30</f>
        <v>0</v>
      </c>
      <c r="AE65" s="6">
        <f>O65*'1.1 Input'!N$30</f>
        <v>0</v>
      </c>
      <c r="AF65" s="6">
        <f t="shared" si="28"/>
        <v>0</v>
      </c>
      <c r="AH65" s="6">
        <f t="shared" si="29"/>
        <v>0</v>
      </c>
      <c r="AI65" s="6" t="str" cm="1">
        <f t="array" ref="AI65">_xlfn.IFNA(INDEX('1.0 Data'!$Q$9:$Q$66,MATCH($AH65,'1.0 Data'!$P$9:$P$66,0),0),"")</f>
        <v/>
      </c>
      <c r="AJ65" s="6" t="str" cm="1">
        <f t="array" ref="AJ65">_xlfn.IFNA(INDEX('1.0 Data'!S$9:S$66,MATCH($AH65,'1.0 Data'!$P$9:$P$66,0),0),"")</f>
        <v/>
      </c>
      <c r="AK65" s="6" t="str" cm="1">
        <f t="array" ref="AK65">_xlfn.IFNA(INDEX('1.0 Data'!T$9:T$66,MATCH($AH65,'1.0 Data'!$P$9:$P$66,0),0),"")</f>
        <v/>
      </c>
      <c r="AL65" s="65">
        <f t="shared" si="30"/>
        <v>0</v>
      </c>
      <c r="AM65" s="65">
        <f t="shared" si="31"/>
        <v>0</v>
      </c>
      <c r="AN65" s="65">
        <f t="shared" si="32"/>
        <v>0</v>
      </c>
      <c r="AO65" s="65">
        <f t="shared" si="33"/>
        <v>0</v>
      </c>
      <c r="AP65" s="65">
        <f t="shared" si="34"/>
        <v>0</v>
      </c>
      <c r="AQ65" s="45">
        <f t="shared" si="35"/>
        <v>0</v>
      </c>
      <c r="AS65" s="71">
        <f t="shared" si="36"/>
        <v>0</v>
      </c>
    </row>
    <row r="66" spans="1:45" ht="16.5" thickTop="1" thickBot="1">
      <c r="A66" s="43">
        <f>'1.0 Data'!P66</f>
        <v>0</v>
      </c>
      <c r="B66" s="67" cm="1">
        <f t="array" ref="B66">_xlfn.IFNA(INDEX('1.0 Data'!$AB$9:$AB$66,MATCH($A66,'1.0 Data'!$P$9:$P$66,0),0),0)</f>
        <v>0</v>
      </c>
      <c r="C66" s="69" cm="1">
        <f t="array" ref="C66">_xlfn.IFNA(INDEX('1.0 Data'!V$9:V$66,MATCH($A66,'1.0 Data'!$P$9:$P$66,0),0),0)</f>
        <v>0</v>
      </c>
      <c r="D66" s="69" cm="1">
        <f t="array" ref="D66">_xlfn.IFNA(INDEX('1.0 Data'!W$9:W$66,MATCH($A66,'1.0 Data'!$P$9:$P$66,0),0),0)</f>
        <v>0</v>
      </c>
      <c r="E66" s="69" cm="1">
        <f t="array" ref="E66">_xlfn.IFNA(INDEX('1.0 Data'!X$9:X$66,MATCH($A66,'1.0 Data'!$P$9:$P$66,0),0),0)</f>
        <v>0</v>
      </c>
      <c r="F66" s="69" cm="1">
        <f t="array" ref="F66">_xlfn.IFNA(INDEX('1.0 Data'!Y$9:Y$66,MATCH($A66,'1.0 Data'!$P$9:$P$66,0),0),0)</f>
        <v>0</v>
      </c>
      <c r="G66" s="69" cm="1">
        <f t="array" ref="G66">_xlfn.IFNA(INDEX('1.0 Data'!Z$9:Z$66,MATCH($A66,'1.0 Data'!$P$9:$P$66,0),0),0)</f>
        <v>0</v>
      </c>
      <c r="H66" s="45">
        <f t="shared" si="12"/>
        <v>0</v>
      </c>
      <c r="J66" s="6">
        <f t="shared" si="13"/>
        <v>0</v>
      </c>
      <c r="K66" s="6">
        <f t="shared" si="14"/>
        <v>0</v>
      </c>
      <c r="L66" s="6">
        <f t="shared" si="15"/>
        <v>0</v>
      </c>
      <c r="M66" s="6">
        <f t="shared" si="16"/>
        <v>0</v>
      </c>
      <c r="N66" s="6">
        <f t="shared" ref="N66" si="37">F66*$B66</f>
        <v>0</v>
      </c>
      <c r="O66" s="6">
        <f>G66*$B66</f>
        <v>0</v>
      </c>
      <c r="P66" s="6">
        <f>SUM(K66:O66)</f>
        <v>0</v>
      </c>
      <c r="R66" s="6">
        <f t="shared" ref="R66" si="38">J66</f>
        <v>0</v>
      </c>
      <c r="S66" s="65">
        <f t="shared" ref="S66" si="39">C66*(1-$B66)</f>
        <v>0</v>
      </c>
      <c r="T66" s="65">
        <f t="shared" ref="T66" si="40">D66*(1-$B66)</f>
        <v>0</v>
      </c>
      <c r="U66" s="65">
        <f t="shared" ref="U66" si="41">E66*(1-$B66)</f>
        <v>0</v>
      </c>
      <c r="V66" s="65">
        <f t="shared" ref="V66" si="42">F66*(1-$B66)</f>
        <v>0</v>
      </c>
      <c r="W66" s="65">
        <f t="shared" ref="W66" si="43">G66*(1-$B66)</f>
        <v>0</v>
      </c>
      <c r="X66" s="65">
        <f t="shared" ref="X66" si="44">SUM(S66:W66)</f>
        <v>0</v>
      </c>
      <c r="Z66" s="6">
        <f t="shared" ref="Z66" si="45">J66</f>
        <v>0</v>
      </c>
      <c r="AA66" s="6">
        <f>K66*'1.1 Input'!J$30</f>
        <v>0</v>
      </c>
      <c r="AB66" s="6">
        <f>L66*'1.1 Input'!K$30</f>
        <v>0</v>
      </c>
      <c r="AC66" s="6">
        <f>M66*'1.1 Input'!L$30</f>
        <v>0</v>
      </c>
      <c r="AD66" s="6">
        <f>N66*'1.1 Input'!M$30</f>
        <v>0</v>
      </c>
      <c r="AE66" s="6">
        <f>O66*'1.1 Input'!N$30</f>
        <v>0</v>
      </c>
      <c r="AF66" s="6">
        <f t="shared" ref="AF66" si="46">SUM(AA66:AE66)</f>
        <v>0</v>
      </c>
      <c r="AH66" s="6">
        <f t="shared" ref="AH66" si="47">Z66</f>
        <v>0</v>
      </c>
      <c r="AI66" s="6" t="str" cm="1">
        <f t="array" ref="AI66">_xlfn.IFNA(INDEX('1.0 Data'!$Q$9:$Q$66,MATCH($AH66,'1.0 Data'!$P$9:$P$66,0),0),"")</f>
        <v/>
      </c>
      <c r="AJ66" s="6" t="str" cm="1">
        <f t="array" ref="AJ66">_xlfn.IFNA(INDEX('1.0 Data'!S$9:S$66,MATCH($AH66,'1.0 Data'!$P$9:$P$66,0),0),"")</f>
        <v/>
      </c>
      <c r="AK66" s="6" t="str" cm="1">
        <f t="array" ref="AK66">_xlfn.IFNA(INDEX('1.0 Data'!T$9:T$66,MATCH($AH66,'1.0 Data'!$P$9:$P$66,0),0),"")</f>
        <v/>
      </c>
      <c r="AL66" s="65">
        <f>AA66+S66</f>
        <v>0</v>
      </c>
      <c r="AM66" s="65">
        <f>AB66+T66</f>
        <v>0</v>
      </c>
      <c r="AN66" s="65">
        <f>AC66+U66</f>
        <v>0</v>
      </c>
      <c r="AO66" s="65">
        <f>AD66+V66</f>
        <v>0</v>
      </c>
      <c r="AP66" s="65">
        <f>AE66+W66</f>
        <v>0</v>
      </c>
      <c r="AQ66" s="45">
        <f>SUM(AL66:AP66)</f>
        <v>0</v>
      </c>
      <c r="AS66" s="71">
        <f>H66-P66+AF66-AQ66</f>
        <v>0</v>
      </c>
    </row>
    <row r="67" spans="1:45" ht="15.75" thickTop="1">
      <c r="K67"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AA211"/>
  <sheetViews>
    <sheetView zoomScale="130" zoomScaleNormal="130" workbookViewId="0">
      <selection activeCell="J4" sqref="J4"/>
    </sheetView>
  </sheetViews>
  <sheetFormatPr defaultRowHeight="15"/>
  <cols>
    <col min="1" max="1" width="33.375" customWidth="1"/>
    <col min="5" max="5" width="16.875" bestFit="1" customWidth="1"/>
    <col min="6" max="9" width="21.375" customWidth="1"/>
    <col min="10" max="10" width="13.375" bestFit="1" customWidth="1"/>
    <col min="11" max="11" width="10.875" customWidth="1"/>
    <col min="12" max="12" width="35" bestFit="1" customWidth="1"/>
    <col min="13" max="13" width="11.875" customWidth="1"/>
    <col min="14" max="14" width="25.375" customWidth="1"/>
    <col min="17" max="17" width="13.375" bestFit="1" customWidth="1"/>
    <col min="18" max="21" width="12" bestFit="1" customWidth="1"/>
    <col min="22" max="22" width="13.375" bestFit="1" customWidth="1"/>
    <col min="23" max="23" width="13.875" customWidth="1"/>
  </cols>
  <sheetData>
    <row r="1" spans="1:27" ht="22.5">
      <c r="A1" s="1"/>
      <c r="B1" s="1"/>
      <c r="C1" s="1"/>
      <c r="D1" s="1"/>
      <c r="E1" s="1"/>
      <c r="F1" s="1"/>
      <c r="G1" s="1"/>
      <c r="H1" s="1"/>
      <c r="I1" s="1"/>
      <c r="J1" s="1"/>
      <c r="K1" s="1"/>
      <c r="L1" s="1"/>
      <c r="M1" s="1"/>
      <c r="N1" s="1"/>
      <c r="O1" s="1"/>
      <c r="P1" s="1"/>
      <c r="Q1" s="1"/>
      <c r="R1" s="1"/>
      <c r="S1" s="1"/>
      <c r="T1" s="1"/>
      <c r="U1" s="1"/>
      <c r="V1" s="1"/>
      <c r="W1" s="1"/>
      <c r="X1" s="1"/>
      <c r="Y1" s="1"/>
      <c r="Z1" s="1"/>
      <c r="AA1" s="1"/>
    </row>
    <row r="2" spans="1:27" ht="23.25" thickBot="1">
      <c r="A2" s="1"/>
      <c r="B2" s="1"/>
      <c r="C2" s="1"/>
      <c r="D2" s="1"/>
      <c r="E2" s="1"/>
      <c r="F2" s="1"/>
      <c r="G2" s="1"/>
      <c r="H2" s="1"/>
      <c r="I2" s="1"/>
      <c r="J2" s="1"/>
      <c r="K2" s="1"/>
      <c r="L2" s="1"/>
      <c r="M2" s="1"/>
      <c r="N2" s="1"/>
      <c r="O2" s="1"/>
      <c r="P2" s="1"/>
      <c r="Q2" s="1"/>
      <c r="R2" s="1"/>
      <c r="S2" s="1"/>
      <c r="T2" s="1"/>
      <c r="U2" s="1"/>
      <c r="V2" s="1"/>
      <c r="W2" s="1"/>
      <c r="X2" s="1"/>
      <c r="Y2" s="1"/>
      <c r="Z2" s="1"/>
      <c r="AA2" s="1"/>
    </row>
    <row r="3" spans="1:27" ht="24" thickTop="1" thickBot="1">
      <c r="A3" s="1"/>
      <c r="B3" s="1"/>
      <c r="C3" s="1"/>
      <c r="D3" s="27" t="s">
        <v>186</v>
      </c>
      <c r="E3" s="27">
        <f t="shared" ref="E3:H3" si="0">E5-E37</f>
        <v>2048316.7239999999</v>
      </c>
      <c r="F3" s="27">
        <f t="shared" si="0"/>
        <v>1434328.0699999998</v>
      </c>
      <c r="G3" s="27">
        <f t="shared" si="0"/>
        <v>1417394.1500000004</v>
      </c>
      <c r="H3" s="27">
        <f t="shared" si="0"/>
        <v>1842280</v>
      </c>
      <c r="I3" s="27">
        <f>I5-I37</f>
        <v>3341357.194527166</v>
      </c>
      <c r="J3" s="27">
        <f>J5-J37</f>
        <v>10083676.13852717</v>
      </c>
      <c r="K3" s="1"/>
      <c r="L3" s="1"/>
      <c r="M3" s="1"/>
      <c r="N3" s="1"/>
      <c r="O3" s="1"/>
      <c r="P3" s="1"/>
      <c r="Q3" s="116"/>
      <c r="R3" s="116"/>
      <c r="S3" s="116"/>
      <c r="T3" s="116"/>
      <c r="U3" s="116"/>
      <c r="V3" s="1"/>
      <c r="W3" s="1"/>
      <c r="X3" s="1"/>
      <c r="Y3" s="1"/>
      <c r="Z3" s="1"/>
      <c r="AA3" s="1"/>
    </row>
    <row r="4" spans="1:27" ht="24" thickTop="1" thickBot="1">
      <c r="A4" s="1"/>
      <c r="B4" s="1"/>
      <c r="C4" s="1"/>
      <c r="D4" s="1"/>
      <c r="E4" s="38">
        <f>E5-'1.0 Data'!I5</f>
        <v>0</v>
      </c>
      <c r="F4" s="38">
        <f>F5-'1.0 Data'!J5</f>
        <v>0</v>
      </c>
      <c r="G4" s="38">
        <f>G5-'1.0 Data'!K5</f>
        <v>0</v>
      </c>
      <c r="H4" s="38">
        <f>H5-'1.0 Data'!L5</f>
        <v>0</v>
      </c>
      <c r="I4" s="38">
        <f>I5-'1.0 Data'!M5</f>
        <v>0</v>
      </c>
      <c r="J4" s="38">
        <f>J5-'1.0 Data'!N5</f>
        <v>0</v>
      </c>
      <c r="K4" s="1"/>
      <c r="L4" s="1"/>
      <c r="M4" s="1"/>
      <c r="N4" s="1"/>
      <c r="O4" s="1"/>
      <c r="P4" s="1"/>
      <c r="Q4" s="38">
        <f>Q5-'2.1 Capex Real Dollars'!Q5/'1.1 Input'!J13</f>
        <v>0</v>
      </c>
      <c r="R4" s="38">
        <f ca="1">R5-'2.1 Capex Real Dollars'!R5/'1.1 Input'!K13</f>
        <v>0</v>
      </c>
      <c r="S4" s="38">
        <f ca="1">S5-'2.1 Capex Real Dollars'!S5/'1.1 Input'!L13</f>
        <v>0</v>
      </c>
      <c r="T4" s="38">
        <f ca="1">T5-'2.1 Capex Real Dollars'!T5/'1.1 Input'!M13</f>
        <v>0</v>
      </c>
      <c r="U4" s="38">
        <f ca="1">U5-'2.1 Capex Real Dollars'!U5/'1.1 Input'!N13</f>
        <v>0</v>
      </c>
      <c r="V4" s="31"/>
      <c r="W4" s="1"/>
      <c r="X4" s="1"/>
      <c r="Y4" s="1"/>
      <c r="Z4" s="1"/>
      <c r="AA4" s="1"/>
    </row>
    <row r="5" spans="1:27" ht="23.25" thickTop="1">
      <c r="A5" s="1" t="e">
        <f ca="1">RIGHT(CELL("filename",A1),LEN(CELL("filename",A1))-FIND("]",CELL("filename",A1)))</f>
        <v>#VALUE!</v>
      </c>
      <c r="B5" s="1"/>
      <c r="C5" s="1"/>
      <c r="D5" s="1"/>
      <c r="E5" s="27">
        <f>SUM(E9:E67)</f>
        <v>2048316.7239999999</v>
      </c>
      <c r="F5" s="27">
        <f>SUM(F9:F67)</f>
        <v>2568620.5099999998</v>
      </c>
      <c r="G5" s="27">
        <f>SUM(G9:G67)</f>
        <v>7553220.540000001</v>
      </c>
      <c r="H5" s="27">
        <f>SUM(H9:H67)</f>
        <v>12120114.600000001</v>
      </c>
      <c r="I5" s="27">
        <f>SUM(I9:I67)</f>
        <v>4779443.3493066747</v>
      </c>
      <c r="J5" s="27">
        <f>SUM(E5:I5)</f>
        <v>29069715.723306678</v>
      </c>
      <c r="K5" s="1"/>
      <c r="L5" s="1"/>
      <c r="M5" s="1"/>
      <c r="N5" s="1"/>
      <c r="O5" s="1"/>
      <c r="P5" s="1"/>
      <c r="Q5" s="27">
        <f>SUM(Q9:Q66)</f>
        <v>14250451.534175776</v>
      </c>
      <c r="R5" s="27">
        <f ca="1">SUM(R9:R66)</f>
        <v>4821882.3670628751</v>
      </c>
      <c r="S5" s="27">
        <f ca="1">SUM(S9:S66)</f>
        <v>4595217.7174223661</v>
      </c>
      <c r="T5" s="27">
        <f ca="1">SUM(T9:T66)</f>
        <v>4379125.7175442977</v>
      </c>
      <c r="U5" s="27">
        <f ca="1">SUM(U9:U66)</f>
        <v>8478268.8708749115</v>
      </c>
      <c r="V5" s="27">
        <f ca="1">SUM(Q5:U5)</f>
        <v>36524946.20708023</v>
      </c>
      <c r="W5" s="1"/>
      <c r="X5" s="1"/>
      <c r="Y5" s="1"/>
      <c r="Z5" s="1"/>
      <c r="AA5" s="1"/>
    </row>
    <row r="6" spans="1:27" ht="19.5">
      <c r="A6" s="2" t="s">
        <v>166</v>
      </c>
      <c r="B6" s="2"/>
      <c r="C6" s="2"/>
      <c r="D6" s="2"/>
      <c r="E6" s="2"/>
      <c r="F6" s="2"/>
      <c r="G6" s="2"/>
      <c r="H6" s="2"/>
      <c r="I6" s="2"/>
      <c r="J6" s="2"/>
      <c r="K6" s="2"/>
      <c r="L6" s="2"/>
      <c r="M6" s="2"/>
      <c r="N6" s="2"/>
      <c r="O6" s="2"/>
      <c r="P6" s="2"/>
      <c r="Q6" s="2"/>
      <c r="R6" s="2"/>
      <c r="S6" s="2"/>
      <c r="T6" s="2"/>
      <c r="U6" s="2"/>
      <c r="V6" s="2"/>
      <c r="W6" s="2"/>
      <c r="X6" s="2"/>
      <c r="Y6" s="2"/>
      <c r="Z6" s="2"/>
      <c r="AA6" s="2"/>
    </row>
    <row r="7" spans="1:27" ht="16.5">
      <c r="A7" s="4" t="s">
        <v>187</v>
      </c>
      <c r="B7" s="4"/>
      <c r="C7" s="4"/>
      <c r="D7" s="4"/>
      <c r="E7" s="4"/>
      <c r="F7" s="4"/>
      <c r="G7" s="4"/>
      <c r="H7" s="4"/>
      <c r="I7" s="4"/>
      <c r="J7" s="4"/>
      <c r="K7" s="4"/>
      <c r="L7" s="4" t="s">
        <v>188</v>
      </c>
      <c r="M7" s="4"/>
      <c r="N7" s="4"/>
      <c r="O7" s="4"/>
      <c r="P7" s="4"/>
      <c r="Q7" s="4"/>
      <c r="R7" s="4"/>
      <c r="S7" s="4"/>
      <c r="T7" s="4"/>
      <c r="U7" s="4"/>
      <c r="V7" s="4"/>
      <c r="W7" s="4"/>
      <c r="X7" s="4"/>
      <c r="Y7" s="4"/>
      <c r="Z7" s="4"/>
      <c r="AA7" s="4"/>
    </row>
    <row r="8" spans="1:27">
      <c r="A8" s="3" t="s">
        <v>3</v>
      </c>
      <c r="B8" s="3"/>
      <c r="C8" s="3" t="s">
        <v>6</v>
      </c>
      <c r="D8" s="3" t="s">
        <v>7</v>
      </c>
      <c r="E8" s="3" t="str">
        <f>'2.1 Capex Real Dollars'!E8</f>
        <v>2020/21</v>
      </c>
      <c r="F8" s="3" t="str">
        <f>'2.1 Capex Real Dollars'!F8</f>
        <v>2021/22</v>
      </c>
      <c r="G8" s="3" t="str">
        <f>'2.1 Capex Real Dollars'!G8</f>
        <v>2022/23</v>
      </c>
      <c r="H8" s="3" t="str">
        <f>'2.1 Capex Real Dollars'!H8</f>
        <v>2023/24</v>
      </c>
      <c r="I8" s="3" t="str">
        <f>'2.1 Capex Real Dollars'!I8</f>
        <v>2024/25</v>
      </c>
      <c r="J8" s="3" t="str">
        <f>'2.1 Capex Real Dollars'!J8</f>
        <v>Total</v>
      </c>
      <c r="K8" s="3"/>
      <c r="L8" s="3" t="str">
        <f>A8</f>
        <v>Project</v>
      </c>
      <c r="M8" s="3"/>
      <c r="N8" s="3" t="str">
        <f>D8</f>
        <v>Asset Driver</v>
      </c>
      <c r="O8" s="3" t="str">
        <f>D8</f>
        <v>Asset Driver</v>
      </c>
      <c r="P8" s="3" t="s">
        <v>8</v>
      </c>
      <c r="Q8" s="3" t="str">
        <f>'2.1 Capex Real Dollars'!Q8</f>
        <v>2025/26</v>
      </c>
      <c r="R8" s="3" t="str">
        <f>'2.1 Capex Real Dollars'!R8</f>
        <v>2026/27</v>
      </c>
      <c r="S8" s="3" t="str">
        <f>'2.1 Capex Real Dollars'!S8</f>
        <v>2027/28</v>
      </c>
      <c r="T8" s="3" t="str">
        <f>'2.1 Capex Real Dollars'!T8</f>
        <v>2028/29</v>
      </c>
      <c r="U8" s="3" t="str">
        <f>'2.1 Capex Real Dollars'!U8</f>
        <v>2029/30</v>
      </c>
      <c r="V8" s="3" t="str">
        <f>'2.1 Capex Real Dollars'!V8</f>
        <v>Total</v>
      </c>
      <c r="W8" s="3"/>
      <c r="X8" s="3"/>
      <c r="Y8" s="3"/>
      <c r="Z8" s="3"/>
      <c r="AA8" s="3"/>
    </row>
    <row r="9" spans="1:27">
      <c r="A9" s="33" t="str">
        <f>'1.0 Data'!A9</f>
        <v>Arc Flash Study and Mitigation</v>
      </c>
      <c r="B9" s="33" t="str">
        <f>IF(A9="","",'1.0 Data'!$B$9)</f>
        <v>nominal</v>
      </c>
      <c r="C9" s="33" t="str" cm="1">
        <f t="array" ref="C9">INDEX('1.0 Data'!D$9:D$61,MATCH($A9,'1.0 Data'!$A$9:$A$61,0),0)</f>
        <v>Transmission Assets</v>
      </c>
      <c r="D9" s="33" t="str" cm="1">
        <f t="array" ref="D9">INDEX('1.0 Data'!E$9:E$61,MATCH($A9,'1.0 Data'!$A$9:$A$61,0),0)</f>
        <v>Replacement expenditure</v>
      </c>
      <c r="E9" s="17" cm="1">
        <f t="array" ref="E9">INDEX('1.0 Data'!I$9:I$61,MATCH($A9,'1.0 Data'!$A$9:$A$61,0),0)</f>
        <v>0</v>
      </c>
      <c r="F9" s="17" cm="1">
        <f t="array" ref="F9">INDEX('1.0 Data'!J$9:J$61,MATCH($A9,'1.0 Data'!$A$9:$A$61,0),0)</f>
        <v>0</v>
      </c>
      <c r="G9" s="17" cm="1">
        <f t="array" ref="G9">INDEX('1.0 Data'!K$9:K$61,MATCH($A9,'1.0 Data'!$A$9:$A$61,0),0)</f>
        <v>0</v>
      </c>
      <c r="H9" s="17" cm="1">
        <f t="array" ref="H9">INDEX('1.0 Data'!L$9:L$61,MATCH($A9,'1.0 Data'!$A$9:$A$61,0),0)</f>
        <v>0</v>
      </c>
      <c r="I9" s="17" cm="1">
        <f t="array" ref="I9">INDEX('1.0 Data'!M$9:M$61,MATCH($A9,'1.0 Data'!$A$9:$A$61,0),0)</f>
        <v>47868.306851725865</v>
      </c>
      <c r="J9" s="45">
        <f>SUM(E9:I9)</f>
        <v>47868.306851725865</v>
      </c>
      <c r="L9" s="33" t="str">
        <f>'2.1 Capex Real Dollars'!L9</f>
        <v>AC Isolators / Earth Switches</v>
      </c>
      <c r="M9" s="33" t="str">
        <f>IF(L9="","",'1.0 Data'!$B$9)</f>
        <v>nominal</v>
      </c>
      <c r="N9" s="33" t="str">
        <f>'2.1 Capex Real Dollars'!N9</f>
        <v>Transmission Assets</v>
      </c>
      <c r="O9" s="33" t="str">
        <f>'2.1 Capex Real Dollars'!O9</f>
        <v>Replacement expenditure</v>
      </c>
      <c r="P9" s="33" t="str">
        <f>'2.1 Capex Real Dollars'!P9</f>
        <v>Safety and Protection</v>
      </c>
      <c r="Q9" s="6">
        <f>'2.1 Capex Real Dollars'!Q9/'1.1 Input'!J$13</f>
        <v>289796.15327520005</v>
      </c>
      <c r="R9" s="6">
        <f>'2.1 Capex Real Dollars'!R9/'1.1 Input'!K$13</f>
        <v>0</v>
      </c>
      <c r="S9" s="6">
        <f>'2.1 Capex Real Dollars'!S9/'1.1 Input'!L$13</f>
        <v>0</v>
      </c>
      <c r="T9" s="6">
        <f>'2.1 Capex Real Dollars'!T9/'1.1 Input'!M$13</f>
        <v>0</v>
      </c>
      <c r="U9" s="6">
        <f>'2.1 Capex Real Dollars'!U9/'1.1 Input'!N$13</f>
        <v>0</v>
      </c>
      <c r="V9" s="45">
        <f>SUM(Q9:U9)</f>
        <v>289796.15327520005</v>
      </c>
    </row>
    <row r="10" spans="1:27">
      <c r="A10" s="33" t="str">
        <f>'1.0 Data'!A10</f>
        <v>Asset Integration - AI3 (Placeholder)</v>
      </c>
      <c r="B10" s="33" t="str">
        <f>IF(A10="","",'1.0 Data'!$B$9)</f>
        <v>nominal</v>
      </c>
      <c r="C10" s="33" t="str" cm="1">
        <f t="array" ref="C10">INDEX('1.0 Data'!D$9:D$61,MATCH($A10,'1.0 Data'!$A$9:$A$61,0),0)</f>
        <v>Transmission Assets</v>
      </c>
      <c r="D10" s="33" t="str" cm="1">
        <f t="array" ref="D10">INDEX('1.0 Data'!E$9:E$61,MATCH($A10,'1.0 Data'!$A$9:$A$61,0),0)</f>
        <v>Replacement expenditure</v>
      </c>
      <c r="E10" s="17" cm="1">
        <f t="array" ref="E10">INDEX('1.0 Data'!I$9:I$61,MATCH($A10,'1.0 Data'!$A$9:$A$61,0),0)</f>
        <v>0</v>
      </c>
      <c r="F10" s="17" cm="1">
        <f t="array" ref="F10">INDEX('1.0 Data'!J$9:J$61,MATCH($A10,'1.0 Data'!$A$9:$A$61,0),0)</f>
        <v>0</v>
      </c>
      <c r="G10" s="17" cm="1">
        <f t="array" ref="G10">INDEX('1.0 Data'!K$9:K$61,MATCH($A10,'1.0 Data'!$A$9:$A$61,0),0)</f>
        <v>0</v>
      </c>
      <c r="H10" s="17" cm="1">
        <f t="array" ref="H10">INDEX('1.0 Data'!L$9:L$61,MATCH($A10,'1.0 Data'!$A$9:$A$61,0),0)</f>
        <v>38500</v>
      </c>
      <c r="I10" s="17" cm="1">
        <f t="array" ref="I10">INDEX('1.0 Data'!M$9:M$61,MATCH($A10,'1.0 Data'!$A$9:$A$61,0),0)</f>
        <v>66200.849901323003</v>
      </c>
      <c r="J10" s="45">
        <f t="shared" ref="J10:J27" si="1">SUM(E10:I10)</f>
        <v>104700.849901323</v>
      </c>
      <c r="L10" s="33" t="str">
        <f>'2.1 Capex Real Dollars'!L10</f>
        <v>Air Inlet Sound &amp; Proofing Replacement</v>
      </c>
      <c r="M10" s="33" t="str">
        <f>IF(L10="","",'1.0 Data'!$B$9)</f>
        <v>nominal</v>
      </c>
      <c r="N10" s="33" t="str">
        <f>'2.1 Capex Real Dollars'!N10</f>
        <v>Transmission Assets</v>
      </c>
      <c r="O10" s="33" t="str">
        <f>'2.1 Capex Real Dollars'!O10</f>
        <v>Replacement expenditure</v>
      </c>
      <c r="P10" s="33" t="str">
        <f>'2.1 Capex Real Dollars'!P10</f>
        <v>Major Maintenance</v>
      </c>
      <c r="Q10" s="6">
        <f>'2.1 Capex Real Dollars'!Q10/'1.1 Input'!J$13</f>
        <v>0</v>
      </c>
      <c r="R10" s="6">
        <f>'2.1 Capex Real Dollars'!R10/'1.1 Input'!K$13</f>
        <v>0</v>
      </c>
      <c r="S10" s="6">
        <f>'2.1 Capex Real Dollars'!S10/'1.1 Input'!L$13</f>
        <v>0</v>
      </c>
      <c r="T10" s="6">
        <f>'2.1 Capex Real Dollars'!T10/'1.1 Input'!M$13</f>
        <v>0</v>
      </c>
      <c r="U10" s="6">
        <f>'2.1 Capex Real Dollars'!U10/'1.1 Input'!N$13</f>
        <v>0</v>
      </c>
      <c r="V10" s="45">
        <f t="shared" ref="V10:V60" si="2">SUM(Q10:U10)</f>
        <v>0</v>
      </c>
    </row>
    <row r="11" spans="1:27">
      <c r="A11" s="33" t="str">
        <f>'1.0 Data'!A11</f>
        <v>Asset Integration - CMMS Uplift (Placeholder)</v>
      </c>
      <c r="B11" s="33" t="str">
        <f>IF(A11="","",'1.0 Data'!$B$9)</f>
        <v>nominal</v>
      </c>
      <c r="C11" s="33" t="str" cm="1">
        <f t="array" ref="C11">INDEX('1.0 Data'!D$9:D$61,MATCH($A11,'1.0 Data'!$A$9:$A$61,0),0)</f>
        <v>Transmission Assets</v>
      </c>
      <c r="D11" s="33" t="str" cm="1">
        <f t="array" ref="D11">INDEX('1.0 Data'!E$9:E$61,MATCH($A11,'1.0 Data'!$A$9:$A$61,0),0)</f>
        <v>Replacement expenditure</v>
      </c>
      <c r="E11" s="17" cm="1">
        <f t="array" ref="E11">INDEX('1.0 Data'!I$9:I$61,MATCH($A11,'1.0 Data'!$A$9:$A$61,0),0)</f>
        <v>0</v>
      </c>
      <c r="F11" s="17" cm="1">
        <f t="array" ref="F11">INDEX('1.0 Data'!J$9:J$61,MATCH($A11,'1.0 Data'!$A$9:$A$61,0),0)</f>
        <v>0</v>
      </c>
      <c r="G11" s="17" cm="1">
        <f t="array" ref="G11">INDEX('1.0 Data'!K$9:K$61,MATCH($A11,'1.0 Data'!$A$9:$A$61,0),0)</f>
        <v>0</v>
      </c>
      <c r="H11" s="17" cm="1">
        <f t="array" ref="H11">INDEX('1.0 Data'!L$9:L$61,MATCH($A11,'1.0 Data'!$A$9:$A$61,0),0)</f>
        <v>0</v>
      </c>
      <c r="I11" s="17" cm="1">
        <f t="array" ref="I11">INDEX('1.0 Data'!M$9:M$61,MATCH($A11,'1.0 Data'!$A$9:$A$61,0),0)</f>
        <v>244433.90732796188</v>
      </c>
      <c r="J11" s="45">
        <f t="shared" si="1"/>
        <v>244433.90732796188</v>
      </c>
      <c r="L11" s="33" t="str">
        <f>'2.1 Capex Real Dollars'!L11</f>
        <v>Annual Spraying for Corrosion</v>
      </c>
      <c r="M11" s="33" t="str">
        <f>IF(L11="","",'1.0 Data'!$B$9)</f>
        <v>nominal</v>
      </c>
      <c r="N11" s="33" t="str">
        <f>'2.1 Capex Real Dollars'!N11</f>
        <v>Buildings</v>
      </c>
      <c r="O11" s="33" t="str">
        <f>'2.1 Capex Real Dollars'!O11</f>
        <v>Replacement expenditure</v>
      </c>
      <c r="P11" s="33" t="str">
        <f>'2.1 Capex Real Dollars'!P11</f>
        <v>Corrosion Management</v>
      </c>
      <c r="Q11" s="6">
        <f>'2.1 Capex Real Dollars'!Q11/'1.1 Input'!J$13</f>
        <v>0</v>
      </c>
      <c r="R11" s="6">
        <f>'2.1 Capex Real Dollars'!R11/'1.1 Input'!K$13</f>
        <v>0</v>
      </c>
      <c r="S11" s="6">
        <f>'2.1 Capex Real Dollars'!S11/'1.1 Input'!L$13</f>
        <v>0</v>
      </c>
      <c r="T11" s="6">
        <f>'2.1 Capex Real Dollars'!T11/'1.1 Input'!M$13</f>
        <v>0</v>
      </c>
      <c r="U11" s="6">
        <f>'2.1 Capex Real Dollars'!U11/'1.1 Input'!N$13</f>
        <v>0</v>
      </c>
      <c r="V11" s="45">
        <f t="shared" si="2"/>
        <v>0</v>
      </c>
    </row>
    <row r="12" spans="1:27">
      <c r="A12" s="33" t="str">
        <f>'1.0 Data'!A12</f>
        <v>Asset Integration - Maintenance Strategy (Placeholder)</v>
      </c>
      <c r="B12" s="33" t="str">
        <f>IF(A12="","",'1.0 Data'!$B$9)</f>
        <v>nominal</v>
      </c>
      <c r="C12" s="33" t="str" cm="1">
        <f t="array" ref="C12">INDEX('1.0 Data'!D$9:D$61,MATCH($A12,'1.0 Data'!$A$9:$A$61,0),0)</f>
        <v>Transmission Assets</v>
      </c>
      <c r="D12" s="33" t="str" cm="1">
        <f t="array" ref="D12">INDEX('1.0 Data'!E$9:E$61,MATCH($A12,'1.0 Data'!$A$9:$A$61,0),0)</f>
        <v>Replacement expenditure</v>
      </c>
      <c r="E12" s="17" cm="1">
        <f t="array" ref="E12">INDEX('1.0 Data'!I$9:I$61,MATCH($A12,'1.0 Data'!$A$9:$A$61,0),0)</f>
        <v>0</v>
      </c>
      <c r="F12" s="17" cm="1">
        <f t="array" ref="F12">INDEX('1.0 Data'!J$9:J$61,MATCH($A12,'1.0 Data'!$A$9:$A$61,0),0)</f>
        <v>0</v>
      </c>
      <c r="G12" s="17" cm="1">
        <f t="array" ref="G12">INDEX('1.0 Data'!K$9:K$61,MATCH($A12,'1.0 Data'!$A$9:$A$61,0),0)</f>
        <v>0</v>
      </c>
      <c r="H12" s="17" cm="1">
        <f t="array" ref="H12">INDEX('1.0 Data'!L$9:L$61,MATCH($A12,'1.0 Data'!$A$9:$A$61,0),0)</f>
        <v>0</v>
      </c>
      <c r="I12" s="17" cm="1">
        <f t="array" ref="I12">INDEX('1.0 Data'!M$9:M$61,MATCH($A12,'1.0 Data'!$A$9:$A$61,0),0)</f>
        <v>42164.849014073421</v>
      </c>
      <c r="J12" s="45">
        <f t="shared" si="1"/>
        <v>42164.849014073421</v>
      </c>
      <c r="L12" s="33" t="str">
        <f>'2.1 Capex Real Dollars'!L12</f>
        <v>Arc Flash Study and Mitigation</v>
      </c>
      <c r="M12" s="33" t="str">
        <f>IF(L12="","",'1.0 Data'!$B$9)</f>
        <v>nominal</v>
      </c>
      <c r="N12" s="33" t="str">
        <f>'2.1 Capex Real Dollars'!N12</f>
        <v>Transmission Assets</v>
      </c>
      <c r="O12" s="33" t="str">
        <f>'2.1 Capex Real Dollars'!O12</f>
        <v>Replacement expenditure</v>
      </c>
      <c r="P12" s="33" t="str">
        <f>'2.1 Capex Real Dollars'!P12</f>
        <v>Safety and protection</v>
      </c>
      <c r="Q12" s="6">
        <f>'2.1 Capex Real Dollars'!Q12/'1.1 Input'!J$13</f>
        <v>0</v>
      </c>
      <c r="R12" s="6">
        <f>'2.1 Capex Real Dollars'!R12/'1.1 Input'!K$13</f>
        <v>0</v>
      </c>
      <c r="S12" s="6">
        <f>'2.1 Capex Real Dollars'!S12/'1.1 Input'!L$13</f>
        <v>0</v>
      </c>
      <c r="T12" s="6">
        <f>'2.1 Capex Real Dollars'!T12/'1.1 Input'!M$13</f>
        <v>0</v>
      </c>
      <c r="U12" s="6">
        <f>'2.1 Capex Real Dollars'!U12/'1.1 Input'!N$13</f>
        <v>0</v>
      </c>
      <c r="V12" s="45">
        <f t="shared" si="2"/>
        <v>0</v>
      </c>
    </row>
    <row r="13" spans="1:27">
      <c r="A13" s="33" t="str">
        <f>'1.0 Data'!A13</f>
        <v>Barn Door Replacement</v>
      </c>
      <c r="B13" s="33" t="str">
        <f>IF(A13="","",'1.0 Data'!$B$9)</f>
        <v>nominal</v>
      </c>
      <c r="C13" s="33" t="str" cm="1">
        <f t="array" ref="C13">INDEX('1.0 Data'!D$9:D$61,MATCH($A13,'1.0 Data'!$A$9:$A$61,0),0)</f>
        <v>Buildings</v>
      </c>
      <c r="D13" s="33" t="str" cm="1">
        <f t="array" ref="D13">INDEX('1.0 Data'!E$9:E$61,MATCH($A13,'1.0 Data'!$A$9:$A$61,0),0)</f>
        <v>Replacement expenditure</v>
      </c>
      <c r="E13" s="17" cm="1">
        <f t="array" ref="E13">INDEX('1.0 Data'!I$9:I$61,MATCH($A13,'1.0 Data'!$A$9:$A$61,0),0)</f>
        <v>0</v>
      </c>
      <c r="F13" s="17" cm="1">
        <f t="array" ref="F13">INDEX('1.0 Data'!J$9:J$61,MATCH($A13,'1.0 Data'!$A$9:$A$61,0),0)</f>
        <v>0</v>
      </c>
      <c r="G13" s="17" cm="1">
        <f t="array" ref="G13">INDEX('1.0 Data'!K$9:K$61,MATCH($A13,'1.0 Data'!$A$9:$A$61,0),0)</f>
        <v>0</v>
      </c>
      <c r="H13" s="17" cm="1">
        <f t="array" ref="H13">INDEX('1.0 Data'!L$9:L$61,MATCH($A13,'1.0 Data'!$A$9:$A$61,0),0)</f>
        <v>0</v>
      </c>
      <c r="I13" s="17" cm="1">
        <f t="array" ref="I13">INDEX('1.0 Data'!M$9:M$61,MATCH($A13,'1.0 Data'!$A$9:$A$61,0),0)</f>
        <v>201657.97354556853</v>
      </c>
      <c r="J13" s="45">
        <f t="shared" si="1"/>
        <v>201657.97354556853</v>
      </c>
      <c r="L13" s="33" t="str">
        <f>'2.1 Capex Real Dollars'!L13</f>
        <v>Asset Integration - AI3 (Placeholder)</v>
      </c>
      <c r="M13" s="33" t="str">
        <f>IF(L13="","",'1.0 Data'!$B$9)</f>
        <v>nominal</v>
      </c>
      <c r="N13" s="33" t="str">
        <f>'2.1 Capex Real Dollars'!N13</f>
        <v>Transmission Assets</v>
      </c>
      <c r="O13" s="33" t="str">
        <f>'2.1 Capex Real Dollars'!O13</f>
        <v>Replacement expenditure</v>
      </c>
      <c r="P13" s="33" t="str">
        <f>'2.1 Capex Real Dollars'!P13</f>
        <v>Asset Monitoring</v>
      </c>
      <c r="Q13" s="6">
        <f>'2.1 Capex Real Dollars'!Q13/'1.1 Input'!J$13</f>
        <v>0</v>
      </c>
      <c r="R13" s="6">
        <f>'2.1 Capex Real Dollars'!R13/'1.1 Input'!K$13</f>
        <v>0</v>
      </c>
      <c r="S13" s="6">
        <f>'2.1 Capex Real Dollars'!S13/'1.1 Input'!L$13</f>
        <v>0</v>
      </c>
      <c r="T13" s="6">
        <f>'2.1 Capex Real Dollars'!T13/'1.1 Input'!M$13</f>
        <v>0</v>
      </c>
      <c r="U13" s="6">
        <f>'2.1 Capex Real Dollars'!U13/'1.1 Input'!N$13</f>
        <v>0</v>
      </c>
      <c r="V13" s="45">
        <f t="shared" si="2"/>
        <v>0</v>
      </c>
    </row>
    <row r="14" spans="1:27">
      <c r="A14" s="33" t="str">
        <f>'1.0 Data'!A14</f>
        <v>Cable Modification (Transitions) (21-25)</v>
      </c>
      <c r="B14" s="33" t="str">
        <f>IF(A14="","",'1.0 Data'!$B$9)</f>
        <v>nominal</v>
      </c>
      <c r="C14" s="33" t="str" cm="1">
        <f t="array" ref="C14">INDEX('1.0 Data'!D$9:D$61,MATCH($A14,'1.0 Data'!$A$9:$A$61,0),0)</f>
        <v>Transmission Assets</v>
      </c>
      <c r="D14" s="33" t="str" cm="1">
        <f t="array" ref="D14">INDEX('1.0 Data'!E$9:E$61,MATCH($A14,'1.0 Data'!$A$9:$A$61,0),0)</f>
        <v>Replacement expenditure</v>
      </c>
      <c r="E14" s="17" cm="1">
        <f t="array" ref="E14">INDEX('1.0 Data'!I$9:I$61,MATCH($A14,'1.0 Data'!$A$9:$A$61,0),0)</f>
        <v>0</v>
      </c>
      <c r="F14" s="17" cm="1">
        <f t="array" ref="F14">INDEX('1.0 Data'!J$9:J$61,MATCH($A14,'1.0 Data'!$A$9:$A$61,0),0)</f>
        <v>0</v>
      </c>
      <c r="G14" s="17" cm="1">
        <f t="array" ref="G14">INDEX('1.0 Data'!K$9:K$61,MATCH($A14,'1.0 Data'!$A$9:$A$61,0),0)</f>
        <v>0</v>
      </c>
      <c r="H14" s="17" cm="1">
        <f t="array" ref="H14">INDEX('1.0 Data'!L$9:L$61,MATCH($A14,'1.0 Data'!$A$9:$A$61,0),0)</f>
        <v>0</v>
      </c>
      <c r="I14" s="17" cm="1">
        <f t="array" ref="I14">INDEX('1.0 Data'!M$9:M$61,MATCH($A14,'1.0 Data'!$A$9:$A$61,0),0)</f>
        <v>407389.84554660309</v>
      </c>
      <c r="J14" s="45">
        <f t="shared" si="1"/>
        <v>407389.84554660309</v>
      </c>
      <c r="L14" s="33" t="str">
        <f>'2.1 Capex Real Dollars'!L14</f>
        <v>Asset Integration - Asset Information (Placeholder)</v>
      </c>
      <c r="M14" s="33" t="str">
        <f>IF(L14="","",'1.0 Data'!$B$9)</f>
        <v>nominal</v>
      </c>
      <c r="N14" s="33" t="str">
        <f>'2.1 Capex Real Dollars'!N14</f>
        <v>Transmission Assets</v>
      </c>
      <c r="O14" s="33" t="str">
        <f>'2.1 Capex Real Dollars'!O14</f>
        <v>Replacement expenditure</v>
      </c>
      <c r="P14" s="33" t="str">
        <f>'2.1 Capex Real Dollars'!P14</f>
        <v>Asset Monitoring</v>
      </c>
      <c r="Q14" s="6">
        <f>'2.1 Capex Real Dollars'!Q14/'1.1 Input'!J$13</f>
        <v>258285.34160000004</v>
      </c>
      <c r="R14" s="6">
        <f>'2.1 Capex Real Dollars'!R14/'1.1 Input'!K$13</f>
        <v>0</v>
      </c>
      <c r="S14" s="6">
        <f>'2.1 Capex Real Dollars'!S14/'1.1 Input'!L$13</f>
        <v>0</v>
      </c>
      <c r="T14" s="6">
        <f>'2.1 Capex Real Dollars'!T14/'1.1 Input'!M$13</f>
        <v>0</v>
      </c>
      <c r="U14" s="6">
        <f>'2.1 Capex Real Dollars'!U14/'1.1 Input'!N$13</f>
        <v>0</v>
      </c>
      <c r="V14" s="45">
        <f t="shared" si="2"/>
        <v>258285.34160000004</v>
      </c>
    </row>
    <row r="15" spans="1:27">
      <c r="A15" s="33" t="str">
        <f>'1.0 Data'!A15</f>
        <v xml:space="preserve">Cable Modification Program
</v>
      </c>
      <c r="B15" s="33" t="str">
        <f>IF(A15="","",'1.0 Data'!$B$9)</f>
        <v>nominal</v>
      </c>
      <c r="C15" s="33" t="str" cm="1">
        <f t="array" ref="C15">INDEX('1.0 Data'!D$9:D$61,MATCH($A15,'1.0 Data'!$A$9:$A$61,0),0)</f>
        <v>Transmission Assets</v>
      </c>
      <c r="D15" s="33" t="str" cm="1">
        <f t="array" ref="D15">INDEX('1.0 Data'!E$9:E$61,MATCH($A15,'1.0 Data'!$A$9:$A$61,0),0)</f>
        <v>Replacement expenditure</v>
      </c>
      <c r="E15" s="17" cm="1">
        <f t="array" ref="E15">INDEX('1.0 Data'!I$9:I$61,MATCH($A15,'1.0 Data'!$A$9:$A$61,0),0)</f>
        <v>0</v>
      </c>
      <c r="F15" s="17" cm="1">
        <f t="array" ref="F15">INDEX('1.0 Data'!J$9:J$61,MATCH($A15,'1.0 Data'!$A$9:$A$61,0),0)</f>
        <v>48958.52</v>
      </c>
      <c r="G15" s="17" cm="1">
        <f t="array" ref="G15">INDEX('1.0 Data'!K$9:K$61,MATCH($A15,'1.0 Data'!$A$9:$A$61,0),0)</f>
        <v>66863.850000000006</v>
      </c>
      <c r="H15" s="17" cm="1">
        <f t="array" ref="H15">INDEX('1.0 Data'!L$9:L$61,MATCH($A15,'1.0 Data'!$A$9:$A$61,0),0)</f>
        <v>0</v>
      </c>
      <c r="I15" s="17" cm="1">
        <f t="array" ref="I15">INDEX('1.0 Data'!M$9:M$61,MATCH($A15,'1.0 Data'!$A$9:$A$61,0),0)</f>
        <v>0</v>
      </c>
      <c r="J15" s="45">
        <f t="shared" si="1"/>
        <v>115822.37</v>
      </c>
      <c r="L15" s="33" t="str">
        <f>'2.1 Capex Real Dollars'!L15</f>
        <v>Asset Integration - CMMS Uplift (Placeholder)</v>
      </c>
      <c r="M15" s="33" t="str">
        <f>IF(L15="","",'1.0 Data'!$B$9)</f>
        <v>nominal</v>
      </c>
      <c r="N15" s="33" t="str">
        <f>'2.1 Capex Real Dollars'!N15</f>
        <v>Transmission Assets</v>
      </c>
      <c r="O15" s="33" t="str">
        <f>'2.1 Capex Real Dollars'!O15</f>
        <v>Replacement expenditure</v>
      </c>
      <c r="P15" s="33" t="str">
        <f>'2.1 Capex Real Dollars'!P15</f>
        <v>Asset Monitoring</v>
      </c>
      <c r="Q15" s="6">
        <f>'2.1 Capex Real Dollars'!Q15/'1.1 Input'!J$13</f>
        <v>281765.8272</v>
      </c>
      <c r="R15" s="6">
        <f>'2.1 Capex Real Dollars'!R15/'1.1 Input'!K$13</f>
        <v>145165.75417343999</v>
      </c>
      <c r="S15" s="6">
        <f>'2.1 Capex Real Dollars'!S15/'1.1 Input'!L$13</f>
        <v>0</v>
      </c>
      <c r="T15" s="6">
        <f>'2.1 Capex Real Dollars'!T15/'1.1 Input'!M$13</f>
        <v>0</v>
      </c>
      <c r="U15" s="6">
        <f>'2.1 Capex Real Dollars'!U15/'1.1 Input'!N$13</f>
        <v>0</v>
      </c>
      <c r="V15" s="45">
        <f t="shared" si="2"/>
        <v>426931.58137343999</v>
      </c>
    </row>
    <row r="16" spans="1:27">
      <c r="A16" s="33" t="str">
        <f>'1.0 Data'!A16</f>
        <v>Cable Route Risk Mitigation (Signs)</v>
      </c>
      <c r="B16" s="33" t="str">
        <f>IF(A16="","",'1.0 Data'!$B$9)</f>
        <v>nominal</v>
      </c>
      <c r="C16" s="33" t="str" cm="1">
        <f t="array" ref="C16">INDEX('1.0 Data'!D$9:D$61,MATCH($A16,'1.0 Data'!$A$9:$A$61,0),0)</f>
        <v>Transmission Assets</v>
      </c>
      <c r="D16" s="33" t="str" cm="1">
        <f t="array" ref="D16">INDEX('1.0 Data'!E$9:E$61,MATCH($A16,'1.0 Data'!$A$9:$A$61,0),0)</f>
        <v>Replacement expenditure</v>
      </c>
      <c r="E16" s="17" cm="1">
        <f t="array" ref="E16">INDEX('1.0 Data'!I$9:I$61,MATCH($A16,'1.0 Data'!$A$9:$A$61,0),0)</f>
        <v>41749.51</v>
      </c>
      <c r="F16" s="17" cm="1">
        <f t="array" ref="F16">INDEX('1.0 Data'!J$9:J$61,MATCH($A16,'1.0 Data'!$A$9:$A$61,0),0)</f>
        <v>0</v>
      </c>
      <c r="G16" s="17" cm="1">
        <f t="array" ref="G16">INDEX('1.0 Data'!K$9:K$61,MATCH($A16,'1.0 Data'!$A$9:$A$61,0),0)</f>
        <v>20705.920000000002</v>
      </c>
      <c r="H16" s="17" cm="1">
        <f t="array" ref="H16">INDEX('1.0 Data'!L$9:L$61,MATCH($A16,'1.0 Data'!$A$9:$A$61,0),0)</f>
        <v>0</v>
      </c>
      <c r="I16" s="17" cm="1">
        <f t="array" ref="I16">INDEX('1.0 Data'!M$9:M$61,MATCH($A16,'1.0 Data'!$A$9:$A$61,0),0)</f>
        <v>0</v>
      </c>
      <c r="J16" s="45">
        <f t="shared" si="1"/>
        <v>62455.430000000008</v>
      </c>
      <c r="L16" s="33" t="str">
        <f>'2.1 Capex Real Dollars'!L16</f>
        <v>Asset Integration - Maintenance Strategy (Placeholder)</v>
      </c>
      <c r="M16" s="33" t="str">
        <f>IF(L16="","",'1.0 Data'!$B$9)</f>
        <v>nominal</v>
      </c>
      <c r="N16" s="33" t="str">
        <f>'2.1 Capex Real Dollars'!N16</f>
        <v>Transmission Assets</v>
      </c>
      <c r="O16" s="33" t="str">
        <f>'2.1 Capex Real Dollars'!O16</f>
        <v>Replacement expenditure</v>
      </c>
      <c r="P16" s="33" t="str">
        <f>'2.1 Capex Real Dollars'!P16</f>
        <v>Asset Monitoring</v>
      </c>
      <c r="Q16" s="6">
        <f>'2.1 Capex Real Dollars'!Q16/'1.1 Input'!J$13</f>
        <v>117402.42800000001</v>
      </c>
      <c r="R16" s="6">
        <f>'2.1 Capex Real Dollars'!R16/'1.1 Input'!K$13</f>
        <v>0</v>
      </c>
      <c r="S16" s="6">
        <f>'2.1 Capex Real Dollars'!S16/'1.1 Input'!L$13</f>
        <v>0</v>
      </c>
      <c r="T16" s="6">
        <f>'2.1 Capex Real Dollars'!T16/'1.1 Input'!M$13</f>
        <v>0</v>
      </c>
      <c r="U16" s="6">
        <f>'2.1 Capex Real Dollars'!U16/'1.1 Input'!N$13</f>
        <v>0</v>
      </c>
      <c r="V16" s="45">
        <f t="shared" si="2"/>
        <v>117402.42800000001</v>
      </c>
    </row>
    <row r="17" spans="1:22">
      <c r="A17" s="33" t="str">
        <f>'1.0 Data'!A17</f>
        <v xml:space="preserve">Capacitors </v>
      </c>
      <c r="B17" s="33" t="str">
        <f>IF(A17="","",'1.0 Data'!$B$9)</f>
        <v>nominal</v>
      </c>
      <c r="C17" s="33" t="str" cm="1">
        <f t="array" ref="C17">INDEX('1.0 Data'!D$9:D$61,MATCH($A17,'1.0 Data'!$A$9:$A$61,0),0)</f>
        <v>Transmission Assets</v>
      </c>
      <c r="D17" s="33" t="str" cm="1">
        <f t="array" ref="D17">INDEX('1.0 Data'!E$9:E$61,MATCH($A17,'1.0 Data'!$A$9:$A$61,0),0)</f>
        <v>Replacement expenditure</v>
      </c>
      <c r="E17" s="17" cm="1">
        <f t="array" ref="E17">INDEX('1.0 Data'!I$9:I$61,MATCH($A17,'1.0 Data'!$A$9:$A$61,0),0)</f>
        <v>134074.49900000001</v>
      </c>
      <c r="F17" s="17" cm="1">
        <f t="array" ref="F17">INDEX('1.0 Data'!J$9:J$61,MATCH($A17,'1.0 Data'!$A$9:$A$61,0),0)</f>
        <v>-3809.8400000000074</v>
      </c>
      <c r="G17" s="17" cm="1">
        <f t="array" ref="G17">INDEX('1.0 Data'!K$9:K$61,MATCH($A17,'1.0 Data'!$A$9:$A$61,0),0)</f>
        <v>0</v>
      </c>
      <c r="H17" s="17" cm="1">
        <f t="array" ref="H17">INDEX('1.0 Data'!L$9:L$61,MATCH($A17,'1.0 Data'!$A$9:$A$61,0),0)</f>
        <v>0</v>
      </c>
      <c r="I17" s="17" cm="1">
        <f t="array" ref="I17">INDEX('1.0 Data'!M$9:M$61,MATCH($A17,'1.0 Data'!$A$9:$A$61,0),0)</f>
        <v>0</v>
      </c>
      <c r="J17" s="45">
        <f t="shared" si="1"/>
        <v>130264.659</v>
      </c>
      <c r="L17" s="33" t="str">
        <f>'2.1 Capex Real Dollars'!L17</f>
        <v>Barn Door Replacement</v>
      </c>
      <c r="M17" s="33" t="str">
        <f>IF(L17="","",'1.0 Data'!$B$9)</f>
        <v>nominal</v>
      </c>
      <c r="N17" s="33" t="str">
        <f>'2.1 Capex Real Dollars'!N17</f>
        <v>Buildings</v>
      </c>
      <c r="O17" s="33" t="str">
        <f>'2.1 Capex Real Dollars'!O17</f>
        <v>Replacement expenditure</v>
      </c>
      <c r="P17" s="33" t="str">
        <f>'2.1 Capex Real Dollars'!P17</f>
        <v>Corrosion Management</v>
      </c>
      <c r="Q17" s="6">
        <f>'2.1 Capex Real Dollars'!Q17/'1.1 Input'!J$13</f>
        <v>0</v>
      </c>
      <c r="R17" s="6">
        <f>'2.1 Capex Real Dollars'!R17/'1.1 Input'!K$13</f>
        <v>0</v>
      </c>
      <c r="S17" s="6">
        <f>'2.1 Capex Real Dollars'!S17/'1.1 Input'!L$13</f>
        <v>0</v>
      </c>
      <c r="T17" s="6">
        <f>'2.1 Capex Real Dollars'!T17/'1.1 Input'!M$13</f>
        <v>0</v>
      </c>
      <c r="U17" s="6">
        <f>'2.1 Capex Real Dollars'!U17/'1.1 Input'!N$13</f>
        <v>0</v>
      </c>
      <c r="V17" s="45">
        <f t="shared" si="2"/>
        <v>0</v>
      </c>
    </row>
    <row r="18" spans="1:22">
      <c r="A18" s="33" t="str">
        <f>'1.0 Data'!A18</f>
        <v>Cooling tower sound enclosure panel replacement</v>
      </c>
      <c r="B18" s="33" t="str">
        <f>IF(A18="","",'1.0 Data'!$B$9)</f>
        <v>nominal</v>
      </c>
      <c r="C18" s="33" t="str" cm="1">
        <f t="array" ref="C18">INDEX('1.0 Data'!D$9:D$61,MATCH($A18,'1.0 Data'!$A$9:$A$61,0),0)</f>
        <v>Transmission Assets</v>
      </c>
      <c r="D18" s="33" t="str" cm="1">
        <f t="array" ref="D18">INDEX('1.0 Data'!E$9:E$61,MATCH($A18,'1.0 Data'!$A$9:$A$61,0),0)</f>
        <v>Replacement expenditure</v>
      </c>
      <c r="E18" s="17" cm="1">
        <f t="array" ref="E18">INDEX('1.0 Data'!I$9:I$61,MATCH($A18,'1.0 Data'!$A$9:$A$61,0),0)</f>
        <v>693007.66</v>
      </c>
      <c r="F18" s="17" cm="1">
        <f t="array" ref="F18">INDEX('1.0 Data'!J$9:J$61,MATCH($A18,'1.0 Data'!$A$9:$A$61,0),0)</f>
        <v>160366.61999999997</v>
      </c>
      <c r="G18" s="17" cm="1">
        <f t="array" ref="G18">INDEX('1.0 Data'!K$9:K$61,MATCH($A18,'1.0 Data'!$A$9:$A$61,0),0)</f>
        <v>206729.03000000003</v>
      </c>
      <c r="H18" s="17" cm="1">
        <f t="array" ref="H18">INDEX('1.0 Data'!L$9:L$61,MATCH($A18,'1.0 Data'!$A$9:$A$61,0),0)</f>
        <v>0</v>
      </c>
      <c r="I18" s="17" cm="1">
        <f t="array" ref="I18">INDEX('1.0 Data'!M$9:M$61,MATCH($A18,'1.0 Data'!$A$9:$A$61,0),0)</f>
        <v>0</v>
      </c>
      <c r="J18" s="45">
        <f t="shared" si="1"/>
        <v>1060103.31</v>
      </c>
      <c r="L18" s="33" t="str">
        <f>'2.1 Capex Real Dollars'!L18</f>
        <v>Bungalora Facilities Improvements</v>
      </c>
      <c r="M18" s="33" t="str">
        <f>IF(L18="","",'1.0 Data'!$B$9)</f>
        <v>nominal</v>
      </c>
      <c r="N18" s="33" t="str">
        <f>'2.1 Capex Real Dollars'!N18</f>
        <v>Buildings</v>
      </c>
      <c r="O18" s="33" t="str">
        <f>'2.1 Capex Real Dollars'!O18</f>
        <v>Replacement expenditure</v>
      </c>
      <c r="P18" s="33" t="str">
        <f>'2.1 Capex Real Dollars'!P18</f>
        <v>Safety and Protection</v>
      </c>
      <c r="Q18" s="6">
        <f>'2.1 Capex Real Dollars'!Q18/'1.1 Input'!J$13</f>
        <v>129350.59049998801</v>
      </c>
      <c r="R18" s="6">
        <f>'2.1 Capex Real Dollars'!R18/'1.1 Input'!K$13</f>
        <v>0</v>
      </c>
      <c r="S18" s="6">
        <f>'2.1 Capex Real Dollars'!S18/'1.1 Input'!L$13</f>
        <v>0</v>
      </c>
      <c r="T18" s="6">
        <f>'2.1 Capex Real Dollars'!T18/'1.1 Input'!M$13</f>
        <v>0</v>
      </c>
      <c r="U18" s="6">
        <f>'2.1 Capex Real Dollars'!U18/'1.1 Input'!N$13</f>
        <v>0</v>
      </c>
      <c r="V18" s="45">
        <f t="shared" si="2"/>
        <v>129350.59049998801</v>
      </c>
    </row>
    <row r="19" spans="1:22">
      <c r="A19" s="33" t="str">
        <f>'1.0 Data'!A19</f>
        <v xml:space="preserve">Cyber Security 
</v>
      </c>
      <c r="B19" s="33" t="str">
        <f>IF(A19="","",'1.0 Data'!$B$9)</f>
        <v>nominal</v>
      </c>
      <c r="C19" s="33" t="str" cm="1">
        <f t="array" ref="C19">INDEX('1.0 Data'!D$9:D$61,MATCH($A19,'1.0 Data'!$A$9:$A$61,0),0)</f>
        <v>Transmission Assets</v>
      </c>
      <c r="D19" s="33" t="str" cm="1">
        <f t="array" ref="D19">INDEX('1.0 Data'!E$9:E$61,MATCH($A19,'1.0 Data'!$A$9:$A$61,0),0)</f>
        <v>Replacement expenditure</v>
      </c>
      <c r="E19" s="17" cm="1">
        <f t="array" ref="E19">INDEX('1.0 Data'!I$9:I$61,MATCH($A19,'1.0 Data'!$A$9:$A$61,0),0)</f>
        <v>81198.649999999994</v>
      </c>
      <c r="F19" s="17" cm="1">
        <f t="array" ref="F19">INDEX('1.0 Data'!J$9:J$61,MATCH($A19,'1.0 Data'!$A$9:$A$61,0),0)</f>
        <v>270454.78999999998</v>
      </c>
      <c r="G19" s="17" cm="1">
        <f t="array" ref="G19">INDEX('1.0 Data'!K$9:K$61,MATCH($A19,'1.0 Data'!$A$9:$A$61,0),0)</f>
        <v>0</v>
      </c>
      <c r="H19" s="17" cm="1">
        <f t="array" ref="H19">INDEX('1.0 Data'!L$9:L$61,MATCH($A19,'1.0 Data'!$A$9:$A$61,0),0)</f>
        <v>0</v>
      </c>
      <c r="I19" s="17" cm="1">
        <f t="array" ref="I19">INDEX('1.0 Data'!M$9:M$61,MATCH($A19,'1.0 Data'!$A$9:$A$61,0),0)</f>
        <v>0</v>
      </c>
      <c r="J19" s="45">
        <f t="shared" si="1"/>
        <v>351653.43999999994</v>
      </c>
      <c r="L19" s="33" t="str">
        <f>'2.1 Capex Real Dollars'!L19</f>
        <v>Bungalora Storage Facilities</v>
      </c>
      <c r="M19" s="33" t="str">
        <f>IF(L19="","",'1.0 Data'!$B$9)</f>
        <v>nominal</v>
      </c>
      <c r="N19" s="33" t="str">
        <f>'2.1 Capex Real Dollars'!N19</f>
        <v>Buildings</v>
      </c>
      <c r="O19" s="33" t="str">
        <f>'2.1 Capex Real Dollars'!O19</f>
        <v>Replacement expenditure</v>
      </c>
      <c r="P19" s="33" t="str">
        <f>'2.1 Capex Real Dollars'!P19</f>
        <v>Safety and Protection</v>
      </c>
      <c r="Q19" s="6">
        <f>'2.1 Capex Real Dollars'!Q19/'1.1 Input'!J$13</f>
        <v>348685.21116000001</v>
      </c>
      <c r="R19" s="6">
        <f>'2.1 Capex Real Dollars'!R19/'1.1 Input'!K$13</f>
        <v>0</v>
      </c>
      <c r="S19" s="6">
        <f>'2.1 Capex Real Dollars'!S19/'1.1 Input'!L$13</f>
        <v>0</v>
      </c>
      <c r="T19" s="6">
        <f>'2.1 Capex Real Dollars'!T19/'1.1 Input'!M$13</f>
        <v>0</v>
      </c>
      <c r="U19" s="6">
        <f>'2.1 Capex Real Dollars'!U19/'1.1 Input'!N$13</f>
        <v>0</v>
      </c>
      <c r="V19" s="45">
        <f t="shared" si="2"/>
        <v>348685.21116000001</v>
      </c>
    </row>
    <row r="20" spans="1:22">
      <c r="A20" s="33" t="str">
        <f>'1.0 Data'!A20</f>
        <v>Directlink SCADA Upgrade</v>
      </c>
      <c r="B20" s="33" t="str">
        <f>IF(A20="","",'1.0 Data'!$B$9)</f>
        <v>nominal</v>
      </c>
      <c r="C20" s="33" t="str" cm="1">
        <f t="array" ref="C20">INDEX('1.0 Data'!D$9:D$61,MATCH($A20,'1.0 Data'!$A$9:$A$61,0),0)</f>
        <v>Transmission Assets</v>
      </c>
      <c r="D20" s="33" t="str" cm="1">
        <f t="array" ref="D20">INDEX('1.0 Data'!E$9:E$61,MATCH($A20,'1.0 Data'!$A$9:$A$61,0),0)</f>
        <v>Replacement expenditure</v>
      </c>
      <c r="E20" s="17" cm="1">
        <f t="array" ref="E20">INDEX('1.0 Data'!I$9:I$61,MATCH($A20,'1.0 Data'!$A$9:$A$61,0),0)</f>
        <v>0</v>
      </c>
      <c r="F20" s="17" cm="1">
        <f t="array" ref="F20">INDEX('1.0 Data'!J$9:J$61,MATCH($A20,'1.0 Data'!$A$9:$A$61,0),0)</f>
        <v>0</v>
      </c>
      <c r="G20" s="17" cm="1">
        <f t="array" ref="G20">INDEX('1.0 Data'!K$9:K$61,MATCH($A20,'1.0 Data'!$A$9:$A$61,0),0)</f>
        <v>284625</v>
      </c>
      <c r="H20" s="17" cm="1">
        <f t="array" ref="H20">INDEX('1.0 Data'!L$9:L$61,MATCH($A20,'1.0 Data'!$A$9:$A$61,0),0)</f>
        <v>0</v>
      </c>
      <c r="I20" s="17" cm="1">
        <f t="array" ref="I20">INDEX('1.0 Data'!M$9:M$61,MATCH($A20,'1.0 Data'!$A$9:$A$61,0),0)</f>
        <v>0</v>
      </c>
      <c r="J20" s="45">
        <f t="shared" si="1"/>
        <v>284625</v>
      </c>
      <c r="L20" s="33" t="str">
        <f>'2.1 Capex Real Dollars'!L20</f>
        <v>Cable Modification (Transitions) (21-25)</v>
      </c>
      <c r="M20" s="33" t="str">
        <f>IF(L20="","",'1.0 Data'!$B$9)</f>
        <v>nominal</v>
      </c>
      <c r="N20" s="33" t="str">
        <f>'2.1 Capex Real Dollars'!N20</f>
        <v>Transmission Assets</v>
      </c>
      <c r="O20" s="33" t="str">
        <f>'2.1 Capex Real Dollars'!O20</f>
        <v>Replacement expenditure</v>
      </c>
      <c r="P20" s="33" t="str">
        <f>'2.1 Capex Real Dollars'!P20</f>
        <v>Major Maintenance</v>
      </c>
      <c r="Q20" s="6">
        <f>'2.1 Capex Real Dollars'!Q20/'1.1 Input'!J$13</f>
        <v>0</v>
      </c>
      <c r="R20" s="6">
        <f>'2.1 Capex Real Dollars'!R20/'1.1 Input'!K$13</f>
        <v>0</v>
      </c>
      <c r="S20" s="6">
        <f>'2.1 Capex Real Dollars'!S20/'1.1 Input'!L$13</f>
        <v>0</v>
      </c>
      <c r="T20" s="6">
        <f>'2.1 Capex Real Dollars'!T20/'1.1 Input'!M$13</f>
        <v>0</v>
      </c>
      <c r="U20" s="6">
        <f>'2.1 Capex Real Dollars'!U20/'1.1 Input'!N$13</f>
        <v>0</v>
      </c>
      <c r="V20" s="45">
        <f t="shared" si="2"/>
        <v>0</v>
      </c>
    </row>
    <row r="21" spans="1:22">
      <c r="A21" s="33" t="str">
        <f>'1.0 Data'!A21</f>
        <v>DL Mullumbimby Facilities Impr</v>
      </c>
      <c r="B21" s="33" t="str">
        <f>IF(A21="","",'1.0 Data'!$B$9)</f>
        <v>nominal</v>
      </c>
      <c r="C21" s="33" t="str" cm="1">
        <f t="array" ref="C21">INDEX('1.0 Data'!D$9:D$61,MATCH($A21,'1.0 Data'!$A$9:$A$61,0),0)</f>
        <v>Buildings</v>
      </c>
      <c r="D21" s="33" t="str" cm="1">
        <f t="array" ref="D21">INDEX('1.0 Data'!E$9:E$61,MATCH($A21,'1.0 Data'!$A$9:$A$61,0),0)</f>
        <v>Replacement expenditure</v>
      </c>
      <c r="E21" s="17" cm="1">
        <f t="array" ref="E21">INDEX('1.0 Data'!I$9:I$61,MATCH($A21,'1.0 Data'!$A$9:$A$61,0),0)</f>
        <v>0</v>
      </c>
      <c r="F21" s="17" cm="1">
        <f t="array" ref="F21">INDEX('1.0 Data'!J$9:J$61,MATCH($A21,'1.0 Data'!$A$9:$A$61,0),0)</f>
        <v>0</v>
      </c>
      <c r="G21" s="17" cm="1">
        <f t="array" ref="G21">INDEX('1.0 Data'!K$9:K$61,MATCH($A21,'1.0 Data'!$A$9:$A$61,0),0)</f>
        <v>117671.23000000001</v>
      </c>
      <c r="H21" s="17" cm="1">
        <f t="array" ref="H21">INDEX('1.0 Data'!L$9:L$61,MATCH($A21,'1.0 Data'!$A$9:$A$61,0),0)</f>
        <v>0</v>
      </c>
      <c r="I21" s="17" cm="1">
        <f t="array" ref="I21">INDEX('1.0 Data'!M$9:M$61,MATCH($A21,'1.0 Data'!$A$9:$A$61,0),0)</f>
        <v>0</v>
      </c>
      <c r="J21" s="45">
        <f t="shared" si="1"/>
        <v>117671.23000000001</v>
      </c>
      <c r="L21" s="33" t="str">
        <f>'2.1 Capex Real Dollars'!L21</f>
        <v>Cable Modification (Transitions) (26-30)</v>
      </c>
      <c r="M21" s="33" t="str">
        <f>IF(L21="","",'1.0 Data'!$B$9)</f>
        <v>nominal</v>
      </c>
      <c r="N21" s="33" t="str">
        <f>'2.1 Capex Real Dollars'!N21</f>
        <v>Transmission Assets</v>
      </c>
      <c r="O21" s="33" t="str">
        <f>'2.1 Capex Real Dollars'!O21</f>
        <v>Replacement expenditure</v>
      </c>
      <c r="P21" s="33" t="str">
        <f>'2.1 Capex Real Dollars'!P21</f>
        <v>Major Maintenance</v>
      </c>
      <c r="Q21" s="6">
        <f>'2.1 Capex Real Dollars'!Q21/'1.1 Input'!J$13</f>
        <v>563531.6544</v>
      </c>
      <c r="R21" s="6">
        <f>'2.1 Capex Real Dollars'!R21/'1.1 Input'!K$13</f>
        <v>0</v>
      </c>
      <c r="S21" s="6">
        <f>'2.1 Capex Real Dollars'!S21/'1.1 Input'!L$13</f>
        <v>0</v>
      </c>
      <c r="T21" s="6">
        <f>'2.1 Capex Real Dollars'!T21/'1.1 Input'!M$13</f>
        <v>0</v>
      </c>
      <c r="U21" s="6">
        <f>'2.1 Capex Real Dollars'!U21/'1.1 Input'!N$13</f>
        <v>0</v>
      </c>
      <c r="V21" s="45">
        <f t="shared" si="2"/>
        <v>563531.6544</v>
      </c>
    </row>
    <row r="22" spans="1:22">
      <c r="A22" s="33" t="str">
        <f>'1.0 Data'!A22</f>
        <v>DL Satellite/Microwave Upgrade</v>
      </c>
      <c r="B22" s="33" t="str">
        <f>IF(A22="","",'1.0 Data'!$B$9)</f>
        <v>nominal</v>
      </c>
      <c r="C22" s="33" t="str" cm="1">
        <f t="array" ref="C22">INDEX('1.0 Data'!D$9:D$61,MATCH($A22,'1.0 Data'!$A$9:$A$61,0),0)</f>
        <v>Transmission Assets</v>
      </c>
      <c r="D22" s="33" t="str" cm="1">
        <f t="array" ref="D22">INDEX('1.0 Data'!E$9:E$61,MATCH($A22,'1.0 Data'!$A$9:$A$61,0),0)</f>
        <v>Replacement expenditure</v>
      </c>
      <c r="E22" s="17" cm="1">
        <f t="array" ref="E22">INDEX('1.0 Data'!I$9:I$61,MATCH($A22,'1.0 Data'!$A$9:$A$61,0),0)</f>
        <v>0</v>
      </c>
      <c r="F22" s="17" cm="1">
        <f t="array" ref="F22">INDEX('1.0 Data'!J$9:J$61,MATCH($A22,'1.0 Data'!$A$9:$A$61,0),0)</f>
        <v>0</v>
      </c>
      <c r="G22" s="17" cm="1">
        <f t="array" ref="G22">INDEX('1.0 Data'!K$9:K$61,MATCH($A22,'1.0 Data'!$A$9:$A$61,0),0)</f>
        <v>87260.800000000003</v>
      </c>
      <c r="H22" s="17" cm="1">
        <f t="array" ref="H22">INDEX('1.0 Data'!L$9:L$61,MATCH($A22,'1.0 Data'!$A$9:$A$61,0),0)</f>
        <v>0</v>
      </c>
      <c r="I22" s="17" cm="1">
        <f t="array" ref="I22">INDEX('1.0 Data'!M$9:M$61,MATCH($A22,'1.0 Data'!$A$9:$A$61,0),0)</f>
        <v>0</v>
      </c>
      <c r="J22" s="45">
        <f t="shared" si="1"/>
        <v>87260.800000000003</v>
      </c>
      <c r="L22" s="33" t="str">
        <f>'2.1 Capex Real Dollars'!L22</f>
        <v>Cable Tray Install and Cable Relocation</v>
      </c>
      <c r="M22" s="33" t="str">
        <f>IF(L22="","",'1.0 Data'!$B$9)</f>
        <v>nominal</v>
      </c>
      <c r="N22" s="33" t="str">
        <f>'2.1 Capex Real Dollars'!N22</f>
        <v>Transmission Assets</v>
      </c>
      <c r="O22" s="33" t="str">
        <f>'2.1 Capex Real Dollars'!O22</f>
        <v>Replacement expenditure</v>
      </c>
      <c r="P22" s="33" t="str">
        <f>'2.1 Capex Real Dollars'!P22</f>
        <v>Major Maintenance</v>
      </c>
      <c r="Q22" s="6">
        <f>'2.1 Capex Real Dollars'!Q22/'1.1 Input'!J$13</f>
        <v>0</v>
      </c>
      <c r="R22" s="6">
        <f>'2.1 Capex Real Dollars'!R22/'1.1 Input'!K$13</f>
        <v>362914.38543359999</v>
      </c>
      <c r="S22" s="6">
        <f>'2.1 Capex Real Dollars'!S22/'1.1 Input'!L$13</f>
        <v>0</v>
      </c>
      <c r="T22" s="6">
        <f>'2.1 Capex Real Dollars'!T22/'1.1 Input'!M$13</f>
        <v>0</v>
      </c>
      <c r="U22" s="6">
        <f>'2.1 Capex Real Dollars'!U22/'1.1 Input'!N$13</f>
        <v>0</v>
      </c>
      <c r="V22" s="45">
        <f t="shared" si="2"/>
        <v>362914.38543359999</v>
      </c>
    </row>
    <row r="23" spans="1:22">
      <c r="A23" s="33" t="str">
        <f>'1.0 Data'!A23</f>
        <v>DL Sound Encl Panel Rep</v>
      </c>
      <c r="B23" s="33" t="str">
        <f>IF(A23="","",'1.0 Data'!$B$9)</f>
        <v>nominal</v>
      </c>
      <c r="C23" s="33" t="str" cm="1">
        <f t="array" ref="C23">INDEX('1.0 Data'!D$9:D$61,MATCH($A23,'1.0 Data'!$A$9:$A$61,0),0)</f>
        <v>Transmission Assets</v>
      </c>
      <c r="D23" s="33" t="str" cm="1">
        <f t="array" ref="D23">INDEX('1.0 Data'!E$9:E$61,MATCH($A23,'1.0 Data'!$A$9:$A$61,0),0)</f>
        <v>Replacement expenditure</v>
      </c>
      <c r="E23" s="17" cm="1">
        <f t="array" ref="E23">INDEX('1.0 Data'!I$9:I$61,MATCH($A23,'1.0 Data'!$A$9:$A$61,0),0)</f>
        <v>0</v>
      </c>
      <c r="F23" s="17" cm="1">
        <f t="array" ref="F23">INDEX('1.0 Data'!J$9:J$61,MATCH($A23,'1.0 Data'!$A$9:$A$61,0),0)</f>
        <v>0</v>
      </c>
      <c r="G23" s="17" cm="1">
        <f t="array" ref="G23">INDEX('1.0 Data'!K$9:K$61,MATCH($A23,'1.0 Data'!$A$9:$A$61,0),0)</f>
        <v>7228.91</v>
      </c>
      <c r="H23" s="17" cm="1">
        <f t="array" ref="H23">INDEX('1.0 Data'!L$9:L$61,MATCH($A23,'1.0 Data'!$A$9:$A$61,0),0)</f>
        <v>0</v>
      </c>
      <c r="I23" s="17" cm="1">
        <f t="array" ref="I23">INDEX('1.0 Data'!M$9:M$61,MATCH($A23,'1.0 Data'!$A$9:$A$61,0),0)</f>
        <v>0</v>
      </c>
      <c r="J23" s="45">
        <f t="shared" si="1"/>
        <v>7228.91</v>
      </c>
      <c r="L23" s="33" t="str">
        <f>'2.1 Capex Real Dollars'!L23</f>
        <v>Cameras for Inspections</v>
      </c>
      <c r="M23" s="33" t="str">
        <f>IF(L23="","",'1.0 Data'!$B$9)</f>
        <v>nominal</v>
      </c>
      <c r="N23" s="33" t="str">
        <f>'2.1 Capex Real Dollars'!N23</f>
        <v>Buildings</v>
      </c>
      <c r="O23" s="33" t="str">
        <f>'2.1 Capex Real Dollars'!O23</f>
        <v>Replacement expenditure</v>
      </c>
      <c r="P23" s="33" t="str">
        <f>'2.1 Capex Real Dollars'!P23</f>
        <v>Safety and Protection</v>
      </c>
      <c r="Q23" s="6">
        <f>'2.1 Capex Real Dollars'!Q23/'1.1 Input'!J$13</f>
        <v>0</v>
      </c>
      <c r="R23" s="6">
        <f>'2.1 Capex Real Dollars'!R23/'1.1 Input'!K$13</f>
        <v>0</v>
      </c>
      <c r="S23" s="6">
        <f>'2.1 Capex Real Dollars'!S23/'1.1 Input'!L$13</f>
        <v>96480.006053113044</v>
      </c>
      <c r="T23" s="6">
        <f>'2.1 Capex Real Dollars'!T23/'1.1 Input'!M$13</f>
        <v>0</v>
      </c>
      <c r="U23" s="6">
        <f>'2.1 Capex Real Dollars'!U23/'1.1 Input'!N$13</f>
        <v>0</v>
      </c>
      <c r="V23" s="45">
        <f t="shared" si="2"/>
        <v>96480.006053113044</v>
      </c>
    </row>
    <row r="24" spans="1:22">
      <c r="A24" s="33" t="str">
        <f>'1.0 Data'!A24</f>
        <v>DL_Landslip Remediation</v>
      </c>
      <c r="B24" s="33" t="str">
        <f>IF(A24="","",'1.0 Data'!$B$9)</f>
        <v>nominal</v>
      </c>
      <c r="C24" s="33" t="str" cm="1">
        <f t="array" ref="C24">INDEX('1.0 Data'!D$9:D$61,MATCH($A24,'1.0 Data'!$A$9:$A$61,0),0)</f>
        <v>Easements</v>
      </c>
      <c r="D24" s="33" t="str" cm="1">
        <f t="array" ref="D24">INDEX('1.0 Data'!E$9:E$61,MATCH($A24,'1.0 Data'!$A$9:$A$61,0),0)</f>
        <v>Replacement expenditure</v>
      </c>
      <c r="E24" s="17" cm="1">
        <f t="array" ref="E24">INDEX('1.0 Data'!I$9:I$61,MATCH($A24,'1.0 Data'!$A$9:$A$61,0),0)</f>
        <v>0</v>
      </c>
      <c r="F24" s="17" cm="1">
        <f t="array" ref="F24">INDEX('1.0 Data'!J$9:J$61,MATCH($A24,'1.0 Data'!$A$9:$A$61,0),0)</f>
        <v>0</v>
      </c>
      <c r="G24" s="17" cm="1">
        <f t="array" ref="G24">INDEX('1.0 Data'!K$9:K$61,MATCH($A24,'1.0 Data'!$A$9:$A$61,0),0)</f>
        <v>7945.03</v>
      </c>
      <c r="H24" s="17" cm="1">
        <f t="array" ref="H24">INDEX('1.0 Data'!L$9:L$61,MATCH($A24,'1.0 Data'!$A$9:$A$61,0),0)</f>
        <v>0</v>
      </c>
      <c r="I24" s="17" cm="1">
        <f t="array" ref="I24">INDEX('1.0 Data'!M$9:M$61,MATCH($A24,'1.0 Data'!$A$9:$A$61,0),0)</f>
        <v>0</v>
      </c>
      <c r="J24" s="45">
        <f t="shared" si="1"/>
        <v>7945.03</v>
      </c>
      <c r="L24" s="33" t="str">
        <f>'2.1 Capex Real Dollars'!L24</f>
        <v>Circuit Breakers</v>
      </c>
      <c r="M24" s="33" t="str">
        <f>IF(L24="","",'1.0 Data'!$B$9)</f>
        <v>nominal</v>
      </c>
      <c r="N24" s="33" t="str">
        <f>'2.1 Capex Real Dollars'!N24</f>
        <v>Transmission Assets</v>
      </c>
      <c r="O24" s="33" t="str">
        <f>'2.1 Capex Real Dollars'!O24</f>
        <v>Replacement expenditure</v>
      </c>
      <c r="P24" s="33" t="str">
        <f>'2.1 Capex Real Dollars'!P24</f>
        <v>Major Maintenance</v>
      </c>
      <c r="Q24" s="6">
        <f>'2.1 Capex Real Dollars'!Q24/'1.1 Input'!J$13</f>
        <v>140882.9136</v>
      </c>
      <c r="R24" s="6">
        <f>'2.1 Capex Real Dollars'!R24/'1.1 Input'!K$13</f>
        <v>435497.26252032007</v>
      </c>
      <c r="S24" s="6">
        <f>'2.1 Capex Real Dollars'!S24/'1.1 Input'!L$13</f>
        <v>746587.47371400183</v>
      </c>
      <c r="T24" s="6">
        <f>'2.1 Capex Real Dollars'!T24/'1.1 Input'!M$13</f>
        <v>153319.20360190741</v>
      </c>
      <c r="U24" s="6">
        <f>'2.1 Capex Real Dollars'!U24/'1.1 Input'!N$13</f>
        <v>334234.40731972392</v>
      </c>
      <c r="V24" s="45">
        <f t="shared" si="2"/>
        <v>1810521.2607559531</v>
      </c>
    </row>
    <row r="25" spans="1:22">
      <c r="A25" s="33" t="str">
        <f>'1.0 Data'!A25</f>
        <v>DL_Security Audits Site Design</v>
      </c>
      <c r="B25" s="33" t="str">
        <f>IF(A25="","",'1.0 Data'!$B$9)</f>
        <v>nominal</v>
      </c>
      <c r="C25" s="33" t="str" cm="1">
        <f t="array" ref="C25">INDEX('1.0 Data'!D$9:D$61,MATCH($A25,'1.0 Data'!$A$9:$A$61,0),0)</f>
        <v>Transmission Assets</v>
      </c>
      <c r="D25" s="33" t="str" cm="1">
        <f t="array" ref="D25">INDEX('1.0 Data'!E$9:E$61,MATCH($A25,'1.0 Data'!$A$9:$A$61,0),0)</f>
        <v>Replacement expenditure</v>
      </c>
      <c r="E25" s="17" cm="1">
        <f t="array" ref="E25">INDEX('1.0 Data'!I$9:I$61,MATCH($A25,'1.0 Data'!$A$9:$A$61,0),0)</f>
        <v>0</v>
      </c>
      <c r="F25" s="17" cm="1">
        <f t="array" ref="F25">INDEX('1.0 Data'!J$9:J$61,MATCH($A25,'1.0 Data'!$A$9:$A$61,0),0)</f>
        <v>0</v>
      </c>
      <c r="G25" s="17" cm="1">
        <f t="array" ref="G25">INDEX('1.0 Data'!K$9:K$61,MATCH($A25,'1.0 Data'!$A$9:$A$61,0),0)</f>
        <v>24695</v>
      </c>
      <c r="H25" s="17" cm="1">
        <f t="array" ref="H25">INDEX('1.0 Data'!L$9:L$61,MATCH($A25,'1.0 Data'!$A$9:$A$61,0),0)</f>
        <v>0</v>
      </c>
      <c r="I25" s="17" cm="1">
        <f t="array" ref="I25">INDEX('1.0 Data'!M$9:M$61,MATCH($A25,'1.0 Data'!$A$9:$A$61,0),0)</f>
        <v>0</v>
      </c>
      <c r="J25" s="45">
        <f t="shared" si="1"/>
        <v>24695</v>
      </c>
      <c r="L25" s="33" t="str">
        <f>'2.1 Capex Real Dollars'!L25</f>
        <v>Cooling Tower Fans</v>
      </c>
      <c r="M25" s="33" t="str">
        <f>IF(L25="","",'1.0 Data'!$B$9)</f>
        <v>nominal</v>
      </c>
      <c r="N25" s="33" t="str">
        <f>'2.1 Capex Real Dollars'!N25</f>
        <v>Transmission Assets</v>
      </c>
      <c r="O25" s="33" t="str">
        <f>'2.1 Capex Real Dollars'!O25</f>
        <v>Replacement expenditure</v>
      </c>
      <c r="P25" s="33" t="str">
        <f>'2.1 Capex Real Dollars'!P25</f>
        <v>Major Maintenance</v>
      </c>
      <c r="Q25" s="6">
        <f>'2.1 Capex Real Dollars'!Q25/'1.1 Input'!J$13</f>
        <v>123016.61717745841</v>
      </c>
      <c r="R25" s="6">
        <f>'2.1 Capex Real Dollars'!R25/'1.1 Input'!K$13</f>
        <v>128137.49341270629</v>
      </c>
      <c r="S25" s="6">
        <f>'2.1 Capex Real Dollars'!S25/'1.1 Input'!L$13</f>
        <v>132990.6066010388</v>
      </c>
      <c r="T25" s="6">
        <f>'2.1 Capex Real Dollars'!T25/'1.1 Input'!M$13</f>
        <v>138165.41760555236</v>
      </c>
      <c r="U25" s="6">
        <f>'2.1 Capex Real Dollars'!U25/'1.1 Input'!N$13</f>
        <v>143503.03501128801</v>
      </c>
      <c r="V25" s="45">
        <f t="shared" si="2"/>
        <v>665813.16980804387</v>
      </c>
    </row>
    <row r="26" spans="1:22">
      <c r="A26" s="33" t="str">
        <f>'1.0 Data'!A26</f>
        <v>DL_Specialised testing equipme</v>
      </c>
      <c r="B26" s="33" t="str">
        <f>IF(A26="","",'1.0 Data'!$B$9)</f>
        <v>nominal</v>
      </c>
      <c r="C26" s="33" t="str" cm="1">
        <f t="array" ref="C26">INDEX('1.0 Data'!D$9:D$61,MATCH($A26,'1.0 Data'!$A$9:$A$61,0),0)</f>
        <v>Transmission Assets</v>
      </c>
      <c r="D26" s="33" t="str" cm="1">
        <f t="array" ref="D26">INDEX('1.0 Data'!E$9:E$61,MATCH($A26,'1.0 Data'!$A$9:$A$61,0),0)</f>
        <v>Replacement expenditure</v>
      </c>
      <c r="E26" s="17" cm="1">
        <f t="array" ref="E26">INDEX('1.0 Data'!I$9:I$61,MATCH($A26,'1.0 Data'!$A$9:$A$61,0),0)</f>
        <v>0</v>
      </c>
      <c r="F26" s="17" cm="1">
        <f t="array" ref="F26">INDEX('1.0 Data'!J$9:J$61,MATCH($A26,'1.0 Data'!$A$9:$A$61,0),0)</f>
        <v>0</v>
      </c>
      <c r="G26" s="17" cm="1">
        <f t="array" ref="G26">INDEX('1.0 Data'!K$9:K$61,MATCH($A26,'1.0 Data'!$A$9:$A$61,0),0)</f>
        <v>4794.46</v>
      </c>
      <c r="H26" s="17" cm="1">
        <f t="array" ref="H26">INDEX('1.0 Data'!L$9:L$61,MATCH($A26,'1.0 Data'!$A$9:$A$61,0),0)</f>
        <v>0</v>
      </c>
      <c r="I26" s="17" cm="1">
        <f t="array" ref="I26">INDEX('1.0 Data'!M$9:M$61,MATCH($A26,'1.0 Data'!$A$9:$A$61,0),0)</f>
        <v>0</v>
      </c>
      <c r="J26" s="45">
        <f t="shared" si="1"/>
        <v>4794.46</v>
      </c>
      <c r="L26" s="33" t="str">
        <f>'2.1 Capex Real Dollars'!L26</f>
        <v>Cooling Tower Sound Enclosure and Roofing Corrosion Management</v>
      </c>
      <c r="M26" s="33" t="str">
        <f>IF(L26="","",'1.0 Data'!$B$9)</f>
        <v>nominal</v>
      </c>
      <c r="N26" s="33" t="str">
        <f>'2.1 Capex Real Dollars'!N26</f>
        <v>Buildings</v>
      </c>
      <c r="O26" s="33" t="str">
        <f>'2.1 Capex Real Dollars'!O26</f>
        <v>Replacement expenditure</v>
      </c>
      <c r="P26" s="33" t="str">
        <f>'2.1 Capex Real Dollars'!P26</f>
        <v>Major Maintenance</v>
      </c>
      <c r="Q26" s="6">
        <f>'2.1 Capex Real Dollars'!Q26/'1.1 Input'!J$13</f>
        <v>0</v>
      </c>
      <c r="R26" s="6">
        <f>'2.1 Capex Real Dollars'!R26/'1.1 Input'!K$13</f>
        <v>0</v>
      </c>
      <c r="S26" s="6">
        <f>'2.1 Capex Real Dollars'!S26/'1.1 Input'!L$13</f>
        <v>0</v>
      </c>
      <c r="T26" s="6">
        <f>'2.1 Capex Real Dollars'!T26/'1.1 Input'!M$13</f>
        <v>1109884.9205893585</v>
      </c>
      <c r="U26" s="6">
        <f>'2.1 Capex Real Dollars'!U26/'1.1 Input'!N$13</f>
        <v>0</v>
      </c>
      <c r="V26" s="45">
        <f t="shared" si="2"/>
        <v>1109884.9205893585</v>
      </c>
    </row>
    <row r="27" spans="1:22">
      <c r="A27" s="33" t="str">
        <f>'1.0 Data'!A27</f>
        <v>Dlink UPS system upgrade work</v>
      </c>
      <c r="B27" s="33" t="str">
        <f>IF(A27="","",'1.0 Data'!$B$9)</f>
        <v>nominal</v>
      </c>
      <c r="C27" s="33" t="str" cm="1">
        <f t="array" ref="C27">INDEX('1.0 Data'!D$9:D$61,MATCH($A27,'1.0 Data'!$A$9:$A$61,0),0)</f>
        <v>Transmission Assets</v>
      </c>
      <c r="D27" s="33" t="str" cm="1">
        <f t="array" ref="D27">INDEX('1.0 Data'!E$9:E$61,MATCH($A27,'1.0 Data'!$A$9:$A$61,0),0)</f>
        <v>Replacement expenditure</v>
      </c>
      <c r="E27" s="17" cm="1">
        <f t="array" ref="E27">INDEX('1.0 Data'!I$9:I$61,MATCH($A27,'1.0 Data'!$A$9:$A$61,0),0)</f>
        <v>22975.62</v>
      </c>
      <c r="F27" s="17" cm="1">
        <f t="array" ref="F27">INDEX('1.0 Data'!J$9:J$61,MATCH($A27,'1.0 Data'!$A$9:$A$61,0),0)</f>
        <v>134564.15</v>
      </c>
      <c r="G27" s="17" cm="1">
        <f t="array" ref="G27">INDEX('1.0 Data'!K$9:K$61,MATCH($A27,'1.0 Data'!$A$9:$A$61,0),0)</f>
        <v>230007.34999999998</v>
      </c>
      <c r="H27" s="17" cm="1">
        <f t="array" ref="H27">INDEX('1.0 Data'!L$9:L$61,MATCH($A27,'1.0 Data'!$A$9:$A$61,0),0)</f>
        <v>0</v>
      </c>
      <c r="I27" s="17" cm="1">
        <f t="array" ref="I27">INDEX('1.0 Data'!M$9:M$61,MATCH($A27,'1.0 Data'!$A$9:$A$61,0),0)</f>
        <v>0</v>
      </c>
      <c r="J27" s="45">
        <f t="shared" si="1"/>
        <v>387547.12</v>
      </c>
      <c r="L27" s="33" t="str">
        <f>'2.1 Capex Real Dollars'!L27</f>
        <v>Corporate Upgrade of Telstra Network</v>
      </c>
      <c r="M27" s="33" t="str">
        <f>IF(L27="","",'1.0 Data'!$B$9)</f>
        <v>nominal</v>
      </c>
      <c r="N27" s="33" t="str">
        <f>'2.1 Capex Real Dollars'!N27</f>
        <v>Buildings</v>
      </c>
      <c r="O27" s="33" t="str">
        <f>'2.1 Capex Real Dollars'!O27</f>
        <v>Replacement expenditure</v>
      </c>
      <c r="P27" s="33" t="str">
        <f>'2.1 Capex Real Dollars'!P27</f>
        <v>Asset Monitoring</v>
      </c>
      <c r="Q27" s="6">
        <f>'2.1 Capex Real Dollars'!Q27/'1.1 Input'!J$13</f>
        <v>0</v>
      </c>
      <c r="R27" s="6">
        <f>'2.1 Capex Real Dollars'!R27/'1.1 Input'!K$13</f>
        <v>0</v>
      </c>
      <c r="S27" s="6">
        <f>'2.1 Capex Real Dollars'!S27/'1.1 Input'!L$13</f>
        <v>0</v>
      </c>
      <c r="T27" s="6">
        <f>'2.1 Capex Real Dollars'!T27/'1.1 Input'!M$13</f>
        <v>0</v>
      </c>
      <c r="U27" s="6">
        <f>'2.1 Capex Real Dollars'!U27/'1.1 Input'!N$13</f>
        <v>0</v>
      </c>
      <c r="V27" s="45">
        <f t="shared" si="2"/>
        <v>0</v>
      </c>
    </row>
    <row r="28" spans="1:22">
      <c r="A28" s="33" t="str">
        <f>'1.0 Data'!A28</f>
        <v>Environmental Damage from Landslips</v>
      </c>
      <c r="B28" s="33" t="str">
        <f>IF(A28="","",'1.0 Data'!$B$9)</f>
        <v>nominal</v>
      </c>
      <c r="C28" s="33" t="str" cm="1">
        <f t="array" ref="C28">INDEX('1.0 Data'!D$9:D$61,MATCH($A28,'1.0 Data'!$A$9:$A$61,0),0)</f>
        <v>Easements</v>
      </c>
      <c r="D28" s="33" t="str" cm="1">
        <f t="array" ref="D28">INDEX('1.0 Data'!E$9:E$61,MATCH($A28,'1.0 Data'!$A$9:$A$61,0),0)</f>
        <v>Replacement expenditure</v>
      </c>
      <c r="E28" s="17" cm="1">
        <f t="array" ref="E28">INDEX('1.0 Data'!I$9:I$61,MATCH($A28,'1.0 Data'!$A$9:$A$61,0),0)</f>
        <v>0</v>
      </c>
      <c r="F28" s="17" cm="1">
        <f t="array" ref="F28">INDEX('1.0 Data'!J$9:J$61,MATCH($A28,'1.0 Data'!$A$9:$A$61,0),0)</f>
        <v>0</v>
      </c>
      <c r="G28" s="17" cm="1">
        <f t="array" ref="G28">INDEX('1.0 Data'!K$9:K$61,MATCH($A28,'1.0 Data'!$A$9:$A$61,0),0)</f>
        <v>0</v>
      </c>
      <c r="H28" s="17" cm="1">
        <f t="array" ref="H28">INDEX('1.0 Data'!L$9:L$61,MATCH($A28,'1.0 Data'!$A$9:$A$61,0),0)</f>
        <v>165000</v>
      </c>
      <c r="I28" s="17" cm="1">
        <f t="array" ref="I28">INDEX('1.0 Data'!M$9:M$61,MATCH($A28,'1.0 Data'!$A$9:$A$61,0),0)</f>
        <v>282015.62057963602</v>
      </c>
      <c r="J28" s="45">
        <f t="shared" ref="J28:J49" si="3">SUM(E28:I28)</f>
        <v>447015.62057963602</v>
      </c>
      <c r="L28" s="33" t="str">
        <f>'2.1 Capex Real Dollars'!L28</f>
        <v>DC disconnectors</v>
      </c>
      <c r="M28" s="33" t="str">
        <f>IF(L28="","",'1.0 Data'!$B$9)</f>
        <v>nominal</v>
      </c>
      <c r="N28" s="33" t="str">
        <f>'2.1 Capex Real Dollars'!N28</f>
        <v>Transmission Assets</v>
      </c>
      <c r="O28" s="33" t="str">
        <f>'2.1 Capex Real Dollars'!O28</f>
        <v>Replacement expenditure</v>
      </c>
      <c r="P28" s="33" t="str">
        <f>'2.1 Capex Real Dollars'!P28</f>
        <v>Safety and Protection</v>
      </c>
      <c r="Q28" s="6">
        <f>'2.1 Capex Real Dollars'!Q28/'1.1 Input'!J$13</f>
        <v>461039.3347560002</v>
      </c>
      <c r="R28" s="6">
        <f>'2.1 Capex Real Dollars'!R28/'1.1 Input'!K$13</f>
        <v>0</v>
      </c>
      <c r="S28" s="6">
        <f>'2.1 Capex Real Dollars'!S28/'1.1 Input'!L$13</f>
        <v>0</v>
      </c>
      <c r="T28" s="6">
        <f>'2.1 Capex Real Dollars'!T28/'1.1 Input'!M$13</f>
        <v>0</v>
      </c>
      <c r="U28" s="6">
        <f>'2.1 Capex Real Dollars'!U28/'1.1 Input'!N$13</f>
        <v>0</v>
      </c>
      <c r="V28" s="45">
        <f t="shared" si="2"/>
        <v>461039.3347560002</v>
      </c>
    </row>
    <row r="29" spans="1:22">
      <c r="A29" s="33" t="str">
        <f>'1.0 Data'!A29</f>
        <v>Environmental Damage from Landslips (Emergency Works)</v>
      </c>
      <c r="B29" s="33" t="str">
        <f>IF(A29="","",'1.0 Data'!$B$9)</f>
        <v>nominal</v>
      </c>
      <c r="C29" s="33" t="str" cm="1">
        <f t="array" ref="C29">INDEX('1.0 Data'!D$9:D$61,MATCH($A29,'1.0 Data'!$A$9:$A$61,0),0)</f>
        <v>Easements</v>
      </c>
      <c r="D29" s="33" t="str" cm="1">
        <f t="array" ref="D29">INDEX('1.0 Data'!E$9:E$61,MATCH($A29,'1.0 Data'!$A$9:$A$61,0),0)</f>
        <v>Replacement expenditure</v>
      </c>
      <c r="E29" s="17" cm="1">
        <f t="array" ref="E29">INDEX('1.0 Data'!I$9:I$61,MATCH($A29,'1.0 Data'!$A$9:$A$61,0),0)</f>
        <v>0</v>
      </c>
      <c r="F29" s="17" cm="1">
        <f t="array" ref="F29">INDEX('1.0 Data'!J$9:J$61,MATCH($A29,'1.0 Data'!$A$9:$A$61,0),0)</f>
        <v>0</v>
      </c>
      <c r="G29" s="17" cm="1">
        <f t="array" ref="G29">INDEX('1.0 Data'!K$9:K$61,MATCH($A29,'1.0 Data'!$A$9:$A$61,0),0)</f>
        <v>0</v>
      </c>
      <c r="H29" s="17" cm="1">
        <f t="array" ref="H29">INDEX('1.0 Data'!L$9:L$61,MATCH($A29,'1.0 Data'!$A$9:$A$61,0),0)</f>
        <v>175780</v>
      </c>
      <c r="I29" s="17" cm="1">
        <f t="array" ref="I29">INDEX('1.0 Data'!M$9:M$61,MATCH($A29,'1.0 Data'!$A$9:$A$61,0),0)</f>
        <v>0</v>
      </c>
      <c r="J29" s="45">
        <f t="shared" si="3"/>
        <v>175780</v>
      </c>
      <c r="L29" s="33" t="str">
        <f>'2.1 Capex Real Dollars'!L29</f>
        <v>Dehumidifier Spares in VCU</v>
      </c>
      <c r="M29" s="33" t="str">
        <f>IF(L29="","",'1.0 Data'!$B$9)</f>
        <v>nominal</v>
      </c>
      <c r="N29" s="33" t="str">
        <f>'2.1 Capex Real Dollars'!N29</f>
        <v>Transmission Assets</v>
      </c>
      <c r="O29" s="33" t="str">
        <f>'2.1 Capex Real Dollars'!O29</f>
        <v>Replacement expenditure</v>
      </c>
      <c r="P29" s="33" t="str">
        <f>'2.1 Capex Real Dollars'!P29</f>
        <v>Spares Management</v>
      </c>
      <c r="Q29" s="6">
        <f>'2.1 Capex Real Dollars'!Q29/'1.1 Input'!J$13</f>
        <v>0</v>
      </c>
      <c r="R29" s="6">
        <f>'2.1 Capex Real Dollars'!R29/'1.1 Input'!K$13</f>
        <v>0</v>
      </c>
      <c r="S29" s="6">
        <f>'2.1 Capex Real Dollars'!S29/'1.1 Input'!L$13</f>
        <v>0</v>
      </c>
      <c r="T29" s="6">
        <f>'2.1 Capex Real Dollars'!T29/'1.1 Input'!M$13</f>
        <v>0</v>
      </c>
      <c r="U29" s="6">
        <f>'2.1 Capex Real Dollars'!U29/'1.1 Input'!N$13</f>
        <v>0</v>
      </c>
      <c r="V29" s="45">
        <f t="shared" si="2"/>
        <v>0</v>
      </c>
    </row>
    <row r="30" spans="1:22">
      <c r="A30" s="33" t="str">
        <f>'1.0 Data'!A30</f>
        <v>Fire System Upgrades (2020-25)</v>
      </c>
      <c r="B30" s="33" t="str">
        <f>IF(A30="","",'1.0 Data'!$B$9)</f>
        <v>nominal</v>
      </c>
      <c r="C30" s="33" t="str" cm="1">
        <f t="array" ref="C30">INDEX('1.0 Data'!D$9:D$61,MATCH($A30,'1.0 Data'!$A$9:$A$61,0),0)</f>
        <v>Transmission Assets</v>
      </c>
      <c r="D30" s="33" t="str" cm="1">
        <f t="array" ref="D30">INDEX('1.0 Data'!E$9:E$61,MATCH($A30,'1.0 Data'!$A$9:$A$61,0),0)</f>
        <v>Replacement expenditure</v>
      </c>
      <c r="E30" s="17" cm="1">
        <f t="array" ref="E30">INDEX('1.0 Data'!I$9:I$61,MATCH($A30,'1.0 Data'!$A$9:$A$61,0),0)</f>
        <v>0</v>
      </c>
      <c r="F30" s="17" cm="1">
        <f t="array" ref="F30">INDEX('1.0 Data'!J$9:J$61,MATCH($A30,'1.0 Data'!$A$9:$A$61,0),0)</f>
        <v>0</v>
      </c>
      <c r="G30" s="17" cm="1">
        <f t="array" ref="G30">INDEX('1.0 Data'!K$9:K$61,MATCH($A30,'1.0 Data'!$A$9:$A$61,0),0)</f>
        <v>0</v>
      </c>
      <c r="H30" s="17" cm="1">
        <f t="array" ref="H30">INDEX('1.0 Data'!L$9:L$61,MATCH($A30,'1.0 Data'!$A$9:$A$61,0),0)</f>
        <v>583000</v>
      </c>
      <c r="I30" s="17" cm="1">
        <f t="array" ref="I30">INDEX('1.0 Data'!M$9:M$61,MATCH($A30,'1.0 Data'!$A$9:$A$61,0),0)</f>
        <v>0</v>
      </c>
      <c r="J30" s="45">
        <f t="shared" si="3"/>
        <v>583000</v>
      </c>
      <c r="L30" s="33" t="str">
        <f>'2.1 Capex Real Dollars'!L30</f>
        <v>Environmental Damage from Landslips</v>
      </c>
      <c r="M30" s="33" t="str">
        <f>IF(L30="","",'1.0 Data'!$B$9)</f>
        <v>nominal</v>
      </c>
      <c r="N30" s="33" t="str">
        <f>'2.1 Capex Real Dollars'!N30</f>
        <v>Easements</v>
      </c>
      <c r="O30" s="33" t="str">
        <f>'2.1 Capex Real Dollars'!O30</f>
        <v>Replacement expenditure</v>
      </c>
      <c r="P30" s="33" t="str">
        <f>'2.1 Capex Real Dollars'!P30</f>
        <v>Safety and Protection</v>
      </c>
      <c r="Q30" s="6">
        <f>'2.1 Capex Real Dollars'!Q30/'1.1 Input'!J$13</f>
        <v>185143.62895600003</v>
      </c>
      <c r="R30" s="6">
        <f>'2.1 Capex Real Dollars'!R30/'1.1 Input'!K$13</f>
        <v>0</v>
      </c>
      <c r="S30" s="6">
        <f>'2.1 Capex Real Dollars'!S30/'1.1 Input'!L$13</f>
        <v>0</v>
      </c>
      <c r="T30" s="6">
        <f>'2.1 Capex Real Dollars'!T30/'1.1 Input'!M$13</f>
        <v>0</v>
      </c>
      <c r="U30" s="6">
        <f>'2.1 Capex Real Dollars'!U30/'1.1 Input'!N$13</f>
        <v>0</v>
      </c>
      <c r="V30" s="45">
        <f t="shared" si="2"/>
        <v>185143.62895600003</v>
      </c>
    </row>
    <row r="31" spans="1:22">
      <c r="A31" s="33" t="str">
        <f>'1.0 Data'!A31</f>
        <v>Hi Pot Tester / Thumper Replacement</v>
      </c>
      <c r="B31" s="33" t="str">
        <f>IF(A31="","",'1.0 Data'!$B$9)</f>
        <v>nominal</v>
      </c>
      <c r="C31" s="33" t="str" cm="1">
        <f t="array" ref="C31">INDEX('1.0 Data'!D$9:D$61,MATCH($A31,'1.0 Data'!$A$9:$A$61,0),0)</f>
        <v>Transmission Assets</v>
      </c>
      <c r="D31" s="33" t="str" cm="1">
        <f t="array" ref="D31">INDEX('1.0 Data'!E$9:E$61,MATCH($A31,'1.0 Data'!$A$9:$A$61,0),0)</f>
        <v>Replacement expenditure</v>
      </c>
      <c r="E31" s="17" cm="1">
        <f t="array" ref="E31">INDEX('1.0 Data'!I$9:I$61,MATCH($A31,'1.0 Data'!$A$9:$A$61,0),0)</f>
        <v>0</v>
      </c>
      <c r="F31" s="17" cm="1">
        <f t="array" ref="F31">INDEX('1.0 Data'!J$9:J$61,MATCH($A31,'1.0 Data'!$A$9:$A$61,0),0)</f>
        <v>150628.5</v>
      </c>
      <c r="G31" s="17" cm="1">
        <f t="array" ref="G31">INDEX('1.0 Data'!K$9:K$61,MATCH($A31,'1.0 Data'!$A$9:$A$61,0),0)</f>
        <v>0</v>
      </c>
      <c r="H31" s="17" cm="1">
        <f t="array" ref="H31">INDEX('1.0 Data'!L$9:L$61,MATCH($A31,'1.0 Data'!$A$9:$A$61,0),0)</f>
        <v>0</v>
      </c>
      <c r="I31" s="17" cm="1">
        <f t="array" ref="I31">INDEX('1.0 Data'!M$9:M$61,MATCH($A31,'1.0 Data'!$A$9:$A$61,0),0)</f>
        <v>0</v>
      </c>
      <c r="J31" s="45">
        <f t="shared" si="3"/>
        <v>150628.5</v>
      </c>
      <c r="L31" s="33" t="str">
        <f>'2.1 Capex Real Dollars'!L31</f>
        <v>Environmental Damage from Landslips (Emergency Works)</v>
      </c>
      <c r="M31" s="33" t="str">
        <f>IF(L31="","",'1.0 Data'!$B$9)</f>
        <v>nominal</v>
      </c>
      <c r="N31" s="33" t="str">
        <f>'2.1 Capex Real Dollars'!N31</f>
        <v>Easements</v>
      </c>
      <c r="O31" s="33" t="str">
        <f>'2.1 Capex Real Dollars'!O31</f>
        <v>Replacement expenditure</v>
      </c>
      <c r="P31" s="33" t="str">
        <f>'2.1 Capex Real Dollars'!P31</f>
        <v>Safety and Protection</v>
      </c>
      <c r="Q31" s="6">
        <f>'2.1 Capex Real Dollars'!Q31/'1.1 Input'!J$13</f>
        <v>0</v>
      </c>
      <c r="R31" s="6">
        <f>'2.1 Capex Real Dollars'!R31/'1.1 Input'!K$13</f>
        <v>0</v>
      </c>
      <c r="S31" s="6">
        <f>'2.1 Capex Real Dollars'!S31/'1.1 Input'!L$13</f>
        <v>0</v>
      </c>
      <c r="T31" s="6">
        <f>'2.1 Capex Real Dollars'!T31/'1.1 Input'!M$13</f>
        <v>0</v>
      </c>
      <c r="U31" s="6">
        <f>'2.1 Capex Real Dollars'!U31/'1.1 Input'!N$13</f>
        <v>0</v>
      </c>
      <c r="V31" s="45">
        <f t="shared" si="2"/>
        <v>0</v>
      </c>
    </row>
    <row r="32" spans="1:22">
      <c r="A32" s="33" t="str">
        <f>'1.0 Data'!A32</f>
        <v>HVDC Spare Cable Order</v>
      </c>
      <c r="B32" s="33" t="str">
        <f>IF(A32="","",'1.0 Data'!$B$9)</f>
        <v>nominal</v>
      </c>
      <c r="C32" s="33" t="str" cm="1">
        <f t="array" ref="C32">INDEX('1.0 Data'!D$9:D$61,MATCH($A32,'1.0 Data'!$A$9:$A$61,0),0)</f>
        <v>Transmission Assets</v>
      </c>
      <c r="D32" s="33" t="str" cm="1">
        <f t="array" ref="D32">INDEX('1.0 Data'!E$9:E$61,MATCH($A32,'1.0 Data'!$A$9:$A$61,0),0)</f>
        <v>Replacement expenditure</v>
      </c>
      <c r="E32" s="17" cm="1">
        <f t="array" ref="E32">INDEX('1.0 Data'!I$9:I$61,MATCH($A32,'1.0 Data'!$A$9:$A$61,0),0)</f>
        <v>0</v>
      </c>
      <c r="F32" s="17" cm="1">
        <f t="array" ref="F32">INDEX('1.0 Data'!J$9:J$61,MATCH($A32,'1.0 Data'!$A$9:$A$61,0),0)</f>
        <v>0</v>
      </c>
      <c r="G32" s="17" cm="1">
        <f t="array" ref="G32">INDEX('1.0 Data'!K$9:K$61,MATCH($A32,'1.0 Data'!$A$9:$A$61,0),0)</f>
        <v>0</v>
      </c>
      <c r="H32" s="17" cm="1">
        <f t="array" ref="H32">INDEX('1.0 Data'!L$9:L$61,MATCH($A32,'1.0 Data'!$A$9:$A$61,0),0)</f>
        <v>770000.00000000012</v>
      </c>
      <c r="I32" s="17" cm="1">
        <f t="array" ref="I32">INDEX('1.0 Data'!M$9:M$61,MATCH($A32,'1.0 Data'!$A$9:$A$61,0),0)</f>
        <v>712932.22970655549</v>
      </c>
      <c r="J32" s="45">
        <f t="shared" si="3"/>
        <v>1482932.2297065556</v>
      </c>
      <c r="L32" s="33" t="str">
        <f>'2.1 Capex Real Dollars'!L32</f>
        <v>Fibre Cables</v>
      </c>
      <c r="M32" s="33" t="str">
        <f>IF(L32="","",'1.0 Data'!$B$9)</f>
        <v>nominal</v>
      </c>
      <c r="N32" s="33" t="str">
        <f>'2.1 Capex Real Dollars'!N32</f>
        <v>Transmission Assets</v>
      </c>
      <c r="O32" s="33" t="str">
        <f>'2.1 Capex Real Dollars'!O32</f>
        <v>Replacement expenditure</v>
      </c>
      <c r="P32" s="33" t="str">
        <f>'2.1 Capex Real Dollars'!P32</f>
        <v>Asset Monitoring</v>
      </c>
      <c r="Q32" s="6">
        <f>'2.1 Capex Real Dollars'!Q32/'1.1 Input'!J$13</f>
        <v>0</v>
      </c>
      <c r="R32" s="6">
        <f>'2.1 Capex Real Dollars'!R32/'1.1 Input'!K$13</f>
        <v>0</v>
      </c>
      <c r="S32" s="6">
        <f>'2.1 Capex Real Dollars'!S32/'1.1 Input'!L$13</f>
        <v>0</v>
      </c>
      <c r="T32" s="6">
        <f>'2.1 Capex Real Dollars'!T32/'1.1 Input'!M$13</f>
        <v>0</v>
      </c>
      <c r="U32" s="6">
        <f>'2.1 Capex Real Dollars'!U32/'1.1 Input'!N$13</f>
        <v>0</v>
      </c>
      <c r="V32" s="45">
        <f t="shared" si="2"/>
        <v>0</v>
      </c>
    </row>
    <row r="33" spans="1:22">
      <c r="A33" s="33" t="str">
        <f>'1.0 Data'!A33</f>
        <v>IGBT Spares -  Mullumbimby 1 Gen 3</v>
      </c>
      <c r="B33" s="33" t="str">
        <f>IF(A33="","",'1.0 Data'!$B$9)</f>
        <v>nominal</v>
      </c>
      <c r="C33" s="33" t="str" cm="1">
        <f t="array" ref="C33">INDEX('1.0 Data'!D$9:D$61,MATCH($A33,'1.0 Data'!$A$9:$A$61,0),0)</f>
        <v>Transmission Assets</v>
      </c>
      <c r="D33" s="33" t="str" cm="1">
        <f t="array" ref="D33">INDEX('1.0 Data'!E$9:E$61,MATCH($A33,'1.0 Data'!$A$9:$A$61,0),0)</f>
        <v>Replacement expenditure</v>
      </c>
      <c r="E33" s="17" cm="1">
        <f t="array" ref="E33">INDEX('1.0 Data'!I$9:I$61,MATCH($A33,'1.0 Data'!$A$9:$A$61,0),0)</f>
        <v>0</v>
      </c>
      <c r="F33" s="17" cm="1">
        <f t="array" ref="F33">INDEX('1.0 Data'!J$9:J$61,MATCH($A33,'1.0 Data'!$A$9:$A$61,0),0)</f>
        <v>32983.96</v>
      </c>
      <c r="G33" s="17" cm="1">
        <f t="array" ref="G33">INDEX('1.0 Data'!K$9:K$61,MATCH($A33,'1.0 Data'!$A$9:$A$61,0),0)</f>
        <v>0</v>
      </c>
      <c r="H33" s="17" cm="1">
        <f t="array" ref="H33">INDEX('1.0 Data'!L$9:L$61,MATCH($A33,'1.0 Data'!$A$9:$A$61,0),0)</f>
        <v>0</v>
      </c>
      <c r="I33" s="17" cm="1">
        <f t="array" ref="I33">INDEX('1.0 Data'!M$9:M$61,MATCH($A33,'1.0 Data'!$A$9:$A$61,0),0)</f>
        <v>0</v>
      </c>
      <c r="J33" s="45">
        <f t="shared" si="3"/>
        <v>32983.96</v>
      </c>
      <c r="L33" s="33" t="str">
        <f>'2.1 Capex Real Dollars'!L33</f>
        <v>Fire System Upgrades (2020-25)</v>
      </c>
      <c r="M33" s="33" t="str">
        <f>IF(L33="","",'1.0 Data'!$B$9)</f>
        <v>nominal</v>
      </c>
      <c r="N33" s="33" t="str">
        <f>'2.1 Capex Real Dollars'!N33</f>
        <v>Transmission Assets</v>
      </c>
      <c r="O33" s="33" t="str">
        <f>'2.1 Capex Real Dollars'!O33</f>
        <v>Replacement expenditure</v>
      </c>
      <c r="P33" s="33" t="str">
        <f>'2.1 Capex Real Dollars'!P33</f>
        <v>Major Maintenance</v>
      </c>
      <c r="Q33" s="6">
        <f>'2.1 Capex Real Dollars'!Q33/'1.1 Input'!J$13</f>
        <v>0</v>
      </c>
      <c r="R33" s="6">
        <f>'2.1 Capex Real Dollars'!R33/'1.1 Input'!K$13</f>
        <v>0</v>
      </c>
      <c r="S33" s="6">
        <f>'2.1 Capex Real Dollars'!S33/'1.1 Input'!L$13</f>
        <v>0</v>
      </c>
      <c r="T33" s="6">
        <f>'2.1 Capex Real Dollars'!T33/'1.1 Input'!M$13</f>
        <v>0</v>
      </c>
      <c r="U33" s="6">
        <f>'2.1 Capex Real Dollars'!U33/'1.1 Input'!N$13</f>
        <v>0</v>
      </c>
      <c r="V33" s="45">
        <f t="shared" si="2"/>
        <v>0</v>
      </c>
    </row>
    <row r="34" spans="1:22">
      <c r="A34" s="33" t="str">
        <f>'1.0 Data'!A34</f>
        <v>Industrial computer control system upgrade</v>
      </c>
      <c r="B34" s="33" t="str">
        <f>IF(A34="","",'1.0 Data'!$B$9)</f>
        <v>nominal</v>
      </c>
      <c r="C34" s="33" t="str" cm="1">
        <f t="array" ref="C34">INDEX('1.0 Data'!D$9:D$61,MATCH($A34,'1.0 Data'!$A$9:$A$61,0),0)</f>
        <v>Transmission Assets</v>
      </c>
      <c r="D34" s="33" t="str" cm="1">
        <f t="array" ref="D34">INDEX('1.0 Data'!E$9:E$61,MATCH($A34,'1.0 Data'!$A$9:$A$61,0),0)</f>
        <v>Replacement expenditure</v>
      </c>
      <c r="E34" s="17" cm="1">
        <f t="array" ref="E34">INDEX('1.0 Data'!I$9:I$61,MATCH($A34,'1.0 Data'!$A$9:$A$61,0),0)</f>
        <v>4053.8300000000013</v>
      </c>
      <c r="F34" s="17" cm="1">
        <f t="array" ref="F34">INDEX('1.0 Data'!J$9:J$61,MATCH($A34,'1.0 Data'!$A$9:$A$61,0),0)</f>
        <v>18876</v>
      </c>
      <c r="G34" s="17" cm="1">
        <f t="array" ref="G34">INDEX('1.0 Data'!K$9:K$61,MATCH($A34,'1.0 Data'!$A$9:$A$61,0),0)</f>
        <v>0</v>
      </c>
      <c r="H34" s="17" cm="1">
        <f t="array" ref="H34">INDEX('1.0 Data'!L$9:L$61,MATCH($A34,'1.0 Data'!$A$9:$A$61,0),0)</f>
        <v>0</v>
      </c>
      <c r="I34" s="17" cm="1">
        <f t="array" ref="I34">INDEX('1.0 Data'!M$9:M$61,MATCH($A34,'1.0 Data'!$A$9:$A$61,0),0)</f>
        <v>0</v>
      </c>
      <c r="J34" s="45">
        <f t="shared" si="3"/>
        <v>22929.83</v>
      </c>
      <c r="L34" s="33" t="str">
        <f>'2.1 Capex Real Dollars'!L34</f>
        <v>Fire System Upgrades (2026-30)</v>
      </c>
      <c r="M34" s="33" t="str">
        <f>IF(L34="","",'1.0 Data'!$B$9)</f>
        <v>nominal</v>
      </c>
      <c r="N34" s="33" t="str">
        <f>'2.1 Capex Real Dollars'!N34</f>
        <v>Transmission Assets</v>
      </c>
      <c r="O34" s="33" t="str">
        <f>'2.1 Capex Real Dollars'!O34</f>
        <v>Replacement expenditure</v>
      </c>
      <c r="P34" s="33" t="str">
        <f>'2.1 Capex Real Dollars'!P34</f>
        <v>Major Maintenance</v>
      </c>
      <c r="Q34" s="6">
        <f>'2.1 Capex Real Dollars'!Q34/'1.1 Input'!J$13</f>
        <v>0</v>
      </c>
      <c r="R34" s="6">
        <f>'2.1 Capex Real Dollars'!R34/'1.1 Input'!K$13</f>
        <v>0</v>
      </c>
      <c r="S34" s="6">
        <f>'2.1 Capex Real Dollars'!S34/'1.1 Input'!L$13</f>
        <v>235175.05421991061</v>
      </c>
      <c r="T34" s="6">
        <f>'2.1 Capex Real Dollars'!T34/'1.1 Input'!M$13</f>
        <v>241477.74567300419</v>
      </c>
      <c r="U34" s="6">
        <f>'2.1 Capex Real Dollars'!U34/'1.1 Input'!N$13</f>
        <v>247514.6893148293</v>
      </c>
      <c r="V34" s="45">
        <f t="shared" si="2"/>
        <v>724167.48920774413</v>
      </c>
    </row>
    <row r="35" spans="1:22">
      <c r="A35" s="33" t="str">
        <f>'1.0 Data'!A35</f>
        <v>IT equiptment</v>
      </c>
      <c r="B35" s="33" t="str">
        <f>IF(A35="","",'1.0 Data'!$B$9)</f>
        <v>nominal</v>
      </c>
      <c r="C35" s="33" t="str" cm="1">
        <f t="array" ref="C35">INDEX('1.0 Data'!D$9:D$61,MATCH($A35,'1.0 Data'!$A$9:$A$61,0),0)</f>
        <v>Transmission Assets</v>
      </c>
      <c r="D35" s="33" t="str" cm="1">
        <f t="array" ref="D35">INDEX('1.0 Data'!E$9:E$61,MATCH($A35,'1.0 Data'!$A$9:$A$61,0),0)</f>
        <v>Replacement expenditure</v>
      </c>
      <c r="E35" s="17" cm="1">
        <f t="array" ref="E35">INDEX('1.0 Data'!I$9:I$61,MATCH($A35,'1.0 Data'!$A$9:$A$61,0),0)</f>
        <v>1239.2049999999997</v>
      </c>
      <c r="F35" s="17" cm="1">
        <f t="array" ref="F35">INDEX('1.0 Data'!J$9:J$61,MATCH($A35,'1.0 Data'!$A$9:$A$61,0),0)</f>
        <v>0</v>
      </c>
      <c r="G35" s="17" cm="1">
        <f t="array" ref="G35">INDEX('1.0 Data'!K$9:K$61,MATCH($A35,'1.0 Data'!$A$9:$A$61,0),0)</f>
        <v>0</v>
      </c>
      <c r="H35" s="17" cm="1">
        <f t="array" ref="H35">INDEX('1.0 Data'!L$9:L$61,MATCH($A35,'1.0 Data'!$A$9:$A$61,0),0)</f>
        <v>0</v>
      </c>
      <c r="I35" s="17" cm="1">
        <f t="array" ref="I35">INDEX('1.0 Data'!M$9:M$61,MATCH($A35,'1.0 Data'!$A$9:$A$61,0),0)</f>
        <v>0</v>
      </c>
      <c r="J35" s="45">
        <f t="shared" si="3"/>
        <v>1239.2049999999997</v>
      </c>
      <c r="L35" s="33" t="str">
        <f>'2.1 Capex Real Dollars'!L35</f>
        <v>HV circuit breakers crank housing</v>
      </c>
      <c r="M35" s="33" t="str">
        <f>IF(L35="","",'1.0 Data'!$B$9)</f>
        <v>nominal</v>
      </c>
      <c r="N35" s="33" t="str">
        <f>'2.1 Capex Real Dollars'!N35</f>
        <v>Transmission Assets</v>
      </c>
      <c r="O35" s="33" t="str">
        <f>'2.1 Capex Real Dollars'!O35</f>
        <v>Replacement expenditure</v>
      </c>
      <c r="P35" s="33" t="str">
        <f>'2.1 Capex Real Dollars'!P35</f>
        <v>Spares Management</v>
      </c>
      <c r="Q35" s="6">
        <f>'2.1 Capex Real Dollars'!Q35/'1.1 Input'!J$13</f>
        <v>0</v>
      </c>
      <c r="R35" s="6">
        <f>'2.1 Capex Real Dollars'!R35/'1.1 Input'!K$13</f>
        <v>0</v>
      </c>
      <c r="S35" s="6">
        <f>'2.1 Capex Real Dollars'!S35/'1.1 Input'!L$13</f>
        <v>0</v>
      </c>
      <c r="T35" s="6">
        <f>'2.1 Capex Real Dollars'!T35/'1.1 Input'!M$13</f>
        <v>0</v>
      </c>
      <c r="U35" s="6">
        <f>'2.1 Capex Real Dollars'!U35/'1.1 Input'!N$13</f>
        <v>0</v>
      </c>
      <c r="V35" s="45">
        <f t="shared" si="2"/>
        <v>0</v>
      </c>
    </row>
    <row r="36" spans="1:22">
      <c r="A36" s="33" t="str">
        <f>'1.0 Data'!A36</f>
        <v>Mid-Life Criticality Assessment</v>
      </c>
      <c r="B36" s="33" t="str">
        <f>IF(A36="","",'1.0 Data'!$B$9)</f>
        <v>nominal</v>
      </c>
      <c r="C36" s="33" t="str" cm="1">
        <f t="array" ref="C36">INDEX('1.0 Data'!D$9:D$61,MATCH($A36,'1.0 Data'!$A$9:$A$61,0),0)</f>
        <v>Transmission Assets</v>
      </c>
      <c r="D36" s="33" t="str" cm="1">
        <f t="array" ref="D36">INDEX('1.0 Data'!E$9:E$61,MATCH($A36,'1.0 Data'!$A$9:$A$61,0),0)</f>
        <v>Replacement expenditure</v>
      </c>
      <c r="E36" s="17" cm="1">
        <f t="array" ref="E36">INDEX('1.0 Data'!I$9:I$61,MATCH($A36,'1.0 Data'!$A$9:$A$61,0),0)</f>
        <v>0</v>
      </c>
      <c r="F36" s="17" cm="1">
        <f t="array" ref="F36">INDEX('1.0 Data'!J$9:J$61,MATCH($A36,'1.0 Data'!$A$9:$A$61,0),0)</f>
        <v>0</v>
      </c>
      <c r="G36" s="17" cm="1">
        <f t="array" ref="G36">INDEX('1.0 Data'!K$9:K$61,MATCH($A36,'1.0 Data'!$A$9:$A$61,0),0)</f>
        <v>0</v>
      </c>
      <c r="H36" s="17" cm="1">
        <f t="array" ref="H36">INDEX('1.0 Data'!L$9:L$61,MATCH($A36,'1.0 Data'!$A$9:$A$61,0),0)</f>
        <v>110000.00000000001</v>
      </c>
      <c r="I36" s="17" cm="1">
        <f t="array" ref="I36">INDEX('1.0 Data'!M$9:M$61,MATCH($A36,'1.0 Data'!$A$9:$A$61,0),0)</f>
        <v>0</v>
      </c>
      <c r="J36" s="45">
        <f t="shared" si="3"/>
        <v>110000.00000000001</v>
      </c>
      <c r="L36" s="33" t="str">
        <f>'2.1 Capex Real Dollars'!L36</f>
        <v>HVDC Spare Cable Management</v>
      </c>
      <c r="M36" s="33" t="str">
        <f>IF(L36="","",'1.0 Data'!$B$9)</f>
        <v>nominal</v>
      </c>
      <c r="N36" s="33" t="str">
        <f>'2.1 Capex Real Dollars'!N36</f>
        <v>Transmission Assets</v>
      </c>
      <c r="O36" s="33" t="str">
        <f>'2.1 Capex Real Dollars'!O36</f>
        <v>Replacement expenditure</v>
      </c>
      <c r="P36" s="33" t="str">
        <f>'2.1 Capex Real Dollars'!P36</f>
        <v>Spares Management</v>
      </c>
      <c r="Q36" s="6">
        <f>'2.1 Capex Real Dollars'!Q36/'1.1 Input'!J$13</f>
        <v>0</v>
      </c>
      <c r="R36" s="6">
        <f>'2.1 Capex Real Dollars'!R36/'1.1 Input'!K$13</f>
        <v>0</v>
      </c>
      <c r="S36" s="6">
        <f>'2.1 Capex Real Dollars'!S36/'1.1 Input'!L$13</f>
        <v>0</v>
      </c>
      <c r="T36" s="6">
        <f>'2.1 Capex Real Dollars'!T36/'1.1 Input'!M$13</f>
        <v>0</v>
      </c>
      <c r="U36" s="6">
        <f>'2.1 Capex Real Dollars'!U36/'1.1 Input'!N$13</f>
        <v>0</v>
      </c>
      <c r="V36" s="45">
        <f t="shared" si="2"/>
        <v>0</v>
      </c>
    </row>
    <row r="37" spans="1:22">
      <c r="A37" s="33" t="str">
        <f>'1.0 Data'!A37</f>
        <v>Obsolete IGBTs</v>
      </c>
      <c r="B37" s="33" t="str">
        <f>IF(A37="","",'1.0 Data'!$B$9)</f>
        <v>nominal</v>
      </c>
      <c r="C37" s="33" t="str" cm="1">
        <f t="array" ref="C37">INDEX('1.0 Data'!D$9:D$61,MATCH($A37,'1.0 Data'!$A$9:$A$61,0),0)</f>
        <v>Transmission Assets</v>
      </c>
      <c r="D37" s="33" t="str" cm="1">
        <f t="array" ref="D37">INDEX('1.0 Data'!E$9:E$61,MATCH($A37,'1.0 Data'!$A$9:$A$61,0),0)</f>
        <v>Replacement expenditure</v>
      </c>
      <c r="E37" s="17" cm="1">
        <f t="array" ref="E37">INDEX('1.0 Data'!I$9:I$61,MATCH($A37,'1.0 Data'!$A$9:$A$61,0),0)</f>
        <v>0</v>
      </c>
      <c r="F37" s="17" cm="1">
        <f t="array" ref="F37">INDEX('1.0 Data'!J$9:J$61,MATCH($A37,'1.0 Data'!$A$9:$A$61,0),0)</f>
        <v>1134292.44</v>
      </c>
      <c r="G37" s="17" cm="1">
        <f t="array" ref="G37">INDEX('1.0 Data'!K$9:K$61,MATCH($A37,'1.0 Data'!$A$9:$A$61,0),0)</f>
        <v>6135826.3900000006</v>
      </c>
      <c r="H37" s="17" cm="1">
        <f t="array" ref="H37">INDEX('1.0 Data'!L$9:L$61,MATCH($A37,'1.0 Data'!$A$9:$A$61,0),0)</f>
        <v>10277834.600000001</v>
      </c>
      <c r="I37" s="17" cm="1">
        <f t="array" ref="I37">INDEX('1.0 Data'!M$9:M$61,MATCH($A37,'1.0 Data'!$A$9:$A$61,0),0)</f>
        <v>1438086.1547795087</v>
      </c>
      <c r="J37" s="45">
        <f t="shared" si="3"/>
        <v>18986039.584779508</v>
      </c>
      <c r="L37" s="33" t="str">
        <f>'2.1 Capex Real Dollars'!L37</f>
        <v>HVDC Spare Cable Order</v>
      </c>
      <c r="M37" s="33" t="str">
        <f>IF(L37="","",'1.0 Data'!$B$9)</f>
        <v>nominal</v>
      </c>
      <c r="N37" s="33" t="str">
        <f>'2.1 Capex Real Dollars'!N37</f>
        <v>Transmission Assets</v>
      </c>
      <c r="O37" s="33" t="str">
        <f>'2.1 Capex Real Dollars'!O37</f>
        <v>Replacement expenditure</v>
      </c>
      <c r="P37" s="33" t="str">
        <f>'2.1 Capex Real Dollars'!P37</f>
        <v>Major Maintenance</v>
      </c>
      <c r="Q37" s="6">
        <f>'2.1 Capex Real Dollars'!Q37/'1.1 Input'!J$13</f>
        <v>0</v>
      </c>
      <c r="R37" s="6">
        <f>'2.1 Capex Real Dollars'!R37/'1.1 Input'!K$13</f>
        <v>0</v>
      </c>
      <c r="S37" s="6">
        <f>'2.1 Capex Real Dollars'!S37/'1.1 Input'!L$13</f>
        <v>0</v>
      </c>
      <c r="T37" s="6">
        <f>'2.1 Capex Real Dollars'!T37/'1.1 Input'!M$13</f>
        <v>0</v>
      </c>
      <c r="U37" s="6">
        <f>'2.1 Capex Real Dollars'!U37/'1.1 Input'!N$13</f>
        <v>0</v>
      </c>
      <c r="V37" s="45">
        <f t="shared" si="2"/>
        <v>0</v>
      </c>
    </row>
    <row r="38" spans="1:22">
      <c r="A38" s="33" t="str">
        <f>'1.0 Data'!A38</f>
        <v>Office equipment</v>
      </c>
      <c r="B38" s="33" t="str">
        <f>IF(A38="","",'1.0 Data'!$B$9)</f>
        <v>nominal</v>
      </c>
      <c r="C38" s="33" t="str" cm="1">
        <f t="array" ref="C38">INDEX('1.0 Data'!D$9:D$61,MATCH($A38,'1.0 Data'!$A$9:$A$61,0),0)</f>
        <v>Transmission Assets</v>
      </c>
      <c r="D38" s="33" t="str" cm="1">
        <f t="array" ref="D38">INDEX('1.0 Data'!E$9:E$61,MATCH($A38,'1.0 Data'!$A$9:$A$61,0),0)</f>
        <v>Replacement expenditure</v>
      </c>
      <c r="E38" s="17" cm="1">
        <f t="array" ref="E38">INDEX('1.0 Data'!I$9:I$61,MATCH($A38,'1.0 Data'!$A$9:$A$61,0),0)</f>
        <v>2396.9</v>
      </c>
      <c r="F38" s="17" cm="1">
        <f t="array" ref="F38">INDEX('1.0 Data'!J$9:J$61,MATCH($A38,'1.0 Data'!$A$9:$A$61,0),0)</f>
        <v>0</v>
      </c>
      <c r="G38" s="17" cm="1">
        <f t="array" ref="G38">INDEX('1.0 Data'!K$9:K$61,MATCH($A38,'1.0 Data'!$A$9:$A$61,0),0)</f>
        <v>0</v>
      </c>
      <c r="H38" s="17" cm="1">
        <f t="array" ref="H38">INDEX('1.0 Data'!L$9:L$61,MATCH($A38,'1.0 Data'!$A$9:$A$61,0),0)</f>
        <v>0</v>
      </c>
      <c r="I38" s="17" cm="1">
        <f t="array" ref="I38">INDEX('1.0 Data'!M$9:M$61,MATCH($A38,'1.0 Data'!$A$9:$A$61,0),0)</f>
        <v>0</v>
      </c>
      <c r="J38" s="45">
        <f t="shared" si="3"/>
        <v>2396.9</v>
      </c>
      <c r="L38" s="33" t="str">
        <f>'2.1 Capex Real Dollars'!L38</f>
        <v>IGBT Generation 3 Upgrade</v>
      </c>
      <c r="M38" s="33" t="str">
        <f>IF(L38="","",'1.0 Data'!$B$9)</f>
        <v>nominal</v>
      </c>
      <c r="N38" s="33" t="str">
        <f>'2.1 Capex Real Dollars'!N38</f>
        <v>Transmission Assets</v>
      </c>
      <c r="O38" s="33" t="str">
        <f>'2.1 Capex Real Dollars'!O38</f>
        <v>Replacement expenditure</v>
      </c>
      <c r="P38" s="33" t="str">
        <f>'2.1 Capex Real Dollars'!P38</f>
        <v>IGBTs</v>
      </c>
      <c r="Q38" s="6">
        <f>'2.1 Capex Real Dollars'!Q38/'1.1 Input'!J$13</f>
        <v>6253220.7848796416</v>
      </c>
      <c r="R38" s="6">
        <f>'2.1 Capex Real Dollars'!R38/'1.1 Input'!K$13</f>
        <v>0</v>
      </c>
      <c r="S38" s="6">
        <f>'2.1 Capex Real Dollars'!S38/'1.1 Input'!L$13</f>
        <v>0</v>
      </c>
      <c r="T38" s="6">
        <f>'2.1 Capex Real Dollars'!T38/'1.1 Input'!M$13</f>
        <v>0</v>
      </c>
      <c r="U38" s="6">
        <f>'2.1 Capex Real Dollars'!U38/'1.1 Input'!N$13</f>
        <v>0</v>
      </c>
      <c r="V38" s="45">
        <f t="shared" si="2"/>
        <v>6253220.7848796416</v>
      </c>
    </row>
    <row r="39" spans="1:22">
      <c r="A39" s="33" t="str">
        <f>'1.0 Data'!A39</f>
        <v>Operations Asset Integration</v>
      </c>
      <c r="B39" s="33" t="str">
        <f>IF(A39="","",'1.0 Data'!$B$9)</f>
        <v>nominal</v>
      </c>
      <c r="C39" s="33" t="str" cm="1">
        <f t="array" ref="C39">INDEX('1.0 Data'!D$9:D$61,MATCH($A39,'1.0 Data'!$A$9:$A$61,0),0)</f>
        <v>Transmission Assets</v>
      </c>
      <c r="D39" s="33" t="str" cm="1">
        <f t="array" ref="D39">INDEX('1.0 Data'!E$9:E$61,MATCH($A39,'1.0 Data'!$A$9:$A$61,0),0)</f>
        <v>Replacement expenditure</v>
      </c>
      <c r="E39" s="17" cm="1">
        <f t="array" ref="E39">INDEX('1.0 Data'!I$9:I$61,MATCH($A39,'1.0 Data'!$A$9:$A$61,0),0)</f>
        <v>0</v>
      </c>
      <c r="F39" s="17" cm="1">
        <f t="array" ref="F39">INDEX('1.0 Data'!J$9:J$61,MATCH($A39,'1.0 Data'!$A$9:$A$61,0),0)</f>
        <v>0</v>
      </c>
      <c r="G39" s="17" cm="1">
        <f t="array" ref="G39">INDEX('1.0 Data'!K$9:K$61,MATCH($A39,'1.0 Data'!$A$9:$A$61,0),0)</f>
        <v>0</v>
      </c>
      <c r="H39" s="17" cm="1">
        <f t="array" ref="H39">INDEX('1.0 Data'!L$9:L$61,MATCH($A39,'1.0 Data'!$A$9:$A$61,0),0)</f>
        <v>0</v>
      </c>
      <c r="I39" s="17" cm="1">
        <f t="array" ref="I39">INDEX('1.0 Data'!M$9:M$61,MATCH($A39,'1.0 Data'!$A$9:$A$61,0),0)</f>
        <v>83107.528491507037</v>
      </c>
      <c r="J39" s="45">
        <f t="shared" si="3"/>
        <v>83107.528491507037</v>
      </c>
      <c r="L39" s="33" t="str">
        <f>'2.1 Capex Real Dollars'!L39</f>
        <v>IGBT Spares</v>
      </c>
      <c r="M39" s="33" t="str">
        <f>IF(L39="","",'1.0 Data'!$B$9)</f>
        <v>nominal</v>
      </c>
      <c r="N39" s="33" t="str">
        <f>'2.1 Capex Real Dollars'!N39</f>
        <v>Transmission Assets</v>
      </c>
      <c r="O39" s="33" t="str">
        <f>'2.1 Capex Real Dollars'!O39</f>
        <v>Replacement expenditure</v>
      </c>
      <c r="P39" s="33" t="str">
        <f>'2.1 Capex Real Dollars'!P39</f>
        <v>Spares Management</v>
      </c>
      <c r="Q39" s="6">
        <f>'2.1 Capex Real Dollars'!Q39/'1.1 Input'!J$13</f>
        <v>0</v>
      </c>
      <c r="R39" s="6">
        <f>'2.1 Capex Real Dollars'!R39/'1.1 Input'!K$13</f>
        <v>0</v>
      </c>
      <c r="S39" s="6">
        <f>'2.1 Capex Real Dollars'!S39/'1.1 Input'!L$13</f>
        <v>0</v>
      </c>
      <c r="T39" s="6">
        <f>'2.1 Capex Real Dollars'!T39/'1.1 Input'!M$13</f>
        <v>0</v>
      </c>
      <c r="U39" s="6">
        <f>'2.1 Capex Real Dollars'!U39/'1.1 Input'!N$13</f>
        <v>0</v>
      </c>
      <c r="V39" s="45">
        <f t="shared" si="2"/>
        <v>0</v>
      </c>
    </row>
    <row r="40" spans="1:22">
      <c r="A40" s="33" t="str">
        <f>'1.0 Data'!A40</f>
        <v>Optic Fibres</v>
      </c>
      <c r="B40" s="33" t="str">
        <f>IF(A40="","",'1.0 Data'!$B$9)</f>
        <v>nominal</v>
      </c>
      <c r="C40" s="33" t="str" cm="1">
        <f t="array" ref="C40">INDEX('1.0 Data'!D$9:D$61,MATCH($A40,'1.0 Data'!$A$9:$A$61,0),0)</f>
        <v>Transmission Assets</v>
      </c>
      <c r="D40" s="33" t="str" cm="1">
        <f t="array" ref="D40">INDEX('1.0 Data'!E$9:E$61,MATCH($A40,'1.0 Data'!$A$9:$A$61,0),0)</f>
        <v>Replacement expenditure</v>
      </c>
      <c r="E40" s="17" cm="1">
        <f t="array" ref="E40">INDEX('1.0 Data'!I$9:I$61,MATCH($A40,'1.0 Data'!$A$9:$A$61,0),0)</f>
        <v>111881.43</v>
      </c>
      <c r="F40" s="17" cm="1">
        <f t="array" ref="F40">INDEX('1.0 Data'!J$9:J$61,MATCH($A40,'1.0 Data'!$A$9:$A$61,0),0)</f>
        <v>0</v>
      </c>
      <c r="G40" s="17" cm="1">
        <f t="array" ref="G40">INDEX('1.0 Data'!K$9:K$61,MATCH($A40,'1.0 Data'!$A$9:$A$61,0),0)</f>
        <v>2871.11</v>
      </c>
      <c r="H40" s="17" cm="1">
        <f t="array" ref="H40">INDEX('1.0 Data'!L$9:L$61,MATCH($A40,'1.0 Data'!$A$9:$A$61,0),0)</f>
        <v>0</v>
      </c>
      <c r="I40" s="17" cm="1">
        <f t="array" ref="I40">INDEX('1.0 Data'!M$9:M$61,MATCH($A40,'1.0 Data'!$A$9:$A$61,0),0)</f>
        <v>0</v>
      </c>
      <c r="J40" s="45">
        <f t="shared" si="3"/>
        <v>114752.54</v>
      </c>
      <c r="L40" s="33" t="str">
        <f>'2.1 Capex Real Dollars'!L40</f>
        <v>IGBT Water Cooling System Midlife Refurbishment</v>
      </c>
      <c r="M40" s="33" t="str">
        <f>IF(L40="","",'1.0 Data'!$B$9)</f>
        <v>nominal</v>
      </c>
      <c r="N40" s="33" t="str">
        <f>'2.1 Capex Real Dollars'!N40</f>
        <v>Transmission Assets</v>
      </c>
      <c r="O40" s="33" t="str">
        <f>'2.1 Capex Real Dollars'!O40</f>
        <v>Replacement expenditure</v>
      </c>
      <c r="P40" s="33" t="str">
        <f>'2.1 Capex Real Dollars'!P40</f>
        <v>Major Maintenance</v>
      </c>
      <c r="Q40" s="6">
        <f>'2.1 Capex Real Dollars'!Q40/'1.1 Input'!J$13</f>
        <v>70441.4568</v>
      </c>
      <c r="R40" s="6">
        <f>'2.1 Capex Real Dollars'!R40/'1.1 Input'!K$13</f>
        <v>72582.877086719993</v>
      </c>
      <c r="S40" s="6">
        <f>'2.1 Capex Real Dollars'!S40/'1.1 Input'!L$13</f>
        <v>168728.76905936442</v>
      </c>
      <c r="T40" s="6">
        <f>'2.1 Capex Real Dollars'!T40/'1.1 Input'!M$13</f>
        <v>536617.21260667592</v>
      </c>
      <c r="U40" s="6">
        <f>'2.1 Capex Real Dollars'!U40/'1.1 Input'!N$13</f>
        <v>78576.091845977542</v>
      </c>
      <c r="V40" s="45">
        <f t="shared" si="2"/>
        <v>926946.40739873797</v>
      </c>
    </row>
    <row r="41" spans="1:22">
      <c r="A41" s="33" t="str">
        <f>'1.0 Data'!A41</f>
        <v>Physical Site Security and Public Protection - Bangalora</v>
      </c>
      <c r="B41" s="33" t="str">
        <f>IF(A41="","",'1.0 Data'!$B$9)</f>
        <v>nominal</v>
      </c>
      <c r="C41" s="33" t="str" cm="1">
        <f t="array" ref="C41">INDEX('1.0 Data'!D$9:D$61,MATCH($A41,'1.0 Data'!$A$9:$A$61,0),0)</f>
        <v>Buildings</v>
      </c>
      <c r="D41" s="33" t="str" cm="1">
        <f t="array" ref="D41">INDEX('1.0 Data'!E$9:E$61,MATCH($A41,'1.0 Data'!$A$9:$A$61,0),0)</f>
        <v>Replacement expenditure</v>
      </c>
      <c r="E41" s="17" cm="1">
        <f t="array" ref="E41">INDEX('1.0 Data'!I$9:I$61,MATCH($A41,'1.0 Data'!$A$9:$A$61,0),0)</f>
        <v>0</v>
      </c>
      <c r="F41" s="17" cm="1">
        <f t="array" ref="F41">INDEX('1.0 Data'!J$9:J$61,MATCH($A41,'1.0 Data'!$A$9:$A$61,0),0)</f>
        <v>0</v>
      </c>
      <c r="G41" s="17" cm="1">
        <f t="array" ref="G41">INDEX('1.0 Data'!K$9:K$61,MATCH($A41,'1.0 Data'!$A$9:$A$61,0),0)</f>
        <v>0</v>
      </c>
      <c r="H41" s="17" cm="1">
        <f t="array" ref="H41">INDEX('1.0 Data'!L$9:L$61,MATCH($A41,'1.0 Data'!$A$9:$A$61,0),0)</f>
        <v>0</v>
      </c>
      <c r="I41" s="17" cm="1">
        <f t="array" ref="I41">INDEX('1.0 Data'!M$9:M$61,MATCH($A41,'1.0 Data'!$A$9:$A$61,0),0)</f>
        <v>580615.74227993621</v>
      </c>
      <c r="J41" s="45">
        <f t="shared" si="3"/>
        <v>580615.74227993621</v>
      </c>
      <c r="L41" s="33" t="str">
        <f>'2.1 Capex Real Dollars'!L41</f>
        <v>Incoming Capacitors</v>
      </c>
      <c r="M41" s="33" t="str">
        <f>IF(L41="","",'1.0 Data'!$B$9)</f>
        <v>nominal</v>
      </c>
      <c r="N41" s="33" t="str">
        <f>'2.1 Capex Real Dollars'!N41</f>
        <v>Transmission Assets</v>
      </c>
      <c r="O41" s="33" t="str">
        <f>'2.1 Capex Real Dollars'!O41</f>
        <v>Replacement expenditure</v>
      </c>
      <c r="P41" s="33" t="str">
        <f>'2.1 Capex Real Dollars'!P41</f>
        <v>Spares Management</v>
      </c>
      <c r="Q41" s="6">
        <f>'2.1 Capex Real Dollars'!Q41/'1.1 Input'!J$13</f>
        <v>0</v>
      </c>
      <c r="R41" s="6">
        <f>'2.1 Capex Real Dollars'!R41/'1.1 Input'!K$13</f>
        <v>0</v>
      </c>
      <c r="S41" s="6">
        <f>'2.1 Capex Real Dollars'!S41/'1.1 Input'!L$13</f>
        <v>0</v>
      </c>
      <c r="T41" s="6">
        <f>'2.1 Capex Real Dollars'!T41/'1.1 Input'!M$13</f>
        <v>0</v>
      </c>
      <c r="U41" s="6">
        <f>'2.1 Capex Real Dollars'!U41/'1.1 Input'!N$13</f>
        <v>0</v>
      </c>
      <c r="V41" s="45">
        <f t="shared" si="2"/>
        <v>0</v>
      </c>
    </row>
    <row r="42" spans="1:22">
      <c r="A42" s="33" t="str">
        <f>'1.0 Data'!A42</f>
        <v>Physical Site Security and Public Protection - Mullumbimby</v>
      </c>
      <c r="B42" s="33" t="str">
        <f>IF(A42="","",'1.0 Data'!$B$9)</f>
        <v>nominal</v>
      </c>
      <c r="C42" s="33" t="str" cm="1">
        <f t="array" ref="C42">INDEX('1.0 Data'!D$9:D$61,MATCH($A42,'1.0 Data'!$A$9:$A$61,0),0)</f>
        <v>Buildings</v>
      </c>
      <c r="D42" s="33" t="str" cm="1">
        <f t="array" ref="D42">INDEX('1.0 Data'!E$9:E$61,MATCH($A42,'1.0 Data'!$A$9:$A$61,0),0)</f>
        <v>Replacement expenditure</v>
      </c>
      <c r="E42" s="17" cm="1">
        <f t="array" ref="E42">INDEX('1.0 Data'!I$9:I$61,MATCH($A42,'1.0 Data'!$A$9:$A$61,0),0)</f>
        <v>0</v>
      </c>
      <c r="F42" s="17" cm="1">
        <f t="array" ref="F42">INDEX('1.0 Data'!J$9:J$61,MATCH($A42,'1.0 Data'!$A$9:$A$61,0),0)</f>
        <v>0</v>
      </c>
      <c r="G42" s="17" cm="1">
        <f t="array" ref="G42">INDEX('1.0 Data'!K$9:K$61,MATCH($A42,'1.0 Data'!$A$9:$A$61,0),0)</f>
        <v>0</v>
      </c>
      <c r="H42" s="17" cm="1">
        <f t="array" ref="H42">INDEX('1.0 Data'!L$9:L$61,MATCH($A42,'1.0 Data'!$A$9:$A$61,0),0)</f>
        <v>0</v>
      </c>
      <c r="I42" s="17" cm="1">
        <f t="array" ref="I42">INDEX('1.0 Data'!M$9:M$61,MATCH($A42,'1.0 Data'!$A$9:$A$61,0),0)</f>
        <v>672970.34128227527</v>
      </c>
      <c r="J42" s="45">
        <f t="shared" si="3"/>
        <v>672970.34128227527</v>
      </c>
      <c r="L42" s="33" t="str">
        <f>'2.1 Capex Real Dollars'!L42</f>
        <v>Internal Fencing Protection</v>
      </c>
      <c r="M42" s="33" t="str">
        <f>IF(L42="","",'1.0 Data'!$B$9)</f>
        <v>nominal</v>
      </c>
      <c r="N42" s="33" t="str">
        <f>'2.1 Capex Real Dollars'!N42</f>
        <v>Buildings</v>
      </c>
      <c r="O42" s="33" t="str">
        <f>'2.1 Capex Real Dollars'!O42</f>
        <v>Replacement expenditure</v>
      </c>
      <c r="P42" s="33" t="str">
        <f>'2.1 Capex Real Dollars'!P42</f>
        <v>Safety and Protection</v>
      </c>
      <c r="Q42" s="6">
        <f>'2.1 Capex Real Dollars'!Q42/'1.1 Input'!J$13</f>
        <v>0</v>
      </c>
      <c r="R42" s="6">
        <f>'2.1 Capex Real Dollars'!R42/'1.1 Input'!K$13</f>
        <v>0</v>
      </c>
      <c r="S42" s="6">
        <f>'2.1 Capex Real Dollars'!S42/'1.1 Input'!L$13</f>
        <v>0</v>
      </c>
      <c r="T42" s="6">
        <f>'2.1 Capex Real Dollars'!T42/'1.1 Input'!M$13</f>
        <v>0</v>
      </c>
      <c r="U42" s="6">
        <f>'2.1 Capex Real Dollars'!U42/'1.1 Input'!N$13</f>
        <v>0</v>
      </c>
      <c r="V42" s="45">
        <f t="shared" si="2"/>
        <v>0</v>
      </c>
    </row>
    <row r="43" spans="1:22">
      <c r="A43" s="33" t="str">
        <f>'1.0 Data'!A43</f>
        <v>PLC Reactor Filters</v>
      </c>
      <c r="B43" s="33" t="str">
        <f>IF(A43="","",'1.0 Data'!$B$9)</f>
        <v>nominal</v>
      </c>
      <c r="C43" s="33" t="str" cm="1">
        <f t="array" ref="C43">INDEX('1.0 Data'!D$9:D$61,MATCH($A43,'1.0 Data'!$A$9:$A$61,0),0)</f>
        <v>Transmission Assets</v>
      </c>
      <c r="D43" s="33" t="str" cm="1">
        <f t="array" ref="D43">INDEX('1.0 Data'!E$9:E$61,MATCH($A43,'1.0 Data'!$A$9:$A$61,0),0)</f>
        <v>Replacement expenditure</v>
      </c>
      <c r="E43" s="17" cm="1">
        <f t="array" ref="E43">INDEX('1.0 Data'!I$9:I$61,MATCH($A43,'1.0 Data'!$A$9:$A$61,0),0)</f>
        <v>0</v>
      </c>
      <c r="F43" s="17" cm="1">
        <f t="array" ref="F43">INDEX('1.0 Data'!J$9:J$61,MATCH($A43,'1.0 Data'!$A$9:$A$61,0),0)</f>
        <v>0</v>
      </c>
      <c r="G43" s="17" cm="1">
        <f t="array" ref="G43">INDEX('1.0 Data'!K$9:K$61,MATCH($A43,'1.0 Data'!$A$9:$A$61,0),0)</f>
        <v>0</v>
      </c>
      <c r="H43" s="17" cm="1">
        <f t="array" ref="H43">INDEX('1.0 Data'!L$9:L$61,MATCH($A43,'1.0 Data'!$A$9:$A$61,0),0)</f>
        <v>0</v>
      </c>
      <c r="I43" s="17" cm="1">
        <f t="array" ref="I43">INDEX('1.0 Data'!M$9:M$61,MATCH($A43,'1.0 Data'!$A$9:$A$61,0),0)</f>
        <v>0</v>
      </c>
      <c r="J43" s="45">
        <f t="shared" si="3"/>
        <v>0</v>
      </c>
      <c r="L43" s="33" t="str">
        <f>'2.1 Capex Real Dollars'!L43</f>
        <v>Land Grading</v>
      </c>
      <c r="M43" s="33" t="str">
        <f>IF(L43="","",'1.0 Data'!$B$9)</f>
        <v>nominal</v>
      </c>
      <c r="N43" s="33" t="str">
        <f>'2.1 Capex Real Dollars'!N43</f>
        <v>Buildings</v>
      </c>
      <c r="O43" s="33" t="str">
        <f>'2.1 Capex Real Dollars'!O43</f>
        <v>Replacement expenditure</v>
      </c>
      <c r="P43" s="33" t="str">
        <f>'2.1 Capex Real Dollars'!P43</f>
        <v>Major Maintenance</v>
      </c>
      <c r="Q43" s="6">
        <f>'2.1 Capex Real Dollars'!Q43/'1.1 Input'!J$13</f>
        <v>33811.899264000007</v>
      </c>
      <c r="R43" s="6">
        <f>'2.1 Capex Real Dollars'!R43/'1.1 Input'!K$13</f>
        <v>34839.781001625604</v>
      </c>
      <c r="S43" s="6">
        <f>'2.1 Capex Real Dollars'!S43/'1.1 Input'!L$13</f>
        <v>0</v>
      </c>
      <c r="T43" s="6">
        <f>'2.1 Capex Real Dollars'!T43/'1.1 Input'!M$13</f>
        <v>0</v>
      </c>
      <c r="U43" s="6">
        <f>'2.1 Capex Real Dollars'!U43/'1.1 Input'!N$13</f>
        <v>0</v>
      </c>
      <c r="V43" s="45">
        <f t="shared" si="2"/>
        <v>68651.680265625619</v>
      </c>
    </row>
    <row r="44" spans="1:22">
      <c r="A44" s="33" t="str">
        <f>'1.0 Data'!A44</f>
        <v>Power Quality Metering</v>
      </c>
      <c r="B44" s="33" t="str">
        <f>IF(A44="","",'1.0 Data'!$B$9)</f>
        <v>nominal</v>
      </c>
      <c r="C44" s="33" t="str" cm="1">
        <f t="array" ref="C44">INDEX('1.0 Data'!D$9:D$61,MATCH($A44,'1.0 Data'!$A$9:$A$61,0),0)</f>
        <v>Transmission Assets</v>
      </c>
      <c r="D44" s="33" t="str" cm="1">
        <f t="array" ref="D44">INDEX('1.0 Data'!E$9:E$61,MATCH($A44,'1.0 Data'!$A$9:$A$61,0),0)</f>
        <v>Replacement expenditure</v>
      </c>
      <c r="E44" s="17" cm="1">
        <f t="array" ref="E44">INDEX('1.0 Data'!I$9:I$61,MATCH($A44,'1.0 Data'!$A$9:$A$61,0),0)</f>
        <v>0</v>
      </c>
      <c r="F44" s="17" cm="1">
        <f t="array" ref="F44">INDEX('1.0 Data'!J$9:J$61,MATCH($A44,'1.0 Data'!$A$9:$A$61,0),0)</f>
        <v>0</v>
      </c>
      <c r="G44" s="17" cm="1">
        <f t="array" ref="G44">INDEX('1.0 Data'!K$9:K$61,MATCH($A44,'1.0 Data'!$A$9:$A$61,0),0)</f>
        <v>0</v>
      </c>
      <c r="H44" s="17" cm="1">
        <f t="array" ref="H44">INDEX('1.0 Data'!L$9:L$61,MATCH($A44,'1.0 Data'!$A$9:$A$61,0),0)</f>
        <v>0</v>
      </c>
      <c r="I44" s="17" cm="1">
        <f t="array" ref="I44">INDEX('1.0 Data'!M$9:M$61,MATCH($A44,'1.0 Data'!$A$9:$A$61,0),0)</f>
        <v>0</v>
      </c>
      <c r="J44" s="45">
        <f t="shared" si="3"/>
        <v>0</v>
      </c>
      <c r="L44" s="33" t="str">
        <f>'2.1 Capex Real Dollars'!L44</f>
        <v>Master Controller- FEED</v>
      </c>
      <c r="M44" s="33" t="str">
        <f>IF(L44="","",'1.0 Data'!$B$9)</f>
        <v>nominal</v>
      </c>
      <c r="N44" s="33" t="str">
        <f>'2.1 Capex Real Dollars'!N44</f>
        <v>Transmission Assets</v>
      </c>
      <c r="O44" s="33" t="str">
        <f>'2.1 Capex Real Dollars'!O44</f>
        <v>Replacement expenditure</v>
      </c>
      <c r="P44" s="33" t="str">
        <f>'2.1 Capex Real Dollars'!P44</f>
        <v>Asset Monitoring</v>
      </c>
      <c r="Q44" s="6">
        <f>'2.1 Capex Real Dollars'!Q44/'1.1 Input'!J$13</f>
        <v>0</v>
      </c>
      <c r="R44" s="6">
        <f>'2.1 Capex Real Dollars'!R44/'1.1 Input'!K$13</f>
        <v>0</v>
      </c>
      <c r="S44" s="6">
        <f>'2.1 Capex Real Dollars'!S44/'1.1 Input'!L$13</f>
        <v>0</v>
      </c>
      <c r="T44" s="6">
        <f>'2.1 Capex Real Dollars'!T44/'1.1 Input'!M$13</f>
        <v>0</v>
      </c>
      <c r="U44" s="6">
        <f>'2.1 Capex Real Dollars'!U44/'1.1 Input'!N$13</f>
        <v>157152.18369195508</v>
      </c>
      <c r="V44" s="45">
        <f t="shared" si="2"/>
        <v>157152.18369195508</v>
      </c>
    </row>
    <row r="45" spans="1:22">
      <c r="A45" s="33" t="str">
        <f>'1.0 Data'!A45</f>
        <v>Refurbishment/Replacement</v>
      </c>
      <c r="B45" s="33" t="str">
        <f>IF(A45="","",'1.0 Data'!$B$9)</f>
        <v>nominal</v>
      </c>
      <c r="C45" s="33" t="str" cm="1">
        <f t="array" ref="C45">INDEX('1.0 Data'!D$9:D$61,MATCH($A45,'1.0 Data'!$A$9:$A$61,0),0)</f>
        <v>Transmission Assets</v>
      </c>
      <c r="D45" s="33" t="str" cm="1">
        <f t="array" ref="D45">INDEX('1.0 Data'!E$9:E$61,MATCH($A45,'1.0 Data'!$A$9:$A$61,0),0)</f>
        <v>Replacement expenditure</v>
      </c>
      <c r="E45" s="17" cm="1">
        <f t="array" ref="E45">INDEX('1.0 Data'!I$9:I$61,MATCH($A45,'1.0 Data'!$A$9:$A$61,0),0)</f>
        <v>16282.88</v>
      </c>
      <c r="F45" s="17" cm="1">
        <f t="array" ref="F45">INDEX('1.0 Data'!J$9:J$61,MATCH($A45,'1.0 Data'!$A$9:$A$61,0),0)</f>
        <v>621305.37</v>
      </c>
      <c r="G45" s="17" cm="1">
        <f t="array" ref="G45">INDEX('1.0 Data'!K$9:K$61,MATCH($A45,'1.0 Data'!$A$9:$A$61,0),0)</f>
        <v>355996.46</v>
      </c>
      <c r="H45" s="17" cm="1">
        <f t="array" ref="H45">INDEX('1.0 Data'!L$9:L$61,MATCH($A45,'1.0 Data'!$A$9:$A$61,0),0)</f>
        <v>0</v>
      </c>
      <c r="I45" s="17" cm="1">
        <f t="array" ref="I45">INDEX('1.0 Data'!M$9:M$61,MATCH($A45,'1.0 Data'!$A$9:$A$61,0),0)</f>
        <v>0</v>
      </c>
      <c r="J45" s="45">
        <f t="shared" si="3"/>
        <v>993584.71</v>
      </c>
      <c r="L45" s="33" t="str">
        <f>'2.1 Capex Real Dollars'!L45</f>
        <v>Mid-Life Criticality Assessment</v>
      </c>
      <c r="M45" s="33" t="str">
        <f>IF(L45="","",'1.0 Data'!$B$9)</f>
        <v>nominal</v>
      </c>
      <c r="N45" s="33" t="str">
        <f>'2.1 Capex Real Dollars'!N45</f>
        <v>Transmission Assets</v>
      </c>
      <c r="O45" s="33" t="str">
        <f>'2.1 Capex Real Dollars'!O45</f>
        <v>Replacement expenditure</v>
      </c>
      <c r="P45" s="33" t="str">
        <f>'2.1 Capex Real Dollars'!P45</f>
        <v>Asset Monitoring</v>
      </c>
      <c r="Q45" s="6">
        <f>'2.1 Capex Real Dollars'!Q45/'1.1 Input'!J$13</f>
        <v>0</v>
      </c>
      <c r="R45" s="6">
        <f>'2.1 Capex Real Dollars'!R45/'1.1 Input'!K$13</f>
        <v>0</v>
      </c>
      <c r="S45" s="6">
        <f>'2.1 Capex Real Dollars'!S45/'1.1 Input'!L$13</f>
        <v>0</v>
      </c>
      <c r="T45" s="6">
        <f>'2.1 Capex Real Dollars'!T45/'1.1 Input'!M$13</f>
        <v>0</v>
      </c>
      <c r="U45" s="6">
        <f>'2.1 Capex Real Dollars'!U45/'1.1 Input'!N$13</f>
        <v>0</v>
      </c>
      <c r="V45" s="45">
        <f t="shared" si="2"/>
        <v>0</v>
      </c>
    </row>
    <row r="46" spans="1:22">
      <c r="A46" s="33" t="str">
        <f>'1.0 Data'!A46</f>
        <v>Zero Seq Reactor</v>
      </c>
      <c r="B46" s="33" t="str">
        <f>IF(A46="","",'1.0 Data'!$B$9)</f>
        <v>nominal</v>
      </c>
      <c r="C46" s="33" t="str" cm="1">
        <f t="array" ref="C46">INDEX('1.0 Data'!D$9:D$61,MATCH($A46,'1.0 Data'!$A$9:$A$61,0),0)</f>
        <v>Transmission Assets</v>
      </c>
      <c r="D46" s="33" t="str" cm="1">
        <f t="array" ref="D46">INDEX('1.0 Data'!E$9:E$61,MATCH($A46,'1.0 Data'!$A$9:$A$61,0),0)</f>
        <v>Replacement expenditure</v>
      </c>
      <c r="E46" s="17" cm="1">
        <f t="array" ref="E46">INDEX('1.0 Data'!I$9:I$61,MATCH($A46,'1.0 Data'!$A$9:$A$61,0),0)</f>
        <v>939456.54</v>
      </c>
      <c r="F46" s="17" cm="1">
        <f t="array" ref="F46">INDEX('1.0 Data'!J$9:J$61,MATCH($A46,'1.0 Data'!$A$9:$A$61,0),0)</f>
        <v>0</v>
      </c>
      <c r="G46" s="17" cm="1">
        <f t="array" ref="G46">INDEX('1.0 Data'!K$9:K$61,MATCH($A46,'1.0 Data'!$A$9:$A$61,0),0)</f>
        <v>0</v>
      </c>
      <c r="H46" s="17" cm="1">
        <f t="array" ref="H46">INDEX('1.0 Data'!L$9:L$61,MATCH($A46,'1.0 Data'!$A$9:$A$61,0),0)</f>
        <v>0</v>
      </c>
      <c r="I46" s="17" cm="1">
        <f t="array" ref="I46">INDEX('1.0 Data'!M$9:M$61,MATCH($A46,'1.0 Data'!$A$9:$A$61,0),0)</f>
        <v>0</v>
      </c>
      <c r="J46" s="45">
        <f t="shared" si="3"/>
        <v>939456.54</v>
      </c>
      <c r="L46" s="33" t="str">
        <f>'2.1 Capex Real Dollars'!L46</f>
        <v>Network Cable Testing Equipment</v>
      </c>
      <c r="M46" s="33" t="str">
        <f>IF(L46="","",'1.0 Data'!$B$9)</f>
        <v>nominal</v>
      </c>
      <c r="N46" s="33" t="str">
        <f>'2.1 Capex Real Dollars'!N46</f>
        <v>Transmission Assets</v>
      </c>
      <c r="O46" s="33" t="str">
        <f>'2.1 Capex Real Dollars'!O46</f>
        <v>Replacement expenditure</v>
      </c>
      <c r="P46" s="33" t="str">
        <f>'2.1 Capex Real Dollars'!P46</f>
        <v>Asset Monitoring</v>
      </c>
      <c r="Q46" s="6">
        <f>'2.1 Capex Real Dollars'!Q46/'1.1 Input'!J$13</f>
        <v>0</v>
      </c>
      <c r="R46" s="6">
        <f>'2.1 Capex Real Dollars'!R46/'1.1 Input'!K$13</f>
        <v>0</v>
      </c>
      <c r="S46" s="6">
        <f>'2.1 Capex Real Dollars'!S46/'1.1 Input'!L$13</f>
        <v>0</v>
      </c>
      <c r="T46" s="6">
        <f>'2.1 Capex Real Dollars'!T46/'1.1 Input'!M$13</f>
        <v>0</v>
      </c>
      <c r="U46" s="6">
        <f>'2.1 Capex Real Dollars'!U46/'1.1 Input'!N$13</f>
        <v>0</v>
      </c>
      <c r="V46" s="45">
        <f t="shared" si="2"/>
        <v>0</v>
      </c>
    </row>
    <row r="47" spans="1:22">
      <c r="A47" s="33" t="str">
        <f>'1.0 Data'!A47</f>
        <v>Other stay in business capex</v>
      </c>
      <c r="B47" s="33" t="str">
        <f>IF(A47="","",'1.0 Data'!$B$9)</f>
        <v>nominal</v>
      </c>
      <c r="C47" s="33" t="str" cm="1">
        <f t="array" ref="C47">INDEX('1.0 Data'!D$9:D$61,MATCH($A47,'1.0 Data'!$A$9:$A$61,0),0)</f>
        <v>Transmission Assets</v>
      </c>
      <c r="D47" s="33" t="str" cm="1">
        <f t="array" ref="D47">INDEX('1.0 Data'!E$9:E$61,MATCH($A47,'1.0 Data'!$A$9:$A$61,0),0)</f>
        <v>Replacement expenditure</v>
      </c>
      <c r="E47" s="17" cm="1">
        <f t="array" ref="E47">INDEX('1.0 Data'!I$9:I$61,MATCH($A47,'1.0 Data'!$A$9:$A$61,0),0)</f>
        <v>0</v>
      </c>
      <c r="F47" s="17" cm="1">
        <f t="array" ref="F47">INDEX('1.0 Data'!J$9:J$61,MATCH($A47,'1.0 Data'!$A$9:$A$61,0),0)</f>
        <v>0</v>
      </c>
      <c r="G47" s="17" cm="1">
        <f t="array" ref="G47">INDEX('1.0 Data'!K$9:K$61,MATCH($A47,'1.0 Data'!$A$9:$A$61,0),0)</f>
        <v>0</v>
      </c>
      <c r="H47" s="17" cm="1">
        <f t="array" ref="H47">INDEX('1.0 Data'!L$9:L$61,MATCH($A47,'1.0 Data'!$A$9:$A$61,0),0)</f>
        <v>0</v>
      </c>
      <c r="I47" s="17" cm="1">
        <f t="array" ref="I47">INDEX('1.0 Data'!M$9:M$61,MATCH($A47,'1.0 Data'!$A$9:$A$61,0),0)</f>
        <v>0</v>
      </c>
      <c r="J47" s="45">
        <f t="shared" si="3"/>
        <v>0</v>
      </c>
      <c r="L47" s="33" t="str">
        <f>'2.1 Capex Real Dollars'!L47</f>
        <v>On-going Major Capital Maintenance</v>
      </c>
      <c r="M47" s="33" t="str">
        <f>IF(L47="","",'1.0 Data'!$B$9)</f>
        <v>nominal</v>
      </c>
      <c r="N47" s="33" t="str">
        <f>'2.1 Capex Real Dollars'!N47</f>
        <v>Transmission Assets</v>
      </c>
      <c r="O47" s="33" t="str">
        <f>'2.1 Capex Real Dollars'!O47</f>
        <v>Replacement expenditure</v>
      </c>
      <c r="P47" s="33" t="str">
        <f>'2.1 Capex Real Dollars'!P47</f>
        <v>Major Maintenance</v>
      </c>
      <c r="Q47" s="6">
        <f>'2.1 Capex Real Dollars'!Q47/'1.1 Input'!J$13</f>
        <v>176103.64199999999</v>
      </c>
      <c r="R47" s="6">
        <f>'2.1 Capex Real Dollars'!R47/'1.1 Input'!K$13</f>
        <v>181457.1927168</v>
      </c>
      <c r="S47" s="6">
        <f>'2.1 Capex Real Dollars'!S47/'1.1 Input'!L$13</f>
        <v>186646.86842850046</v>
      </c>
      <c r="T47" s="6">
        <f>'2.1 Capex Real Dollars'!T47/'1.1 Input'!M$13</f>
        <v>191649.00450238425</v>
      </c>
      <c r="U47" s="6">
        <f>'2.1 Capex Real Dollars'!U47/'1.1 Input'!N$13</f>
        <v>196440.22961494385</v>
      </c>
      <c r="V47" s="45">
        <f t="shared" si="2"/>
        <v>932296.93726262858</v>
      </c>
    </row>
    <row r="48" spans="1:22">
      <c r="A48" s="33" t="str">
        <f>'1.0 Data'!A48</f>
        <v xml:space="preserve">Revenue Determination Costs </v>
      </c>
      <c r="B48" s="33" t="str">
        <f>IF(A48="","",'1.0 Data'!$B$9)</f>
        <v>nominal</v>
      </c>
      <c r="C48" s="33" t="str" cm="1">
        <f t="array" ref="C48">INDEX('1.0 Data'!D$9:D$61,MATCH($A48,'1.0 Data'!$A$9:$A$61,0),0)</f>
        <v>Revenue Determination Costs</v>
      </c>
      <c r="D48" s="33" t="str" cm="1">
        <f t="array" ref="D48">INDEX('1.0 Data'!E$9:E$61,MATCH($A48,'1.0 Data'!$A$9:$A$61,0),0)</f>
        <v>Replacement expenditure</v>
      </c>
      <c r="E48" s="17" cm="1">
        <f t="array" ref="E48">INDEX('1.0 Data'!I$9:I$61,MATCH($A48,'1.0 Data'!$A$9:$A$61,0),0)</f>
        <v>0</v>
      </c>
      <c r="F48" s="17" cm="1">
        <f t="array" ref="F48">INDEX('1.0 Data'!J$9:J$61,MATCH($A48,'1.0 Data'!$A$9:$A$61,0),0)</f>
        <v>0</v>
      </c>
      <c r="G48" s="17" cm="1">
        <f t="array" ref="G48">INDEX('1.0 Data'!K$9:K$61,MATCH($A48,'1.0 Data'!$A$9:$A$61,0),0)</f>
        <v>0</v>
      </c>
      <c r="H48" s="17" cm="1">
        <f t="array" ref="H48">INDEX('1.0 Data'!L$9:L$61,MATCH($A48,'1.0 Data'!$A$9:$A$61,0),0)</f>
        <v>0</v>
      </c>
      <c r="I48" s="17" cm="1">
        <f t="array" ref="I48">INDEX('1.0 Data'!M$9:M$61,MATCH($A48,'1.0 Data'!$A$9:$A$61,0),0)</f>
        <v>0</v>
      </c>
      <c r="J48" s="45">
        <f t="shared" si="3"/>
        <v>0</v>
      </c>
      <c r="L48" s="33" t="str">
        <f>'2.1 Capex Real Dollars'!L48</f>
        <v>Operations Asset Integration</v>
      </c>
      <c r="M48" s="33" t="str">
        <f>IF(L48="","",'1.0 Data'!$B$9)</f>
        <v>nominal</v>
      </c>
      <c r="N48" s="33" t="str">
        <f>'2.1 Capex Real Dollars'!N48</f>
        <v>Transmission Assets</v>
      </c>
      <c r="O48" s="33" t="str">
        <f>'2.1 Capex Real Dollars'!O48</f>
        <v>Replacement expenditure</v>
      </c>
      <c r="P48" s="33" t="str">
        <f>'2.1 Capex Real Dollars'!P48</f>
        <v>Asset Monitoring</v>
      </c>
      <c r="Q48" s="6">
        <f>'2.1 Capex Real Dollars'!Q48/'1.1 Input'!J$13</f>
        <v>95800.381248000005</v>
      </c>
      <c r="R48" s="6">
        <f>'2.1 Capex Real Dollars'!R48/'1.1 Input'!K$13</f>
        <v>98712.712837939194</v>
      </c>
      <c r="S48" s="6">
        <f>'2.1 Capex Real Dollars'!S48/'1.1 Input'!L$13</f>
        <v>101535.89642510425</v>
      </c>
      <c r="T48" s="6">
        <f>'2.1 Capex Real Dollars'!T48/'1.1 Input'!M$13</f>
        <v>104257.05844929704</v>
      </c>
      <c r="U48" s="6">
        <f>'2.1 Capex Real Dollars'!U48/'1.1 Input'!N$13</f>
        <v>0</v>
      </c>
      <c r="V48" s="45">
        <f t="shared" si="2"/>
        <v>400306.0489603405</v>
      </c>
    </row>
    <row r="49" spans="1:22">
      <c r="A49" s="33" t="str">
        <f>'1.0 Data'!A49</f>
        <v/>
      </c>
      <c r="B49" s="33" t="str">
        <f>IF(A49="","",'1.0 Data'!$B$9)</f>
        <v/>
      </c>
      <c r="C49" s="33"/>
      <c r="D49" s="33" t="str" cm="1">
        <f t="array" ref="D49">INDEX('1.0 Data'!E$9:E$61,MATCH($A49,'1.0 Data'!$A$9:$A$61,0),0)</f>
        <v/>
      </c>
      <c r="E49" s="17" cm="1">
        <f t="array" ref="E49">INDEX('1.0 Data'!I$9:I$61,MATCH($A49,'1.0 Data'!$A$9:$A$61,0),0)</f>
        <v>0</v>
      </c>
      <c r="F49" s="17" cm="1">
        <f t="array" ref="F49">INDEX('1.0 Data'!J$9:J$61,MATCH($A49,'1.0 Data'!$A$9:$A$61,0),0)</f>
        <v>0</v>
      </c>
      <c r="G49" s="17" cm="1">
        <f t="array" ref="G49">INDEX('1.0 Data'!K$9:K$61,MATCH($A49,'1.0 Data'!$A$9:$A$61,0),0)</f>
        <v>0</v>
      </c>
      <c r="H49" s="17" cm="1">
        <f t="array" ref="H49">INDEX('1.0 Data'!L$9:L$61,MATCH($A49,'1.0 Data'!$A$9:$A$61,0),0)</f>
        <v>0</v>
      </c>
      <c r="I49" s="17" cm="1">
        <f t="array" ref="I49">INDEX('1.0 Data'!M$9:M$61,MATCH($A49,'1.0 Data'!$A$9:$A$61,0),0)</f>
        <v>0</v>
      </c>
      <c r="J49" s="45">
        <f t="shared" si="3"/>
        <v>0</v>
      </c>
      <c r="L49" s="33" t="str">
        <f>'2.1 Capex Real Dollars'!L49</f>
        <v>Physical Site Security and Public Protection - Bangalora</v>
      </c>
      <c r="M49" s="33" t="str">
        <f>IF(L49="","",'1.0 Data'!$B$9)</f>
        <v>nominal</v>
      </c>
      <c r="N49" s="33" t="str">
        <f>'2.1 Capex Real Dollars'!N49</f>
        <v>Buildings</v>
      </c>
      <c r="O49" s="33" t="str">
        <f>'2.1 Capex Real Dollars'!O49</f>
        <v>Replacement expenditure</v>
      </c>
      <c r="P49" s="33" t="str">
        <f>'2.1 Capex Real Dollars'!P49</f>
        <v>Safety and Protection</v>
      </c>
      <c r="Q49" s="6">
        <f>'2.1 Capex Real Dollars'!Q49/'1.1 Input'!J$13</f>
        <v>659930.51375966123</v>
      </c>
      <c r="R49" s="6">
        <f>'2.1 Capex Real Dollars'!R49/'1.1 Input'!K$13</f>
        <v>413043.56812270783</v>
      </c>
      <c r="S49" s="6">
        <f>'2.1 Capex Real Dollars'!S49/'1.1 Input'!L$13</f>
        <v>66382.032353601826</v>
      </c>
      <c r="T49" s="6">
        <f>'2.1 Capex Real Dollars'!T49/'1.1 Input'!M$13</f>
        <v>0</v>
      </c>
      <c r="U49" s="6">
        <f>'2.1 Capex Real Dollars'!U49/'1.1 Input'!N$13</f>
        <v>0</v>
      </c>
      <c r="V49" s="45">
        <f t="shared" si="2"/>
        <v>1139356.1142359709</v>
      </c>
    </row>
    <row r="50" spans="1:22">
      <c r="L50" s="33" t="str">
        <f>'2.1 Capex Real Dollars'!L50</f>
        <v>Physical Site Security and Public Protection - Mullumbimby</v>
      </c>
      <c r="M50" s="33" t="str">
        <f>IF(L50="","",'1.0 Data'!$B$9)</f>
        <v>nominal</v>
      </c>
      <c r="N50" s="33" t="str">
        <f>'2.1 Capex Real Dollars'!N50</f>
        <v>Buildings</v>
      </c>
      <c r="O50" s="33" t="str">
        <f>'2.1 Capex Real Dollars'!O50</f>
        <v>Replacement expenditure</v>
      </c>
      <c r="P50" s="33" t="str">
        <f>'2.1 Capex Real Dollars'!P50</f>
        <v>Safety and Protection</v>
      </c>
      <c r="Q50" s="6">
        <f>'2.1 Capex Real Dollars'!Q50/'1.1 Input'!J$13</f>
        <v>1535147.55732744</v>
      </c>
      <c r="R50" s="6">
        <f>'2.1 Capex Real Dollars'!R50/'1.1 Input'!K$13</f>
        <v>748351.43567361217</v>
      </c>
      <c r="S50" s="6">
        <f>'2.1 Capex Real Dollars'!S50/'1.1 Input'!L$13</f>
        <v>0</v>
      </c>
      <c r="T50" s="6">
        <f>'2.1 Capex Real Dollars'!T50/'1.1 Input'!M$13</f>
        <v>0</v>
      </c>
      <c r="U50" s="6">
        <f>'2.1 Capex Real Dollars'!U50/'1.1 Input'!N$13</f>
        <v>0</v>
      </c>
      <c r="V50" s="45">
        <f t="shared" si="2"/>
        <v>2283498.9930010522</v>
      </c>
    </row>
    <row r="51" spans="1:22">
      <c r="L51" s="33" t="str">
        <f>'2.1 Capex Real Dollars'!L51</f>
        <v>PLC Reactor Filters</v>
      </c>
      <c r="M51" s="33" t="str">
        <f>IF(L51="","",'1.0 Data'!$B$9)</f>
        <v>nominal</v>
      </c>
      <c r="N51" s="33" t="str">
        <f>'2.1 Capex Real Dollars'!N51</f>
        <v>Transmission Assets</v>
      </c>
      <c r="O51" s="33" t="str">
        <f>'2.1 Capex Real Dollars'!O51</f>
        <v>Replacement expenditure</v>
      </c>
      <c r="P51" s="33" t="str">
        <f>'2.1 Capex Real Dollars'!P51</f>
        <v>Major Maintenance</v>
      </c>
      <c r="Q51" s="6">
        <f>'2.1 Capex Real Dollars'!Q51/'1.1 Input'!J$13</f>
        <v>0</v>
      </c>
      <c r="R51" s="6">
        <f>'2.1 Capex Real Dollars'!R51/'1.1 Input'!K$13</f>
        <v>0</v>
      </c>
      <c r="S51" s="6">
        <f>'2.1 Capex Real Dollars'!S51/'1.1 Input'!L$13</f>
        <v>0</v>
      </c>
      <c r="T51" s="6">
        <f>'2.1 Capex Real Dollars'!T51/'1.1 Input'!M$13</f>
        <v>0</v>
      </c>
      <c r="U51" s="6">
        <f>'2.1 Capex Real Dollars'!U51/'1.1 Input'!N$13</f>
        <v>0</v>
      </c>
      <c r="V51" s="45">
        <f t="shared" si="2"/>
        <v>0</v>
      </c>
    </row>
    <row r="52" spans="1:22">
      <c r="L52" s="33" t="str">
        <f>'2.1 Capex Real Dollars'!L52</f>
        <v>PLC Reactor Filters (2026 - 30)</v>
      </c>
      <c r="M52" s="33" t="str">
        <f>IF(L52="","",'1.0 Data'!$B$9)</f>
        <v>nominal</v>
      </c>
      <c r="N52" s="33" t="str">
        <f>'2.1 Capex Real Dollars'!N52</f>
        <v>Transmission Assets</v>
      </c>
      <c r="O52" s="33" t="str">
        <f>'2.1 Capex Real Dollars'!O52</f>
        <v>Replacement expenditure</v>
      </c>
      <c r="P52" s="33" t="str">
        <f>'2.1 Capex Real Dollars'!P52</f>
        <v>Spares Management</v>
      </c>
      <c r="Q52" s="6">
        <f>'2.1 Capex Real Dollars'!Q52/'1.1 Input'!J$13</f>
        <v>0</v>
      </c>
      <c r="R52" s="6">
        <f>'2.1 Capex Real Dollars'!R52/'1.1 Input'!K$13</f>
        <v>0</v>
      </c>
      <c r="S52" s="6">
        <f>'2.1 Capex Real Dollars'!S52/'1.1 Input'!L$13</f>
        <v>0</v>
      </c>
      <c r="T52" s="6">
        <f>'2.1 Capex Real Dollars'!T52/'1.1 Input'!M$13</f>
        <v>0</v>
      </c>
      <c r="U52" s="6">
        <f>'2.1 Capex Real Dollars'!U52/'1.1 Input'!N$13</f>
        <v>0</v>
      </c>
      <c r="V52" s="45">
        <f t="shared" si="2"/>
        <v>0</v>
      </c>
    </row>
    <row r="53" spans="1:22">
      <c r="L53" s="33" t="str">
        <f>'2.1 Capex Real Dollars'!L53</f>
        <v>Power Quality Metering</v>
      </c>
      <c r="M53" s="33" t="str">
        <f>IF(L53="","",'1.0 Data'!$B$9)</f>
        <v>nominal</v>
      </c>
      <c r="N53" s="33" t="str">
        <f>'2.1 Capex Real Dollars'!N53</f>
        <v>Transmission Assets</v>
      </c>
      <c r="O53" s="33" t="str">
        <f>'2.1 Capex Real Dollars'!O53</f>
        <v>Replacement expenditure</v>
      </c>
      <c r="P53" s="33" t="str">
        <f>'2.1 Capex Real Dollars'!P53</f>
        <v>Asset Monitoring</v>
      </c>
      <c r="Q53" s="6">
        <f>'2.1 Capex Real Dollars'!Q53/'1.1 Input'!J$13</f>
        <v>0</v>
      </c>
      <c r="R53" s="6">
        <f>'2.1 Capex Real Dollars'!R53/'1.1 Input'!K$13</f>
        <v>0</v>
      </c>
      <c r="S53" s="6">
        <f>'2.1 Capex Real Dollars'!S53/'1.1 Input'!L$13</f>
        <v>0</v>
      </c>
      <c r="T53" s="6">
        <f>'2.1 Capex Real Dollars'!T53/'1.1 Input'!M$13</f>
        <v>0</v>
      </c>
      <c r="U53" s="6">
        <f>'2.1 Capex Real Dollars'!U53/'1.1 Input'!N$13</f>
        <v>0</v>
      </c>
      <c r="V53" s="45">
        <f t="shared" si="2"/>
        <v>0</v>
      </c>
    </row>
    <row r="54" spans="1:22">
      <c r="L54" s="33" t="str">
        <f>'2.1 Capex Real Dollars'!L54</f>
        <v>Power Supply Upgrade - Phase 2</v>
      </c>
      <c r="M54" s="33" t="str">
        <f>IF(L54="","",'1.0 Data'!$B$9)</f>
        <v>nominal</v>
      </c>
      <c r="N54" s="33" t="str">
        <f>'2.1 Capex Real Dollars'!N54</f>
        <v>Transmission Assets</v>
      </c>
      <c r="O54" s="33" t="str">
        <f>'2.1 Capex Real Dollars'!O54</f>
        <v>Replacement expenditure</v>
      </c>
      <c r="P54" s="33" t="str">
        <f>'2.1 Capex Real Dollars'!P54</f>
        <v>Spares Management</v>
      </c>
      <c r="Q54" s="6">
        <f>'2.1 Capex Real Dollars'!Q54/'1.1 Input'!J$13</f>
        <v>0</v>
      </c>
      <c r="R54" s="6">
        <f>'2.1 Capex Real Dollars'!R54/'1.1 Input'!K$13</f>
        <v>0</v>
      </c>
      <c r="S54" s="6">
        <f>'2.1 Capex Real Dollars'!S54/'1.1 Input'!L$13</f>
        <v>0</v>
      </c>
      <c r="T54" s="6">
        <f>'2.1 Capex Real Dollars'!T54/'1.1 Input'!M$13</f>
        <v>0</v>
      </c>
      <c r="U54" s="6">
        <f>'2.1 Capex Real Dollars'!U54/'1.1 Input'!N$13</f>
        <v>0</v>
      </c>
      <c r="V54" s="45">
        <f t="shared" si="2"/>
        <v>0</v>
      </c>
    </row>
    <row r="55" spans="1:22">
      <c r="L55" s="33" t="str">
        <f>'2.1 Capex Real Dollars'!L55</f>
        <v>Reactor cooling enhancements</v>
      </c>
      <c r="M55" s="33" t="str">
        <f>IF(L55="","",'1.0 Data'!$B$9)</f>
        <v>nominal</v>
      </c>
      <c r="N55" s="33" t="str">
        <f>'2.1 Capex Real Dollars'!N55</f>
        <v>Transmission Assets</v>
      </c>
      <c r="O55" s="33" t="str">
        <f>'2.1 Capex Real Dollars'!O55</f>
        <v>Replacement expenditure</v>
      </c>
      <c r="P55" s="33" t="str">
        <f>'2.1 Capex Real Dollars'!P55</f>
        <v>Major Maintenance</v>
      </c>
      <c r="Q55" s="6">
        <f>'2.1 Capex Real Dollars'!Q55/'1.1 Input'!J$13</f>
        <v>367704.40449600003</v>
      </c>
      <c r="R55" s="6">
        <f>'2.1 Capex Real Dollars'!R55/'1.1 Input'!K$13</f>
        <v>907285.96358400013</v>
      </c>
      <c r="S55" s="6">
        <f>'2.1 Capex Real Dollars'!S55/'1.1 Input'!L$13</f>
        <v>933234.34214250243</v>
      </c>
      <c r="T55" s="6">
        <f>'2.1 Capex Real Dollars'!T55/'1.1 Input'!M$13</f>
        <v>0</v>
      </c>
      <c r="U55" s="6">
        <f>'2.1 Capex Real Dollars'!U55/'1.1 Input'!N$13</f>
        <v>0</v>
      </c>
      <c r="V55" s="45">
        <f t="shared" si="2"/>
        <v>2208224.7102225027</v>
      </c>
    </row>
    <row r="56" spans="1:22">
      <c r="L56" s="33" t="str">
        <f>'2.1 Capex Real Dollars'!L56</f>
        <v>Reposition Nitrogen Tanks</v>
      </c>
      <c r="M56" s="33" t="str">
        <f>IF(L56="","",'1.0 Data'!$B$9)</f>
        <v>nominal</v>
      </c>
      <c r="N56" s="33" t="str">
        <f>'2.1 Capex Real Dollars'!N56</f>
        <v>Transmission Assets</v>
      </c>
      <c r="O56" s="33" t="str">
        <f>'2.1 Capex Real Dollars'!O56</f>
        <v>Replacement expenditure</v>
      </c>
      <c r="P56" s="33" t="str">
        <f>'2.1 Capex Real Dollars'!P56</f>
        <v>Safety and Protection</v>
      </c>
      <c r="Q56" s="6">
        <f>'2.1 Capex Real Dollars'!Q56/'1.1 Input'!J$13</f>
        <v>235672.45994292008</v>
      </c>
      <c r="R56" s="6">
        <f>'2.1 Capex Real Dollars'!R56/'1.1 Input'!K$13</f>
        <v>0</v>
      </c>
      <c r="S56" s="6">
        <f>'2.1 Capex Real Dollars'!S56/'1.1 Input'!L$13</f>
        <v>0</v>
      </c>
      <c r="T56" s="6">
        <f>'2.1 Capex Real Dollars'!T56/'1.1 Input'!M$13</f>
        <v>0</v>
      </c>
      <c r="U56" s="6">
        <f>'2.1 Capex Real Dollars'!U56/'1.1 Input'!N$13</f>
        <v>0</v>
      </c>
      <c r="V56" s="45">
        <f t="shared" si="2"/>
        <v>235672.45994292008</v>
      </c>
    </row>
    <row r="57" spans="1:22">
      <c r="L57" s="33" t="str">
        <f>'2.1 Capex Real Dollars'!L57</f>
        <v>RTU Upgrade - Comms Interface to EE and AEMO</v>
      </c>
      <c r="M57" s="33" t="str">
        <f>IF(L57="","",'1.0 Data'!$B$9)</f>
        <v>nominal</v>
      </c>
      <c r="N57" s="33" t="str">
        <f>'2.1 Capex Real Dollars'!N57</f>
        <v>Transmission Assets</v>
      </c>
      <c r="O57" s="33" t="str">
        <f>'2.1 Capex Real Dollars'!O57</f>
        <v>Replacement expenditure</v>
      </c>
      <c r="P57" s="33" t="str">
        <f>'2.1 Capex Real Dollars'!P57</f>
        <v>Asset Monitoring</v>
      </c>
      <c r="Q57" s="6">
        <f>'2.1 Capex Real Dollars'!Q57/'1.1 Input'!J$13</f>
        <v>0</v>
      </c>
      <c r="R57" s="6">
        <f>'2.1 Capex Real Dollars'!R57/'1.1 Input'!K$13</f>
        <v>0</v>
      </c>
      <c r="S57" s="6">
        <f>'2.1 Capex Real Dollars'!S57/'1.1 Input'!L$13</f>
        <v>0</v>
      </c>
      <c r="T57" s="6">
        <f>'2.1 Capex Real Dollars'!T57/'1.1 Input'!M$13</f>
        <v>0</v>
      </c>
      <c r="U57" s="6">
        <f>'2.1 Capex Real Dollars'!U57/'1.1 Input'!N$13</f>
        <v>0</v>
      </c>
      <c r="V57" s="45">
        <f t="shared" si="2"/>
        <v>0</v>
      </c>
    </row>
    <row r="58" spans="1:22">
      <c r="L58" s="33" t="str">
        <f>'2.1 Capex Real Dollars'!L58</f>
        <v>SCADA Hardware Lifecycle Management</v>
      </c>
      <c r="M58" s="33" t="str">
        <f>IF(L58="","",'1.0 Data'!$B$9)</f>
        <v>nominal</v>
      </c>
      <c r="N58" s="33" t="str">
        <f>'2.1 Capex Real Dollars'!N58</f>
        <v>Transmission Assets</v>
      </c>
      <c r="O58" s="33" t="str">
        <f>'2.1 Capex Real Dollars'!O58</f>
        <v>Replacement expenditure</v>
      </c>
      <c r="P58" s="33" t="str">
        <f>'2.1 Capex Real Dollars'!P58</f>
        <v>Asset Monitoring</v>
      </c>
      <c r="Q58" s="6">
        <f>'2.1 Capex Real Dollars'!Q58/'1.1 Input'!J$13</f>
        <v>0</v>
      </c>
      <c r="R58" s="6">
        <f>'2.1 Capex Real Dollars'!R58/'1.1 Input'!K$13</f>
        <v>0</v>
      </c>
      <c r="S58" s="6">
        <f>'2.1 Capex Real Dollars'!S58/'1.1 Input'!L$13</f>
        <v>0</v>
      </c>
      <c r="T58" s="6">
        <f>'2.1 Capex Real Dollars'!T58/'1.1 Input'!M$13</f>
        <v>0</v>
      </c>
      <c r="U58" s="6">
        <f>'2.1 Capex Real Dollars'!U58/'1.1 Input'!N$13</f>
        <v>0</v>
      </c>
      <c r="V58" s="45">
        <f t="shared" si="2"/>
        <v>0</v>
      </c>
    </row>
    <row r="59" spans="1:22">
      <c r="L59" s="33" t="str">
        <f>'2.1 Capex Real Dollars'!L59</f>
        <v>Sound Wall Earthing</v>
      </c>
      <c r="M59" s="33" t="str">
        <f>IF(L59="","",'1.0 Data'!$B$9)</f>
        <v>nominal</v>
      </c>
      <c r="N59" s="33" t="str">
        <f>'2.1 Capex Real Dollars'!N59</f>
        <v>Transmission Assets</v>
      </c>
      <c r="O59" s="33" t="str">
        <f>'2.1 Capex Real Dollars'!O59</f>
        <v>Replacement expenditure</v>
      </c>
      <c r="P59" s="33" t="str">
        <f>'2.1 Capex Real Dollars'!P59</f>
        <v>Safety and Protection</v>
      </c>
      <c r="Q59" s="6">
        <f>'2.1 Capex Real Dollars'!Q59/'1.1 Input'!J$13</f>
        <v>0</v>
      </c>
      <c r="R59" s="6">
        <f>'2.1 Capex Real Dollars'!R59/'1.1 Input'!K$13</f>
        <v>0</v>
      </c>
      <c r="S59" s="6">
        <f>'2.1 Capex Real Dollars'!S59/'1.1 Input'!L$13</f>
        <v>69289.912416677194</v>
      </c>
      <c r="T59" s="6">
        <f>'2.1 Capex Real Dollars'!T59/'1.1 Input'!M$13</f>
        <v>0</v>
      </c>
      <c r="U59" s="6">
        <f>'2.1 Capex Real Dollars'!U59/'1.1 Input'!N$13</f>
        <v>0</v>
      </c>
      <c r="V59" s="45">
        <f t="shared" si="2"/>
        <v>69289.912416677194</v>
      </c>
    </row>
    <row r="60" spans="1:22">
      <c r="L60" s="33" t="str">
        <f>'2.1 Capex Real Dollars'!L60</f>
        <v>Sparing for Obsolescence Placeholder</v>
      </c>
      <c r="M60" s="33" t="str">
        <f>IF(L60="","",'1.0 Data'!$B$9)</f>
        <v>nominal</v>
      </c>
      <c r="N60" s="33" t="str">
        <f>'2.1 Capex Real Dollars'!N60</f>
        <v>Transmission Assets</v>
      </c>
      <c r="O60" s="33" t="str">
        <f>'2.1 Capex Real Dollars'!O60</f>
        <v>Replacement expenditure</v>
      </c>
      <c r="P60" s="33" t="str">
        <f>'2.1 Capex Real Dollars'!P60</f>
        <v>Spares Management</v>
      </c>
      <c r="Q60" s="6">
        <f>'2.1 Capex Real Dollars'!Q60/'1.1 Input'!J$13</f>
        <v>0</v>
      </c>
      <c r="R60" s="6">
        <f>'2.1 Capex Real Dollars'!R60/'1.1 Input'!K$13</f>
        <v>0</v>
      </c>
      <c r="S60" s="6">
        <f>'2.1 Capex Real Dollars'!S60/'1.1 Input'!L$13</f>
        <v>0</v>
      </c>
      <c r="T60" s="6">
        <f>'2.1 Capex Real Dollars'!T60/'1.1 Input'!M$13</f>
        <v>0</v>
      </c>
      <c r="U60" s="6">
        <f>'2.1 Capex Real Dollars'!U60/'1.1 Input'!N$13</f>
        <v>0</v>
      </c>
      <c r="V60" s="45">
        <f t="shared" si="2"/>
        <v>0</v>
      </c>
    </row>
    <row r="61" spans="1:22">
      <c r="L61" s="33" t="str">
        <f>'2.1 Capex Real Dollars'!L61</f>
        <v>UTV 4x4</v>
      </c>
      <c r="M61" s="33" t="str">
        <f>IF(L61="","",'1.0 Data'!$B$9)</f>
        <v>nominal</v>
      </c>
      <c r="N61" s="33" t="str">
        <f>'2.1 Capex Real Dollars'!N61</f>
        <v>Transmission Assets</v>
      </c>
      <c r="O61" s="33" t="str">
        <f>'2.1 Capex Real Dollars'!O61</f>
        <v>Replacement expenditure</v>
      </c>
      <c r="P61" s="33" t="str">
        <f>'2.1 Capex Real Dollars'!P61</f>
        <v>Asset Monitoring</v>
      </c>
      <c r="Q61" s="6">
        <f>'2.1 Capex Real Dollars'!Q61/'1.1 Input'!J$13</f>
        <v>28458.348547200007</v>
      </c>
      <c r="R61" s="6">
        <f>'2.1 Capex Real Dollars'!R61/'1.1 Input'!K$13</f>
        <v>0</v>
      </c>
      <c r="S61" s="6">
        <f>'2.1 Capex Real Dollars'!S61/'1.1 Input'!L$13</f>
        <v>0</v>
      </c>
      <c r="T61" s="6">
        <f>'2.1 Capex Real Dollars'!T61/'1.1 Input'!M$13</f>
        <v>0</v>
      </c>
      <c r="U61" s="6">
        <f>'2.1 Capex Real Dollars'!U61/'1.1 Input'!N$13</f>
        <v>0</v>
      </c>
      <c r="V61" s="45">
        <f t="shared" ref="V61:V64" si="4">SUM(Q61:U61)</f>
        <v>28458.348547200007</v>
      </c>
    </row>
    <row r="62" spans="1:22">
      <c r="L62" s="33" t="str">
        <f>'2.1 Capex Real Dollars'!L62</f>
        <v>Spares Management</v>
      </c>
      <c r="M62" s="33" t="str">
        <f>IF(L62="","",'1.0 Data'!$B$9)</f>
        <v>nominal</v>
      </c>
      <c r="N62" s="33" t="str">
        <f>'2.1 Capex Real Dollars'!N62</f>
        <v>Transmission Assets</v>
      </c>
      <c r="O62" s="33" t="str">
        <f>'2.1 Capex Real Dollars'!O62</f>
        <v>Replacement expenditure</v>
      </c>
      <c r="P62" s="33" t="str">
        <f>'2.1 Capex Real Dollars'!P62</f>
        <v>Spares Management</v>
      </c>
      <c r="Q62" s="6">
        <f>'2.1 Capex Real Dollars'!Q62/'1.1 Input'!J$13</f>
        <v>1895260.3852862683</v>
      </c>
      <c r="R62" s="6">
        <f>'2.1 Capex Real Dollars'!R62/'1.1 Input'!K$13</f>
        <v>1293893.9404994037</v>
      </c>
      <c r="S62" s="6">
        <f>'2.1 Capex Real Dollars'!S62/'1.1 Input'!L$13</f>
        <v>1858166.756008551</v>
      </c>
      <c r="T62" s="6">
        <f>'2.1 Capex Real Dollars'!T62/'1.1 Input'!M$13</f>
        <v>1739314.5011074815</v>
      </c>
      <c r="U62" s="6">
        <f>'2.1 Capex Real Dollars'!U62/'1.1 Input'!N$13</f>
        <v>7152296.5643323418</v>
      </c>
      <c r="V62" s="45">
        <f t="shared" si="4"/>
        <v>13938932.147234045</v>
      </c>
    </row>
    <row r="63" spans="1:22">
      <c r="L63" s="33" t="str">
        <f>'2.1 Capex Real Dollars'!L63</f>
        <v>Transmission Determination cost</v>
      </c>
      <c r="M63" s="33" t="str">
        <f>IF(L63="","",'1.0 Data'!$B$9)</f>
        <v>nominal</v>
      </c>
      <c r="N63" s="33" t="str">
        <f>'2.1 Capex Real Dollars'!N63</f>
        <v>Transmission Determination Costs</v>
      </c>
      <c r="O63" s="33" t="str">
        <f>'2.1 Capex Real Dollars'!O63</f>
        <v>Replacement expenditure</v>
      </c>
      <c r="P63" s="33" t="str">
        <f>'2.1 Capex Real Dollars'!P63</f>
        <v>Transmission Determination Costs</v>
      </c>
      <c r="Q63" s="6">
        <f>'2.1 Capex Real Dollars'!Q63/'1.1 Input'!J$13</f>
        <v>0</v>
      </c>
      <c r="R63" s="6">
        <f>'2.1 Capex Real Dollars'!R63/'1.1 Input'!K$13</f>
        <v>0</v>
      </c>
      <c r="S63" s="6">
        <f>'2.1 Capex Real Dollars'!S63/'1.1 Input'!L$13</f>
        <v>0</v>
      </c>
      <c r="T63" s="6">
        <f>'2.1 Capex Real Dollars'!T63/'1.1 Input'!M$13</f>
        <v>164440.65340863669</v>
      </c>
      <c r="U63" s="6">
        <f>'2.1 Capex Real Dollars'!U63/'1.1 Input'!N$13</f>
        <v>168551.6697438526</v>
      </c>
      <c r="V63" s="45">
        <f t="shared" si="4"/>
        <v>332992.32315248926</v>
      </c>
    </row>
    <row r="64" spans="1:22">
      <c r="L64" s="33" t="str">
        <f>'2.1 Capex Real Dollars'!L64</f>
        <v/>
      </c>
      <c r="M64" s="33" t="str">
        <f>IF(L64="","",'1.0 Data'!$B$9)</f>
        <v/>
      </c>
      <c r="N64" s="33" t="str">
        <f>'2.1 Capex Real Dollars'!N64</f>
        <v/>
      </c>
      <c r="O64" s="33" t="str">
        <f>'2.1 Capex Real Dollars'!O64</f>
        <v/>
      </c>
      <c r="P64" s="33" t="str">
        <f>'2.1 Capex Real Dollars'!P64</f>
        <v/>
      </c>
      <c r="Q64" s="6">
        <f>'2.1 Capex Real Dollars'!Q64/'1.1 Input'!J$13</f>
        <v>0</v>
      </c>
      <c r="R64" s="6">
        <f>'2.1 Capex Real Dollars'!R64/'1.1 Input'!K$13</f>
        <v>0</v>
      </c>
      <c r="S64" s="6">
        <f>'2.1 Capex Real Dollars'!S64/'1.1 Input'!L$13</f>
        <v>0</v>
      </c>
      <c r="T64" s="6">
        <f>'2.1 Capex Real Dollars'!T64/'1.1 Input'!M$13</f>
        <v>0</v>
      </c>
      <c r="U64" s="6">
        <f>'2.1 Capex Real Dollars'!U64/'1.1 Input'!N$13</f>
        <v>0</v>
      </c>
      <c r="V64" s="45">
        <f t="shared" si="4"/>
        <v>0</v>
      </c>
    </row>
    <row r="65" spans="1:22">
      <c r="L65" s="33" t="str">
        <f>'2.1 Capex Real Dollars'!L65</f>
        <v/>
      </c>
      <c r="M65" s="33" t="str">
        <f>IF(L65="","",'1.0 Data'!$B$9)</f>
        <v/>
      </c>
      <c r="N65" s="33" t="str">
        <f>'2.1 Capex Real Dollars'!N65</f>
        <v/>
      </c>
      <c r="O65" s="33" t="str">
        <f>'2.1 Capex Real Dollars'!O65</f>
        <v/>
      </c>
      <c r="P65" s="33" t="str">
        <f>'2.1 Capex Real Dollars'!P65</f>
        <v/>
      </c>
      <c r="Q65" s="6">
        <f>'2.1 Capex Real Dollars'!Q65/'1.1 Input'!J$13</f>
        <v>0</v>
      </c>
      <c r="R65" s="6">
        <f>'2.1 Capex Real Dollars'!R65/'1.1 Input'!K$13</f>
        <v>0</v>
      </c>
      <c r="S65" s="6">
        <f>'2.1 Capex Real Dollars'!S65/'1.1 Input'!L$13</f>
        <v>0</v>
      </c>
      <c r="T65" s="6">
        <f>'2.1 Capex Real Dollars'!T65/'1.1 Input'!M$13</f>
        <v>0</v>
      </c>
      <c r="U65" s="6">
        <f>'2.1 Capex Real Dollars'!U65/'1.1 Input'!N$13</f>
        <v>0</v>
      </c>
      <c r="V65" s="45">
        <f>SUM(Q65:U65)</f>
        <v>0</v>
      </c>
    </row>
    <row r="66" spans="1:22">
      <c r="L66" s="33">
        <f>'2.1 Capex Real Dollars'!L66</f>
        <v>0</v>
      </c>
      <c r="M66" s="33" t="str">
        <f>IF(L66="","",'1.0 Data'!$B$9)</f>
        <v>nominal</v>
      </c>
      <c r="N66" s="33" t="str">
        <f>'2.1 Capex Real Dollars'!N66</f>
        <v/>
      </c>
      <c r="O66" s="33" t="str">
        <f>'2.1 Capex Real Dollars'!O66</f>
        <v/>
      </c>
      <c r="P66" s="33" t="str">
        <f>'2.1 Capex Real Dollars'!P66</f>
        <v/>
      </c>
      <c r="Q66" s="6">
        <f>'2.1 Capex Real Dollars'!Q66/'1.1 Input'!J$13</f>
        <v>0</v>
      </c>
      <c r="R66" s="6">
        <f ca="1">'2.1 Capex Real Dollars'!R66/'1.1 Input'!K$13</f>
        <v>0</v>
      </c>
      <c r="S66" s="6">
        <f ca="1">'2.1 Capex Real Dollars'!S66/'1.1 Input'!L$13</f>
        <v>0</v>
      </c>
      <c r="T66" s="6">
        <f ca="1">'2.1 Capex Real Dollars'!T66/'1.1 Input'!M$13</f>
        <v>0</v>
      </c>
      <c r="U66" s="6">
        <f ca="1">'2.1 Capex Real Dollars'!U66/'1.1 Input'!N$13</f>
        <v>0</v>
      </c>
      <c r="V66" s="45">
        <f ca="1">SUM(Q66:U66)</f>
        <v>0</v>
      </c>
    </row>
    <row r="67" spans="1:22">
      <c r="L67" s="33"/>
    </row>
    <row r="68" spans="1:22" ht="19.5">
      <c r="A68" s="2">
        <f>'2.1 Capex Real Dollars'!A68</f>
        <v>0</v>
      </c>
      <c r="B68" s="2"/>
      <c r="C68" s="2"/>
      <c r="D68" s="2"/>
      <c r="E68" s="2"/>
      <c r="F68" s="2"/>
      <c r="G68" s="2"/>
      <c r="H68" s="2"/>
      <c r="I68" s="2"/>
      <c r="J68" s="2"/>
      <c r="K68" s="2"/>
      <c r="L68" s="2">
        <f>'2.1 Capex Real Dollars'!L68</f>
        <v>0</v>
      </c>
      <c r="M68" s="2"/>
      <c r="N68" s="2"/>
      <c r="O68" s="2"/>
      <c r="P68" s="2"/>
      <c r="Q68" s="2"/>
      <c r="R68" s="2"/>
      <c r="S68" s="2"/>
      <c r="T68" s="2"/>
      <c r="U68" s="2"/>
      <c r="V68" s="2"/>
    </row>
    <row r="69" spans="1:22" ht="16.5">
      <c r="A69" s="4" t="str">
        <f>'2.1 Capex Real Dollars'!A69</f>
        <v>Current Period ($2018 '000)</v>
      </c>
      <c r="B69" s="4"/>
      <c r="C69" s="4"/>
      <c r="D69" s="4"/>
      <c r="E69" s="4"/>
      <c r="F69" s="4"/>
      <c r="G69" s="4"/>
      <c r="H69" s="4"/>
      <c r="I69" s="4"/>
      <c r="J69" s="4"/>
      <c r="K69" s="4"/>
      <c r="L69" s="4" t="str">
        <f>'2.1 Capex Real Dollars'!L69</f>
        <v>Forecast Period ($FY 2022/23 '000)</v>
      </c>
      <c r="M69" s="4"/>
      <c r="N69" s="4"/>
      <c r="O69" s="4"/>
      <c r="P69" s="4"/>
      <c r="Q69" s="4"/>
      <c r="R69" s="4"/>
      <c r="S69" s="4"/>
      <c r="T69" s="4"/>
      <c r="U69" s="4"/>
      <c r="V69" s="4"/>
    </row>
    <row r="70" spans="1:22">
      <c r="A70" s="3" t="str">
        <f>'2.1 Capex Real Dollars'!A70</f>
        <v>Project</v>
      </c>
      <c r="B70" s="3"/>
      <c r="C70" s="3" t="str">
        <f>'2.1 Capex Real Dollars'!C70</f>
        <v>Asset Class</v>
      </c>
      <c r="D70" s="3" t="str">
        <f>'2.1 Capex Real Dollars'!D70</f>
        <v>Asset Driver</v>
      </c>
      <c r="E70" s="3" t="str">
        <f>'2.1 Capex Real Dollars'!E70</f>
        <v>2020/21</v>
      </c>
      <c r="F70" s="3" t="str">
        <f>'2.1 Capex Real Dollars'!F70</f>
        <v>2021/22</v>
      </c>
      <c r="G70" s="3" t="str">
        <f>'2.1 Capex Real Dollars'!G70</f>
        <v>2022/23</v>
      </c>
      <c r="H70" s="3" t="str">
        <f>'2.1 Capex Real Dollars'!H70</f>
        <v>2023/24</v>
      </c>
      <c r="I70" s="3" t="str">
        <f>'2.1 Capex Real Dollars'!I70</f>
        <v>2024/25</v>
      </c>
      <c r="J70" s="3" t="str">
        <f>'2.1 Capex Real Dollars'!J70</f>
        <v>Total</v>
      </c>
      <c r="K70" s="3"/>
      <c r="L70" s="3" t="str">
        <f>'2.1 Capex Real Dollars'!L70</f>
        <v>Project</v>
      </c>
      <c r="M70" s="3" t="str">
        <f>'2.1 Capex Real Dollars'!M70</f>
        <v>input</v>
      </c>
      <c r="N70" s="3" t="str">
        <f>'2.1 Capex Real Dollars'!N70</f>
        <v>Asset Class</v>
      </c>
      <c r="O70" s="3" t="str">
        <f>'2.1 Capex Real Dollars'!O70</f>
        <v>Asset Driver</v>
      </c>
      <c r="P70" s="3"/>
      <c r="Q70" s="3" t="str">
        <f>'2.1 Capex Real Dollars'!Q70</f>
        <v>2025/26</v>
      </c>
      <c r="R70" s="3" t="str">
        <f>'2.1 Capex Real Dollars'!R70</f>
        <v>2026/27</v>
      </c>
      <c r="S70" s="3" t="str">
        <f>'2.1 Capex Real Dollars'!S70</f>
        <v>2027/28</v>
      </c>
      <c r="T70" s="3" t="str">
        <f>'2.1 Capex Real Dollars'!T70</f>
        <v>2028/29</v>
      </c>
      <c r="U70" s="3" t="str">
        <f>'2.1 Capex Real Dollars'!U70</f>
        <v>2029/30</v>
      </c>
      <c r="V70" s="3" t="str">
        <f>'2.1 Capex Real Dollars'!V70</f>
        <v>Total</v>
      </c>
    </row>
    <row r="72" spans="1:22">
      <c r="A72" s="33" t="str" cm="1">
        <f t="array" ref="A72">INDEX(A$9:A$71,MATCH($J72,$J$9:$J$71,0),0)</f>
        <v>Obsolete IGBTs</v>
      </c>
      <c r="B72" s="33" t="str" cm="1">
        <f t="array" ref="B72">INDEX(B$9:B$71,MATCH($A72,$A$9:$A$71,0),0)</f>
        <v>nominal</v>
      </c>
      <c r="C72" s="33" t="str" cm="1">
        <f t="array" ref="C72">INDEX(C$9:C$67,MATCH($J72,$J$9:$J$67,0),0)</f>
        <v>Transmission Assets</v>
      </c>
      <c r="D72" s="33" t="str" cm="1">
        <f t="array" ref="D72">INDEX(D$9:D$67,MATCH($J72,$J$9:$J$67,0),0)</f>
        <v>Replacement expenditure</v>
      </c>
      <c r="E72" s="17">
        <f t="shared" ref="E72:I81" si="5">SUMIF($A$9:$A$67,$A72,E$9:E$67)</f>
        <v>0</v>
      </c>
      <c r="F72" s="17">
        <f t="shared" si="5"/>
        <v>1134292.44</v>
      </c>
      <c r="G72" s="17">
        <f t="shared" si="5"/>
        <v>6135826.3900000006</v>
      </c>
      <c r="H72" s="17">
        <f t="shared" si="5"/>
        <v>10277834.600000001</v>
      </c>
      <c r="I72" s="17">
        <f t="shared" si="5"/>
        <v>1438086.1547795087</v>
      </c>
      <c r="J72" s="45">
        <f t="shared" ref="J72:J89" si="6">LARGE($J$9:$J$67,ROW()-71)</f>
        <v>18986039.584779508</v>
      </c>
      <c r="L72" s="33" t="str">
        <f ca="1">'2.1 Capex Real Dollars'!L72</f>
        <v>Spares Management</v>
      </c>
      <c r="M72" s="33" t="str">
        <f ca="1">IF(L72="","",'1.0 Data'!$B$9)</f>
        <v>nominal</v>
      </c>
      <c r="N72" s="33" t="str">
        <f ca="1">'2.1 Capex Real Dollars'!N72</f>
        <v>Transmission Assets</v>
      </c>
      <c r="O72" s="33" t="str">
        <f ca="1">'2.1 Capex Real Dollars'!O72</f>
        <v>Replacement expenditure</v>
      </c>
      <c r="P72" s="33"/>
      <c r="Q72" s="6">
        <f ca="1">'2.1 Capex Real Dollars'!Q72/'1.1 Input'!I$13</f>
        <v>1836136.7809400002</v>
      </c>
      <c r="R72" s="6">
        <f ca="1">'2.1 Capex Real Dollars'!R72/'1.1 Input'!J$13</f>
        <v>1255720.0509505083</v>
      </c>
      <c r="S72" s="6">
        <f ca="1">'2.1 Capex Real Dollars'!S72/'1.1 Input'!K$13</f>
        <v>1806500.8322074187</v>
      </c>
      <c r="T72" s="6">
        <f ca="1">'2.1 Capex Real Dollars'!T72/'1.1 Input'!L$13</f>
        <v>1693917.5117914705</v>
      </c>
      <c r="U72" s="6">
        <f ca="1">'2.1 Capex Real Dollars'!U72/'1.1 Input'!M$13</f>
        <v>6977850.3066656999</v>
      </c>
      <c r="V72" s="45">
        <f t="shared" ref="V72:V81" ca="1" si="7">SUM(Q72:U72)</f>
        <v>13570125.482555099</v>
      </c>
    </row>
    <row r="73" spans="1:22">
      <c r="A73" s="33" t="str" cm="1">
        <f t="array" ref="A73">INDEX(A$9:A$71,MATCH($J73,$J$9:$J$71,0),0)</f>
        <v>HVDC Spare Cable Order</v>
      </c>
      <c r="B73" s="33" t="str" cm="1">
        <f t="array" ref="B73">INDEX(B$9:B$71,MATCH($A73,$A$9:$A$71,0),0)</f>
        <v>nominal</v>
      </c>
      <c r="C73" s="33" t="str" cm="1">
        <f t="array" ref="C73">INDEX(C$9:C$67,MATCH($J73,$J$9:$J$67,0),0)</f>
        <v>Transmission Assets</v>
      </c>
      <c r="D73" s="33" t="str" cm="1">
        <f t="array" ref="D73">INDEX(D$9:D$67,MATCH($J73,$J$9:$J$67,0),0)</f>
        <v>Replacement expenditure</v>
      </c>
      <c r="E73" s="17">
        <f t="shared" si="5"/>
        <v>0</v>
      </c>
      <c r="F73" s="17">
        <f t="shared" si="5"/>
        <v>0</v>
      </c>
      <c r="G73" s="17">
        <f t="shared" si="5"/>
        <v>0</v>
      </c>
      <c r="H73" s="17">
        <f t="shared" si="5"/>
        <v>770000.00000000012</v>
      </c>
      <c r="I73" s="17">
        <f t="shared" si="5"/>
        <v>712932.22970655549</v>
      </c>
      <c r="J73" s="45">
        <f t="shared" si="6"/>
        <v>1482932.2297065556</v>
      </c>
      <c r="L73" s="33" t="str">
        <f ca="1">'2.1 Capex Real Dollars'!L73</f>
        <v>IGBT Generation 3 Upgrade</v>
      </c>
      <c r="M73" s="33" t="str">
        <f ca="1">IF(L73="","",'1.0 Data'!$B$9)</f>
        <v>nominal</v>
      </c>
      <c r="N73" s="33" t="str">
        <f ca="1">'2.1 Capex Real Dollars'!N73</f>
        <v>Transmission Assets</v>
      </c>
      <c r="O73" s="33" t="str">
        <f ca="1">'2.1 Capex Real Dollars'!O73</f>
        <v>Replacement expenditure</v>
      </c>
      <c r="P73" s="33"/>
      <c r="Q73" s="6">
        <f ca="1">'2.1 Capex Real Dollars'!Q73/'1.1 Input'!I$13</f>
        <v>6058148.406200001</v>
      </c>
      <c r="R73" s="6">
        <f ca="1">'2.1 Capex Real Dollars'!R73/'1.1 Input'!J$13</f>
        <v>0</v>
      </c>
      <c r="S73" s="6">
        <f ca="1">'2.1 Capex Real Dollars'!S73/'1.1 Input'!K$13</f>
        <v>0</v>
      </c>
      <c r="T73" s="6">
        <f ca="1">'2.1 Capex Real Dollars'!T73/'1.1 Input'!L$13</f>
        <v>0</v>
      </c>
      <c r="U73" s="6">
        <f ca="1">'2.1 Capex Real Dollars'!U73/'1.1 Input'!M$13</f>
        <v>0</v>
      </c>
      <c r="V73" s="45">
        <f t="shared" ca="1" si="7"/>
        <v>6058148.406200001</v>
      </c>
    </row>
    <row r="74" spans="1:22">
      <c r="A74" s="33" t="str" cm="1">
        <f t="array" ref="A74">INDEX(A$9:A$71,MATCH($J74,$J$9:$J$71,0),0)</f>
        <v>Cooling tower sound enclosure panel replacement</v>
      </c>
      <c r="B74" s="33" t="str" cm="1">
        <f t="array" ref="B74">INDEX(B$9:B$71,MATCH($A74,$A$9:$A$71,0),0)</f>
        <v>nominal</v>
      </c>
      <c r="C74" s="33" t="str" cm="1">
        <f t="array" ref="C74">INDEX(C$9:C$67,MATCH($J74,$J$9:$J$67,0),0)</f>
        <v>Transmission Assets</v>
      </c>
      <c r="D74" s="33" t="str" cm="1">
        <f t="array" ref="D74">INDEX(D$9:D$67,MATCH($J74,$J$9:$J$67,0),0)</f>
        <v>Replacement expenditure</v>
      </c>
      <c r="E74" s="17">
        <f t="shared" si="5"/>
        <v>693007.66</v>
      </c>
      <c r="F74" s="17">
        <f t="shared" si="5"/>
        <v>160366.61999999997</v>
      </c>
      <c r="G74" s="17">
        <f t="shared" si="5"/>
        <v>206729.03000000003</v>
      </c>
      <c r="H74" s="17">
        <f t="shared" si="5"/>
        <v>0</v>
      </c>
      <c r="I74" s="17">
        <f t="shared" si="5"/>
        <v>0</v>
      </c>
      <c r="J74" s="45">
        <f t="shared" si="6"/>
        <v>1060103.31</v>
      </c>
      <c r="L74" s="33" t="str">
        <f ca="1">'2.1 Capex Real Dollars'!L74</f>
        <v>Physical Site Security and Public Protection - Mullumbimby</v>
      </c>
      <c r="M74" s="33" t="str">
        <f ca="1">IF(L74="","",'1.0 Data'!$B$9)</f>
        <v>nominal</v>
      </c>
      <c r="N74" s="33" t="str">
        <f ca="1">'2.1 Capex Real Dollars'!N74</f>
        <v>Buildings</v>
      </c>
      <c r="O74" s="33" t="str">
        <f ca="1">'2.1 Capex Real Dollars'!O74</f>
        <v>Replacement expenditure</v>
      </c>
      <c r="P74" s="33"/>
      <c r="Q74" s="6">
        <f ca="1">'2.1 Capex Real Dollars'!Q74/'1.1 Input'!I$13</f>
        <v>1487257.8544152684</v>
      </c>
      <c r="R74" s="6">
        <f ca="1">'2.1 Capex Real Dollars'!R74/'1.1 Input'!J$13</f>
        <v>726272.74424845912</v>
      </c>
      <c r="S74" s="6">
        <f ca="1">'2.1 Capex Real Dollars'!S74/'1.1 Input'!K$13</f>
        <v>0</v>
      </c>
      <c r="T74" s="6">
        <f ca="1">'2.1 Capex Real Dollars'!T74/'1.1 Input'!L$13</f>
        <v>0</v>
      </c>
      <c r="U74" s="6">
        <f ca="1">'2.1 Capex Real Dollars'!U74/'1.1 Input'!M$13</f>
        <v>0</v>
      </c>
      <c r="V74" s="45">
        <f t="shared" ca="1" si="7"/>
        <v>2213530.5986637278</v>
      </c>
    </row>
    <row r="75" spans="1:22">
      <c r="A75" s="33" t="str" cm="1">
        <f t="array" ref="A75">INDEX(A$9:A$71,MATCH($J75,$J$9:$J$71,0),0)</f>
        <v>Refurbishment/Replacement</v>
      </c>
      <c r="B75" s="33" t="str" cm="1">
        <f t="array" ref="B75">INDEX(B$9:B$71,MATCH($A75,$A$9:$A$71,0),0)</f>
        <v>nominal</v>
      </c>
      <c r="C75" s="33" t="str" cm="1">
        <f t="array" ref="C75">INDEX(C$9:C$67,MATCH($J75,$J$9:$J$67,0),0)</f>
        <v>Transmission Assets</v>
      </c>
      <c r="D75" s="33" t="str" cm="1">
        <f t="array" ref="D75">INDEX(D$9:D$67,MATCH($J75,$J$9:$J$67,0),0)</f>
        <v>Replacement expenditure</v>
      </c>
      <c r="E75" s="17">
        <f t="shared" si="5"/>
        <v>16282.88</v>
      </c>
      <c r="F75" s="17">
        <f t="shared" si="5"/>
        <v>621305.37</v>
      </c>
      <c r="G75" s="17">
        <f t="shared" si="5"/>
        <v>355996.46</v>
      </c>
      <c r="H75" s="17">
        <f t="shared" si="5"/>
        <v>0</v>
      </c>
      <c r="I75" s="17">
        <f t="shared" si="5"/>
        <v>0</v>
      </c>
      <c r="J75" s="45">
        <f t="shared" si="6"/>
        <v>993584.71</v>
      </c>
      <c r="L75" s="33" t="str">
        <f ca="1">'2.1 Capex Real Dollars'!L75</f>
        <v>Reactor cooling enhancements</v>
      </c>
      <c r="M75" s="33" t="str">
        <f ca="1">IF(L75="","",'1.0 Data'!$B$9)</f>
        <v>nominal</v>
      </c>
      <c r="N75" s="33" t="str">
        <f ca="1">'2.1 Capex Real Dollars'!N75</f>
        <v>Transmission Assets</v>
      </c>
      <c r="O75" s="33" t="str">
        <f ca="1">'2.1 Capex Real Dollars'!O75</f>
        <v>Replacement expenditure</v>
      </c>
      <c r="P75" s="33"/>
      <c r="Q75" s="6">
        <f ca="1">'2.1 Capex Real Dollars'!Q75/'1.1 Input'!I$13</f>
        <v>356233.68</v>
      </c>
      <c r="R75" s="6">
        <f ca="1">'2.1 Capex Real Dollars'!R75/'1.1 Input'!J$13</f>
        <v>880518.2100000002</v>
      </c>
      <c r="S75" s="6">
        <f ca="1">'2.1 Capex Real Dollars'!S75/'1.1 Input'!K$13</f>
        <v>907285.96358400013</v>
      </c>
      <c r="T75" s="6">
        <f ca="1">'2.1 Capex Real Dollars'!T75/'1.1 Input'!L$13</f>
        <v>0</v>
      </c>
      <c r="U75" s="6">
        <f ca="1">'2.1 Capex Real Dollars'!U75/'1.1 Input'!M$13</f>
        <v>0</v>
      </c>
      <c r="V75" s="45">
        <f t="shared" ca="1" si="7"/>
        <v>2144037.8535840004</v>
      </c>
    </row>
    <row r="76" spans="1:22">
      <c r="A76" s="33" t="str" cm="1">
        <f t="array" ref="A76">INDEX(A$9:A$71,MATCH($J76,$J$9:$J$71,0),0)</f>
        <v>Zero Seq Reactor</v>
      </c>
      <c r="B76" s="33" t="str" cm="1">
        <f t="array" ref="B76">INDEX(B$9:B$71,MATCH($A76,$A$9:$A$71,0),0)</f>
        <v>nominal</v>
      </c>
      <c r="C76" s="33" t="str" cm="1">
        <f t="array" ref="C76">INDEX(C$9:C$67,MATCH($J76,$J$9:$J$67,0),0)</f>
        <v>Transmission Assets</v>
      </c>
      <c r="D76" s="33" t="str" cm="1">
        <f t="array" ref="D76">INDEX(D$9:D$67,MATCH($J76,$J$9:$J$67,0),0)</f>
        <v>Replacement expenditure</v>
      </c>
      <c r="E76" s="17">
        <f t="shared" si="5"/>
        <v>939456.54</v>
      </c>
      <c r="F76" s="17">
        <f t="shared" si="5"/>
        <v>0</v>
      </c>
      <c r="G76" s="17">
        <f t="shared" si="5"/>
        <v>0</v>
      </c>
      <c r="H76" s="17">
        <f t="shared" si="5"/>
        <v>0</v>
      </c>
      <c r="I76" s="17">
        <f t="shared" si="5"/>
        <v>0</v>
      </c>
      <c r="J76" s="45">
        <f t="shared" si="6"/>
        <v>939456.54</v>
      </c>
      <c r="L76" s="33" t="str">
        <f ca="1">'2.1 Capex Real Dollars'!L76</f>
        <v>Circuit Breakers</v>
      </c>
      <c r="M76" s="33" t="str">
        <f ca="1">IF(L76="","",'1.0 Data'!$B$9)</f>
        <v>nominal</v>
      </c>
      <c r="N76" s="33" t="str">
        <f ca="1">'2.1 Capex Real Dollars'!N76</f>
        <v>Transmission Assets</v>
      </c>
      <c r="O76" s="33" t="str">
        <f ca="1">'2.1 Capex Real Dollars'!O76</f>
        <v>Replacement expenditure</v>
      </c>
      <c r="P76" s="33"/>
      <c r="Q76" s="6">
        <f ca="1">'2.1 Capex Real Dollars'!Q76/'1.1 Input'!I$13</f>
        <v>136488</v>
      </c>
      <c r="R76" s="6">
        <f ca="1">'2.1 Capex Real Dollars'!R76/'1.1 Input'!J$13</f>
        <v>422648.74080000009</v>
      </c>
      <c r="S76" s="6">
        <f ca="1">'2.1 Capex Real Dollars'!S76/'1.1 Input'!K$13</f>
        <v>725828.77086719999</v>
      </c>
      <c r="T76" s="6">
        <f ca="1">'2.1 Capex Real Dollars'!T76/'1.1 Input'!L$13</f>
        <v>149317.49474280037</v>
      </c>
      <c r="U76" s="6">
        <f ca="1">'2.1 Capex Real Dollars'!U76/'1.1 Input'!M$13</f>
        <v>326082.34860460868</v>
      </c>
      <c r="V76" s="45">
        <f t="shared" ca="1" si="7"/>
        <v>1760365.3550146092</v>
      </c>
    </row>
    <row r="77" spans="1:22">
      <c r="A77" s="33" t="str" cm="1">
        <f t="array" ref="A77">INDEX(A$9:A$71,MATCH($J77,$J$9:$J$71,0),0)</f>
        <v>Physical Site Security and Public Protection - Mullumbimby</v>
      </c>
      <c r="B77" s="33" t="str" cm="1">
        <f t="array" ref="B77">INDEX(B$9:B$71,MATCH($A77,$A$9:$A$71,0),0)</f>
        <v>nominal</v>
      </c>
      <c r="C77" s="33" t="str" cm="1">
        <f t="array" ref="C77">INDEX(C$9:C$67,MATCH($J77,$J$9:$J$67,0),0)</f>
        <v>Buildings</v>
      </c>
      <c r="D77" s="33" t="str" cm="1">
        <f t="array" ref="D77">INDEX(D$9:D$67,MATCH($J77,$J$9:$J$67,0),0)</f>
        <v>Replacement expenditure</v>
      </c>
      <c r="E77" s="17">
        <f t="shared" si="5"/>
        <v>0</v>
      </c>
      <c r="F77" s="17">
        <f t="shared" si="5"/>
        <v>0</v>
      </c>
      <c r="G77" s="17">
        <f t="shared" si="5"/>
        <v>0</v>
      </c>
      <c r="H77" s="17">
        <f t="shared" si="5"/>
        <v>0</v>
      </c>
      <c r="I77" s="17">
        <f t="shared" si="5"/>
        <v>672970.34128227527</v>
      </c>
      <c r="J77" s="45">
        <f t="shared" si="6"/>
        <v>672970.34128227527</v>
      </c>
      <c r="L77" s="33" t="str">
        <f ca="1">'2.1 Capex Real Dollars'!L77</f>
        <v>Physical Site Security and Public Protection - Bangalora</v>
      </c>
      <c r="M77" s="33" t="str">
        <f ca="1">IF(L77="","",'1.0 Data'!$B$9)</f>
        <v>nominal</v>
      </c>
      <c r="N77" s="33" t="str">
        <f ca="1">'2.1 Capex Real Dollars'!N77</f>
        <v>Buildings</v>
      </c>
      <c r="O77" s="33" t="str">
        <f ca="1">'2.1 Capex Real Dollars'!O77</f>
        <v>Replacement expenditure</v>
      </c>
      <c r="P77" s="33"/>
      <c r="Q77" s="6">
        <f ca="1">'2.1 Capex Real Dollars'!Q77/'1.1 Input'!I$13</f>
        <v>639343.64828488778</v>
      </c>
      <c r="R77" s="6">
        <f ca="1">'2.1 Capex Real Dollars'!R77/'1.1 Input'!J$13</f>
        <v>400857.50011908758</v>
      </c>
      <c r="S77" s="6">
        <f ca="1">'2.1 Capex Real Dollars'!S77/'1.1 Input'!K$13</f>
        <v>64536.294335603568</v>
      </c>
      <c r="T77" s="6">
        <f ca="1">'2.1 Capex Real Dollars'!T77/'1.1 Input'!L$13</f>
        <v>0</v>
      </c>
      <c r="U77" s="6">
        <f ca="1">'2.1 Capex Real Dollars'!U77/'1.1 Input'!M$13</f>
        <v>0</v>
      </c>
      <c r="V77" s="45">
        <f t="shared" ca="1" si="7"/>
        <v>1104737.4427395789</v>
      </c>
    </row>
    <row r="78" spans="1:22">
      <c r="A78" s="33" t="str" cm="1">
        <f t="array" ref="A78">INDEX(A$9:A$71,MATCH($J78,$J$9:$J$71,0),0)</f>
        <v>Fire System Upgrades (2020-25)</v>
      </c>
      <c r="B78" s="33" t="str" cm="1">
        <f t="array" ref="B78">INDEX(B$9:B$71,MATCH($A78,$A$9:$A$71,0),0)</f>
        <v>nominal</v>
      </c>
      <c r="C78" s="33" t="str" cm="1">
        <f t="array" ref="C78">INDEX(C$9:C$67,MATCH($J78,$J$9:$J$67,0),0)</f>
        <v>Transmission Assets</v>
      </c>
      <c r="D78" s="33" t="str" cm="1">
        <f t="array" ref="D78">INDEX(D$9:D$67,MATCH($J78,$J$9:$J$67,0),0)</f>
        <v>Replacement expenditure</v>
      </c>
      <c r="E78" s="17">
        <f t="shared" si="5"/>
        <v>0</v>
      </c>
      <c r="F78" s="17">
        <f t="shared" si="5"/>
        <v>0</v>
      </c>
      <c r="G78" s="17">
        <f t="shared" si="5"/>
        <v>0</v>
      </c>
      <c r="H78" s="17">
        <f t="shared" si="5"/>
        <v>583000</v>
      </c>
      <c r="I78" s="17">
        <f t="shared" si="5"/>
        <v>0</v>
      </c>
      <c r="J78" s="45">
        <f t="shared" si="6"/>
        <v>583000</v>
      </c>
      <c r="L78" s="33" t="str">
        <f ca="1">'2.1 Capex Real Dollars'!L78</f>
        <v>Cooling Tower Sound Enclosure and Roofing Corrosion Management</v>
      </c>
      <c r="M78" s="33" t="str">
        <f ca="1">IF(L78="","",'1.0 Data'!$B$9)</f>
        <v>nominal</v>
      </c>
      <c r="N78" s="33" t="str">
        <f ca="1">'2.1 Capex Real Dollars'!N78</f>
        <v>Buildings</v>
      </c>
      <c r="O78" s="33" t="str">
        <f ca="1">'2.1 Capex Real Dollars'!O78</f>
        <v>Replacement expenditure</v>
      </c>
      <c r="P78" s="33"/>
      <c r="Q78" s="6">
        <f ca="1">'2.1 Capex Real Dollars'!Q78/'1.1 Input'!I$13</f>
        <v>0</v>
      </c>
      <c r="R78" s="6">
        <f ca="1">'2.1 Capex Real Dollars'!R78/'1.1 Input'!J$13</f>
        <v>0</v>
      </c>
      <c r="S78" s="6">
        <f ca="1">'2.1 Capex Real Dollars'!S78/'1.1 Input'!K$13</f>
        <v>0</v>
      </c>
      <c r="T78" s="6">
        <f ca="1">'2.1 Capex Real Dollars'!T78/'1.1 Input'!L$13</f>
        <v>1080916.3620854681</v>
      </c>
      <c r="U78" s="6">
        <f ca="1">'2.1 Capex Real Dollars'!U78/'1.1 Input'!M$13</f>
        <v>0</v>
      </c>
      <c r="V78" s="45">
        <f t="shared" ca="1" si="7"/>
        <v>1080916.3620854681</v>
      </c>
    </row>
    <row r="79" spans="1:22">
      <c r="A79" s="33" t="str" cm="1">
        <f t="array" ref="A79">INDEX(A$9:A$71,MATCH($J79,$J$9:$J$71,0),0)</f>
        <v>Physical Site Security and Public Protection - Bangalora</v>
      </c>
      <c r="B79" s="33" t="str" cm="1">
        <f t="array" ref="B79">INDEX(B$9:B$71,MATCH($A79,$A$9:$A$71,0),0)</f>
        <v>nominal</v>
      </c>
      <c r="C79" s="33" t="str" cm="1">
        <f t="array" ref="C79">INDEX(C$9:C$67,MATCH($J79,$J$9:$J$67,0),0)</f>
        <v>Buildings</v>
      </c>
      <c r="D79" s="33" t="str" cm="1">
        <f t="array" ref="D79">INDEX(D$9:D$67,MATCH($J79,$J$9:$J$67,0),0)</f>
        <v>Replacement expenditure</v>
      </c>
      <c r="E79" s="17">
        <f t="shared" si="5"/>
        <v>0</v>
      </c>
      <c r="F79" s="17">
        <f t="shared" si="5"/>
        <v>0</v>
      </c>
      <c r="G79" s="17">
        <f t="shared" si="5"/>
        <v>0</v>
      </c>
      <c r="H79" s="17">
        <f t="shared" si="5"/>
        <v>0</v>
      </c>
      <c r="I79" s="17">
        <f t="shared" si="5"/>
        <v>580615.74227993621</v>
      </c>
      <c r="J79" s="45">
        <f t="shared" si="6"/>
        <v>580615.74227993621</v>
      </c>
      <c r="L79" s="33" t="str">
        <f ca="1">'2.1 Capex Real Dollars'!L79</f>
        <v>On-going Major Capital Maintenance</v>
      </c>
      <c r="M79" s="33" t="str">
        <f ca="1">IF(L79="","",'1.0 Data'!$B$9)</f>
        <v>nominal</v>
      </c>
      <c r="N79" s="33" t="str">
        <f ca="1">'2.1 Capex Real Dollars'!N79</f>
        <v>Transmission Assets</v>
      </c>
      <c r="O79" s="33" t="str">
        <f ca="1">'2.1 Capex Real Dollars'!O79</f>
        <v>Replacement expenditure</v>
      </c>
      <c r="P79" s="33"/>
      <c r="Q79" s="6">
        <f ca="1">'2.1 Capex Real Dollars'!Q79/'1.1 Input'!I$13</f>
        <v>170610</v>
      </c>
      <c r="R79" s="6">
        <f ca="1">'2.1 Capex Real Dollars'!R79/'1.1 Input'!J$13</f>
        <v>176103.64199999999</v>
      </c>
      <c r="S79" s="6">
        <f ca="1">'2.1 Capex Real Dollars'!S79/'1.1 Input'!K$13</f>
        <v>181457.1927168</v>
      </c>
      <c r="T79" s="6">
        <f ca="1">'2.1 Capex Real Dollars'!T79/'1.1 Input'!L$13</f>
        <v>186646.86842850046</v>
      </c>
      <c r="U79" s="6">
        <f ca="1">'2.1 Capex Real Dollars'!U79/'1.1 Input'!M$13</f>
        <v>191649.00450238425</v>
      </c>
      <c r="V79" s="45">
        <f t="shared" ca="1" si="7"/>
        <v>906466.70764768473</v>
      </c>
    </row>
    <row r="80" spans="1:22">
      <c r="A80" s="33" t="str" cm="1">
        <f t="array" ref="A80">INDEX(A$9:A$71,MATCH($J80,$J$9:$J$71,0),0)</f>
        <v>Environmental Damage from Landslips</v>
      </c>
      <c r="B80" s="33" t="str" cm="1">
        <f t="array" ref="B80">INDEX(B$9:B$71,MATCH($A80,$A$9:$A$71,0),0)</f>
        <v>nominal</v>
      </c>
      <c r="C80" s="33" t="str" cm="1">
        <f t="array" ref="C80">INDEX(C$9:C$67,MATCH($J80,$J$9:$J$67,0),0)</f>
        <v>Easements</v>
      </c>
      <c r="D80" s="33" t="str" cm="1">
        <f t="array" ref="D80">INDEX(D$9:D$67,MATCH($J80,$J$9:$J$67,0),0)</f>
        <v>Replacement expenditure</v>
      </c>
      <c r="E80" s="17">
        <f t="shared" si="5"/>
        <v>0</v>
      </c>
      <c r="F80" s="17">
        <f t="shared" si="5"/>
        <v>0</v>
      </c>
      <c r="G80" s="17">
        <f t="shared" si="5"/>
        <v>0</v>
      </c>
      <c r="H80" s="17">
        <f t="shared" si="5"/>
        <v>165000</v>
      </c>
      <c r="I80" s="17">
        <f t="shared" si="5"/>
        <v>282015.62057963602</v>
      </c>
      <c r="J80" s="45">
        <f t="shared" si="6"/>
        <v>447015.62057963602</v>
      </c>
      <c r="L80" s="33" t="str">
        <f ca="1">'2.1 Capex Real Dollars'!L80</f>
        <v>IGBT Water Cooling System Midlife Refurbishment</v>
      </c>
      <c r="M80" s="33" t="str">
        <f ca="1">IF(L80="","",'1.0 Data'!$B$9)</f>
        <v>nominal</v>
      </c>
      <c r="N80" s="33" t="str">
        <f ca="1">'2.1 Capex Real Dollars'!N80</f>
        <v>Transmission Assets</v>
      </c>
      <c r="O80" s="33" t="str">
        <f ca="1">'2.1 Capex Real Dollars'!O80</f>
        <v>Replacement expenditure</v>
      </c>
      <c r="P80" s="33"/>
      <c r="Q80" s="6">
        <f ca="1">'2.1 Capex Real Dollars'!Q80/'1.1 Input'!I$13</f>
        <v>68244</v>
      </c>
      <c r="R80" s="6">
        <f ca="1">'2.1 Capex Real Dollars'!R80/'1.1 Input'!J$13</f>
        <v>70441.4568</v>
      </c>
      <c r="S80" s="6">
        <f ca="1">'2.1 Capex Real Dollars'!S80/'1.1 Input'!K$13</f>
        <v>164037.30221598721</v>
      </c>
      <c r="T80" s="6">
        <f ca="1">'2.1 Capex Real Dollars'!T80/'1.1 Input'!L$13</f>
        <v>522611.23159980134</v>
      </c>
      <c r="U80" s="6">
        <f ca="1">'2.1 Capex Real Dollars'!U80/'1.1 Input'!M$13</f>
        <v>76659.601800953707</v>
      </c>
      <c r="V80" s="45">
        <f t="shared" ca="1" si="7"/>
        <v>901993.59241674223</v>
      </c>
    </row>
    <row r="81" spans="1:22">
      <c r="A81" s="33" t="str" cm="1">
        <f t="array" ref="A81">INDEX(A$9:A$71,MATCH($J81,$J$9:$J$71,0),0)</f>
        <v>Cable Modification (Transitions) (21-25)</v>
      </c>
      <c r="B81" s="33" t="str" cm="1">
        <f t="array" ref="B81">INDEX(B$9:B$71,MATCH($A81,$A$9:$A$71,0),0)</f>
        <v>nominal</v>
      </c>
      <c r="C81" s="33" t="str" cm="1">
        <f t="array" ref="C81">INDEX(C$9:C$67,MATCH($J81,$J$9:$J$67,0),0)</f>
        <v>Transmission Assets</v>
      </c>
      <c r="D81" s="33" t="str" cm="1">
        <f t="array" ref="D81">INDEX(D$9:D$67,MATCH($J81,$J$9:$J$67,0),0)</f>
        <v>Replacement expenditure</v>
      </c>
      <c r="E81" s="17">
        <f t="shared" si="5"/>
        <v>0</v>
      </c>
      <c r="F81" s="17">
        <f t="shared" si="5"/>
        <v>0</v>
      </c>
      <c r="G81" s="17">
        <f t="shared" si="5"/>
        <v>0</v>
      </c>
      <c r="H81" s="17">
        <f t="shared" si="5"/>
        <v>0</v>
      </c>
      <c r="I81" s="17">
        <f t="shared" si="5"/>
        <v>407389.84554660309</v>
      </c>
      <c r="J81" s="45">
        <f t="shared" si="6"/>
        <v>407389.84554660309</v>
      </c>
      <c r="L81" s="33" t="str">
        <f ca="1">'2.1 Capex Real Dollars'!L81</f>
        <v>Fire System Upgrades (2026-30)</v>
      </c>
      <c r="M81" s="33" t="str">
        <f ca="1">IF(L81="","",'1.0 Data'!$B$9)</f>
        <v>nominal</v>
      </c>
      <c r="N81" s="33" t="str">
        <f ca="1">'2.1 Capex Real Dollars'!N81</f>
        <v>Transmission Assets</v>
      </c>
      <c r="O81" s="33" t="str">
        <f ca="1">'2.1 Capex Real Dollars'!O81</f>
        <v>Replacement expenditure</v>
      </c>
      <c r="P81" s="33"/>
      <c r="Q81" s="6">
        <f ca="1">'2.1 Capex Real Dollars'!Q81/'1.1 Input'!I$13</f>
        <v>0</v>
      </c>
      <c r="R81" s="6">
        <f ca="1">'2.1 Capex Real Dollars'!R81/'1.1 Input'!J$13</f>
        <v>0</v>
      </c>
      <c r="S81" s="6">
        <f ca="1">'2.1 Capex Real Dollars'!S81/'1.1 Input'!K$13</f>
        <v>228636.06282316803</v>
      </c>
      <c r="T81" s="6">
        <f ca="1">'2.1 Capex Real Dollars'!T81/'1.1 Input'!L$13</f>
        <v>235175.05421991061</v>
      </c>
      <c r="U81" s="6">
        <f ca="1">'2.1 Capex Real Dollars'!U81/'1.1 Input'!M$13</f>
        <v>241477.74567300419</v>
      </c>
      <c r="V81" s="45">
        <f t="shared" ca="1" si="7"/>
        <v>705288.86271608283</v>
      </c>
    </row>
    <row r="82" spans="1:22">
      <c r="A82" s="33" t="str" cm="1">
        <f t="array" ref="A82">INDEX(A$9:A$71,MATCH($J82,$J$9:$J$71,0),0)</f>
        <v>Dlink UPS system upgrade work</v>
      </c>
      <c r="B82" s="33" t="str" cm="1">
        <f t="array" ref="B82">INDEX(B$9:B$71,MATCH($A82,$A$9:$A$71,0),0)</f>
        <v>nominal</v>
      </c>
      <c r="C82" s="33" t="str" cm="1">
        <f t="array" ref="C82">INDEX(C$9:C$67,MATCH($J82,$J$9:$J$67,0),0)</f>
        <v>Transmission Assets</v>
      </c>
      <c r="D82" s="33" t="str" cm="1">
        <f t="array" ref="D82">INDEX(D$9:D$67,MATCH($J82,$J$9:$J$67,0),0)</f>
        <v>Replacement expenditure</v>
      </c>
      <c r="E82" s="17">
        <f t="shared" ref="E82:I89" si="8">SUMIF($A$9:$A$67,$A82,E$9:E$67)</f>
        <v>22975.62</v>
      </c>
      <c r="F82" s="17">
        <f t="shared" si="8"/>
        <v>134564.15</v>
      </c>
      <c r="G82" s="17">
        <f t="shared" si="8"/>
        <v>230007.34999999998</v>
      </c>
      <c r="H82" s="17">
        <f t="shared" si="8"/>
        <v>0</v>
      </c>
      <c r="I82" s="17">
        <f t="shared" si="8"/>
        <v>0</v>
      </c>
      <c r="J82" s="45">
        <f t="shared" si="6"/>
        <v>387547.12</v>
      </c>
      <c r="L82" s="33" t="str">
        <f ca="1">'2.1 Capex Real Dollars'!L82</f>
        <v>Cooling Tower Fans</v>
      </c>
      <c r="M82" s="33" t="str">
        <f ca="1">IF(L82="","",'1.0 Data'!$B$9)</f>
        <v>nominal</v>
      </c>
      <c r="N82" s="33" t="str">
        <f ca="1">'2.1 Capex Real Dollars'!N82</f>
        <v>Transmission Assets</v>
      </c>
      <c r="O82" s="33" t="str">
        <f ca="1">'2.1 Capex Real Dollars'!O82</f>
        <v>Replacement expenditure</v>
      </c>
      <c r="P82" s="33"/>
      <c r="Q82" s="6">
        <f ca="1">'2.1 Capex Real Dollars'!Q82/'1.1 Input'!I$13</f>
        <v>119179.05171232164</v>
      </c>
      <c r="R82" s="6">
        <f ca="1">'2.1 Capex Real Dollars'!R82/'1.1 Input'!J$13</f>
        <v>124357.03941450533</v>
      </c>
      <c r="S82" s="6">
        <f ca="1">'2.1 Capex Real Dollars'!S82/'1.1 Input'!K$13</f>
        <v>129292.83161679837</v>
      </c>
      <c r="T82" s="6">
        <f ca="1">'2.1 Capex Real Dollars'!T82/'1.1 Input'!L$13</f>
        <v>134559.23023524773</v>
      </c>
      <c r="U82" s="6">
        <f ca="1">'2.1 Capex Real Dollars'!U82/'1.1 Input'!M$13</f>
        <v>140002.96098662246</v>
      </c>
      <c r="V82" s="45">
        <f t="shared" ref="V82:V89" ca="1" si="9">SUM(Q82:U82)</f>
        <v>647391.11396549561</v>
      </c>
    </row>
    <row r="83" spans="1:22">
      <c r="A83" s="33" t="str" cm="1">
        <f t="array" ref="A83">INDEX(A$9:A$71,MATCH($J83,$J$9:$J$71,0),0)</f>
        <v xml:space="preserve">Cyber Security 
</v>
      </c>
      <c r="B83" s="33" t="str" cm="1">
        <f t="array" ref="B83">INDEX(B$9:B$71,MATCH($A83,$A$9:$A$71,0),0)</f>
        <v>nominal</v>
      </c>
      <c r="C83" s="33" t="str" cm="1">
        <f t="array" ref="C83">INDEX(C$9:C$67,MATCH($J83,$J$9:$J$67,0),0)</f>
        <v>Transmission Assets</v>
      </c>
      <c r="D83" s="33" t="str" cm="1">
        <f t="array" ref="D83">INDEX(D$9:D$67,MATCH($J83,$J$9:$J$67,0),0)</f>
        <v>Replacement expenditure</v>
      </c>
      <c r="E83" s="17">
        <f t="shared" si="8"/>
        <v>81198.649999999994</v>
      </c>
      <c r="F83" s="17">
        <f t="shared" si="8"/>
        <v>270454.78999999998</v>
      </c>
      <c r="G83" s="17">
        <f t="shared" si="8"/>
        <v>0</v>
      </c>
      <c r="H83" s="17">
        <f t="shared" si="8"/>
        <v>0</v>
      </c>
      <c r="I83" s="17">
        <f t="shared" si="8"/>
        <v>0</v>
      </c>
      <c r="J83" s="45">
        <f t="shared" si="6"/>
        <v>351653.43999999994</v>
      </c>
      <c r="L83" s="33" t="str">
        <f ca="1">'2.1 Capex Real Dollars'!L83</f>
        <v>Cable Modification (Transitions) (26-30)</v>
      </c>
      <c r="M83" s="33" t="str">
        <f ca="1">IF(L83="","",'1.0 Data'!$B$9)</f>
        <v>nominal</v>
      </c>
      <c r="N83" s="33" t="str">
        <f ca="1">'2.1 Capex Real Dollars'!N83</f>
        <v>Transmission Assets</v>
      </c>
      <c r="O83" s="33" t="str">
        <f ca="1">'2.1 Capex Real Dollars'!O83</f>
        <v>Replacement expenditure</v>
      </c>
      <c r="P83" s="33"/>
      <c r="Q83" s="6">
        <f ca="1">'2.1 Capex Real Dollars'!Q83/'1.1 Input'!I$13</f>
        <v>545952</v>
      </c>
      <c r="R83" s="6">
        <f ca="1">'2.1 Capex Real Dollars'!R83/'1.1 Input'!J$13</f>
        <v>0</v>
      </c>
      <c r="S83" s="6">
        <f ca="1">'2.1 Capex Real Dollars'!S83/'1.1 Input'!K$13</f>
        <v>0</v>
      </c>
      <c r="T83" s="6">
        <f ca="1">'2.1 Capex Real Dollars'!T83/'1.1 Input'!L$13</f>
        <v>0</v>
      </c>
      <c r="U83" s="6">
        <f ca="1">'2.1 Capex Real Dollars'!U83/'1.1 Input'!M$13</f>
        <v>0</v>
      </c>
      <c r="V83" s="45">
        <f t="shared" ca="1" si="9"/>
        <v>545952</v>
      </c>
    </row>
    <row r="84" spans="1:22">
      <c r="A84" s="33" t="str" cm="1">
        <f t="array" ref="A84">INDEX(A$9:A$71,MATCH($J84,$J$9:$J$71,0),0)</f>
        <v>Directlink SCADA Upgrade</v>
      </c>
      <c r="B84" s="33" t="str" cm="1">
        <f t="array" ref="B84">INDEX(B$9:B$71,MATCH($A84,$A$9:$A$71,0),0)</f>
        <v>nominal</v>
      </c>
      <c r="C84" s="33" t="str" cm="1">
        <f t="array" ref="C84">INDEX(C$9:C$67,MATCH($J84,$J$9:$J$67,0),0)</f>
        <v>Transmission Assets</v>
      </c>
      <c r="D84" s="33" t="str" cm="1">
        <f t="array" ref="D84">INDEX(D$9:D$67,MATCH($J84,$J$9:$J$67,0),0)</f>
        <v>Replacement expenditure</v>
      </c>
      <c r="E84" s="17">
        <f t="shared" si="8"/>
        <v>0</v>
      </c>
      <c r="F84" s="17">
        <f t="shared" si="8"/>
        <v>0</v>
      </c>
      <c r="G84" s="17">
        <f t="shared" si="8"/>
        <v>284625</v>
      </c>
      <c r="H84" s="17">
        <f t="shared" si="8"/>
        <v>0</v>
      </c>
      <c r="I84" s="17">
        <f t="shared" si="8"/>
        <v>0</v>
      </c>
      <c r="J84" s="45">
        <f t="shared" si="6"/>
        <v>284625</v>
      </c>
      <c r="L84" s="33" t="str">
        <f ca="1">'2.1 Capex Real Dollars'!L84</f>
        <v>DC disconnectors</v>
      </c>
      <c r="M84" s="33" t="str">
        <f ca="1">IF(L84="","",'1.0 Data'!$B$9)</f>
        <v>nominal</v>
      </c>
      <c r="N84" s="33" t="str">
        <f ca="1">'2.1 Capex Real Dollars'!N84</f>
        <v>Transmission Assets</v>
      </c>
      <c r="O84" s="33" t="str">
        <f ca="1">'2.1 Capex Real Dollars'!O84</f>
        <v>Replacement expenditure</v>
      </c>
      <c r="P84" s="33"/>
      <c r="Q84" s="6">
        <f ca="1">'2.1 Capex Real Dollars'!Q84/'1.1 Input'!I$13</f>
        <v>446656.98000000016</v>
      </c>
      <c r="R84" s="6">
        <f ca="1">'2.1 Capex Real Dollars'!R84/'1.1 Input'!J$13</f>
        <v>0</v>
      </c>
      <c r="S84" s="6">
        <f ca="1">'2.1 Capex Real Dollars'!S84/'1.1 Input'!K$13</f>
        <v>0</v>
      </c>
      <c r="T84" s="6">
        <f ca="1">'2.1 Capex Real Dollars'!T84/'1.1 Input'!L$13</f>
        <v>0</v>
      </c>
      <c r="U84" s="6">
        <f ca="1">'2.1 Capex Real Dollars'!U84/'1.1 Input'!M$13</f>
        <v>0</v>
      </c>
      <c r="V84" s="45">
        <f t="shared" ca="1" si="9"/>
        <v>446656.98000000016</v>
      </c>
    </row>
    <row r="85" spans="1:22">
      <c r="A85" s="33" t="str" cm="1">
        <f t="array" ref="A85">INDEX(A$9:A$71,MATCH($J85,$J$9:$J$71,0),0)</f>
        <v>Asset Integration - CMMS Uplift (Placeholder)</v>
      </c>
      <c r="B85" s="33" t="str" cm="1">
        <f t="array" ref="B85">INDEX(B$9:B$71,MATCH($A85,$A$9:$A$71,0),0)</f>
        <v>nominal</v>
      </c>
      <c r="C85" s="33" t="str" cm="1">
        <f t="array" ref="C85">INDEX(C$9:C$67,MATCH($J85,$J$9:$J$67,0),0)</f>
        <v>Transmission Assets</v>
      </c>
      <c r="D85" s="33" t="str" cm="1">
        <f t="array" ref="D85">INDEX(D$9:D$67,MATCH($J85,$J$9:$J$67,0),0)</f>
        <v>Replacement expenditure</v>
      </c>
      <c r="E85" s="17">
        <f t="shared" si="8"/>
        <v>0</v>
      </c>
      <c r="F85" s="17">
        <f t="shared" si="8"/>
        <v>0</v>
      </c>
      <c r="G85" s="17">
        <f t="shared" si="8"/>
        <v>0</v>
      </c>
      <c r="H85" s="17">
        <f t="shared" si="8"/>
        <v>0</v>
      </c>
      <c r="I85" s="17">
        <f t="shared" si="8"/>
        <v>244433.90732796188</v>
      </c>
      <c r="J85" s="45">
        <f t="shared" si="6"/>
        <v>244433.90732796188</v>
      </c>
      <c r="L85" s="33" t="str">
        <f ca="1">'2.1 Capex Real Dollars'!L85</f>
        <v>Asset Integration - CMMS Uplift (Placeholder)</v>
      </c>
      <c r="M85" s="33" t="str">
        <f ca="1">IF(L85="","",'1.0 Data'!$B$9)</f>
        <v>nominal</v>
      </c>
      <c r="N85" s="33" t="str">
        <f ca="1">'2.1 Capex Real Dollars'!N85</f>
        <v>Transmission Assets</v>
      </c>
      <c r="O85" s="33" t="str">
        <f ca="1">'2.1 Capex Real Dollars'!O85</f>
        <v>Replacement expenditure</v>
      </c>
      <c r="P85" s="33"/>
      <c r="Q85" s="6">
        <f ca="1">'2.1 Capex Real Dollars'!Q85/'1.1 Input'!I$13</f>
        <v>272976</v>
      </c>
      <c r="R85" s="6">
        <f ca="1">'2.1 Capex Real Dollars'!R85/'1.1 Input'!J$13</f>
        <v>140882.9136</v>
      </c>
      <c r="S85" s="6">
        <f ca="1">'2.1 Capex Real Dollars'!S85/'1.1 Input'!K$13</f>
        <v>0</v>
      </c>
      <c r="T85" s="6">
        <f ca="1">'2.1 Capex Real Dollars'!T85/'1.1 Input'!L$13</f>
        <v>0</v>
      </c>
      <c r="U85" s="6">
        <f ca="1">'2.1 Capex Real Dollars'!U85/'1.1 Input'!M$13</f>
        <v>0</v>
      </c>
      <c r="V85" s="45">
        <f t="shared" ca="1" si="9"/>
        <v>413858.91359999997</v>
      </c>
    </row>
    <row r="86" spans="1:22">
      <c r="A86" s="33" t="str" cm="1">
        <f t="array" ref="A86">INDEX(A$9:A$71,MATCH($J86,$J$9:$J$71,0),0)</f>
        <v>Barn Door Replacement</v>
      </c>
      <c r="B86" s="33" t="str" cm="1">
        <f t="array" ref="B86">INDEX(B$9:B$71,MATCH($A86,$A$9:$A$71,0),0)</f>
        <v>nominal</v>
      </c>
      <c r="C86" s="33" t="str" cm="1">
        <f t="array" ref="C86">INDEX(C$9:C$67,MATCH($J86,$J$9:$J$67,0),0)</f>
        <v>Buildings</v>
      </c>
      <c r="D86" s="33" t="str" cm="1">
        <f t="array" ref="D86">INDEX(D$9:D$67,MATCH($J86,$J$9:$J$67,0),0)</f>
        <v>Replacement expenditure</v>
      </c>
      <c r="E86" s="17">
        <f t="shared" si="8"/>
        <v>0</v>
      </c>
      <c r="F86" s="17">
        <f t="shared" si="8"/>
        <v>0</v>
      </c>
      <c r="G86" s="17">
        <f t="shared" si="8"/>
        <v>0</v>
      </c>
      <c r="H86" s="17">
        <f t="shared" si="8"/>
        <v>0</v>
      </c>
      <c r="I86" s="17">
        <f t="shared" si="8"/>
        <v>201657.97354556853</v>
      </c>
      <c r="J86" s="45">
        <f t="shared" si="6"/>
        <v>201657.97354556853</v>
      </c>
      <c r="L86" s="33" t="str">
        <f ca="1">'2.1 Capex Real Dollars'!L86</f>
        <v>Operations Asset Integration</v>
      </c>
      <c r="M86" s="33" t="str">
        <f ca="1">IF(L86="","",'1.0 Data'!$B$9)</f>
        <v>nominal</v>
      </c>
      <c r="N86" s="33" t="str">
        <f ca="1">'2.1 Capex Real Dollars'!N86</f>
        <v>Transmission Assets</v>
      </c>
      <c r="O86" s="33" t="str">
        <f ca="1">'2.1 Capex Real Dollars'!O86</f>
        <v>Replacement expenditure</v>
      </c>
      <c r="P86" s="33"/>
      <c r="Q86" s="6">
        <f ca="1">'2.1 Capex Real Dollars'!Q86/'1.1 Input'!I$13</f>
        <v>92811.839999999997</v>
      </c>
      <c r="R86" s="6">
        <f ca="1">'2.1 Capex Real Dollars'!R86/'1.1 Input'!J$13</f>
        <v>95800.381248000005</v>
      </c>
      <c r="S86" s="6">
        <f ca="1">'2.1 Capex Real Dollars'!S86/'1.1 Input'!K$13</f>
        <v>98712.712837939194</v>
      </c>
      <c r="T86" s="6">
        <f ca="1">'2.1 Capex Real Dollars'!T86/'1.1 Input'!L$13</f>
        <v>101535.89642510425</v>
      </c>
      <c r="U86" s="6">
        <f ca="1">'2.1 Capex Real Dollars'!U86/'1.1 Input'!M$13</f>
        <v>0</v>
      </c>
      <c r="V86" s="45">
        <f t="shared" ca="1" si="9"/>
        <v>388860.83051104343</v>
      </c>
    </row>
    <row r="87" spans="1:22">
      <c r="A87" s="33" t="str" cm="1">
        <f t="array" ref="A87">INDEX(A$9:A$71,MATCH($J87,$J$9:$J$71,0),0)</f>
        <v>Environmental Damage from Landslips (Emergency Works)</v>
      </c>
      <c r="B87" s="33"/>
      <c r="C87" s="33" t="str" cm="1">
        <f t="array" ref="C87">INDEX(C$9:C$67,MATCH($J87,$J$9:$J$67,0),0)</f>
        <v>Easements</v>
      </c>
      <c r="D87" s="33" t="str" cm="1">
        <f t="array" ref="D87">INDEX(D$9:D$67,MATCH($J87,$J$9:$J$67,0),0)</f>
        <v>Replacement expenditure</v>
      </c>
      <c r="E87" s="17">
        <f t="shared" si="8"/>
        <v>0</v>
      </c>
      <c r="F87" s="17">
        <f t="shared" si="8"/>
        <v>0</v>
      </c>
      <c r="G87" s="17">
        <f t="shared" si="8"/>
        <v>0</v>
      </c>
      <c r="H87" s="17">
        <f t="shared" si="8"/>
        <v>175780</v>
      </c>
      <c r="I87" s="17">
        <f t="shared" si="8"/>
        <v>0</v>
      </c>
      <c r="J87" s="45">
        <f t="shared" si="6"/>
        <v>175780</v>
      </c>
      <c r="L87" s="33" t="str">
        <f ca="1">'2.1 Capex Real Dollars'!L87</f>
        <v>Cable Tray Install and Cable Relocation</v>
      </c>
      <c r="M87" s="33" t="str">
        <f ca="1">IF(L87="","",'1.0 Data'!$B$9)</f>
        <v>nominal</v>
      </c>
      <c r="N87" s="33" t="str">
        <f ca="1">'2.1 Capex Real Dollars'!N87</f>
        <v>Transmission Assets</v>
      </c>
      <c r="O87" s="33" t="str">
        <f ca="1">'2.1 Capex Real Dollars'!O87</f>
        <v>Replacement expenditure</v>
      </c>
      <c r="P87" s="33"/>
      <c r="Q87" s="6">
        <f ca="1">'2.1 Capex Real Dollars'!Q87/'1.1 Input'!I$13</f>
        <v>0</v>
      </c>
      <c r="R87" s="6">
        <f ca="1">'2.1 Capex Real Dollars'!R87/'1.1 Input'!J$13</f>
        <v>352207.28399999999</v>
      </c>
      <c r="S87" s="6">
        <f ca="1">'2.1 Capex Real Dollars'!S87/'1.1 Input'!K$13</f>
        <v>0</v>
      </c>
      <c r="T87" s="6">
        <f ca="1">'2.1 Capex Real Dollars'!T87/'1.1 Input'!L$13</f>
        <v>0</v>
      </c>
      <c r="U87" s="6">
        <f ca="1">'2.1 Capex Real Dollars'!U87/'1.1 Input'!M$13</f>
        <v>0</v>
      </c>
      <c r="V87" s="45">
        <f t="shared" ca="1" si="9"/>
        <v>352207.28399999999</v>
      </c>
    </row>
    <row r="88" spans="1:22">
      <c r="A88" s="33" t="str" cm="1">
        <f t="array" ref="A88">INDEX(A$9:A$71,MATCH($J88,$J$9:$J$71,0),0)</f>
        <v>Hi Pot Tester / Thumper Replacement</v>
      </c>
      <c r="B88" s="33" t="str" cm="1">
        <f t="array" ref="B88">INDEX(B$9:B$71,MATCH($A88,$A$9:$A$71,0),0)</f>
        <v>nominal</v>
      </c>
      <c r="C88" s="33" t="str" cm="1">
        <f t="array" ref="C88">INDEX(C$9:C$67,MATCH($J88,$J$9:$J$67,0),0)</f>
        <v>Transmission Assets</v>
      </c>
      <c r="D88" s="33" t="str" cm="1">
        <f t="array" ref="D88">INDEX(D$9:D$67,MATCH($J88,$J$9:$J$67,0),0)</f>
        <v>Replacement expenditure</v>
      </c>
      <c r="E88" s="17">
        <f t="shared" si="8"/>
        <v>0</v>
      </c>
      <c r="F88" s="17">
        <f t="shared" si="8"/>
        <v>150628.5</v>
      </c>
      <c r="G88" s="17">
        <f t="shared" si="8"/>
        <v>0</v>
      </c>
      <c r="H88" s="17">
        <f t="shared" si="8"/>
        <v>0</v>
      </c>
      <c r="I88" s="17">
        <f t="shared" si="8"/>
        <v>0</v>
      </c>
      <c r="J88" s="45">
        <f t="shared" si="6"/>
        <v>150628.5</v>
      </c>
      <c r="L88" s="33" t="str">
        <f ca="1">'2.1 Capex Real Dollars'!L88</f>
        <v>Bungalora Storage Facilities</v>
      </c>
      <c r="M88" s="33" t="str">
        <f ca="1">IF(L88="","",'1.0 Data'!$B$9)</f>
        <v>nominal</v>
      </c>
      <c r="N88" s="33" t="str">
        <f ca="1">'2.1 Capex Real Dollars'!N88</f>
        <v>Buildings</v>
      </c>
      <c r="O88" s="33" t="str">
        <f ca="1">'2.1 Capex Real Dollars'!O88</f>
        <v>Replacement expenditure</v>
      </c>
      <c r="P88" s="33"/>
      <c r="Q88" s="6">
        <f ca="1">'2.1 Capex Real Dollars'!Q88/'1.1 Input'!I$13</f>
        <v>337807.8</v>
      </c>
      <c r="R88" s="6">
        <f ca="1">'2.1 Capex Real Dollars'!R88/'1.1 Input'!J$13</f>
        <v>0</v>
      </c>
      <c r="S88" s="6">
        <f ca="1">'2.1 Capex Real Dollars'!S88/'1.1 Input'!K$13</f>
        <v>0</v>
      </c>
      <c r="T88" s="6">
        <f ca="1">'2.1 Capex Real Dollars'!T88/'1.1 Input'!L$13</f>
        <v>0</v>
      </c>
      <c r="U88" s="6">
        <f ca="1">'2.1 Capex Real Dollars'!U88/'1.1 Input'!M$13</f>
        <v>0</v>
      </c>
      <c r="V88" s="45">
        <f t="shared" ca="1" si="9"/>
        <v>337807.8</v>
      </c>
    </row>
    <row r="89" spans="1:22">
      <c r="A89" s="33" t="str" cm="1">
        <f t="array" ref="A89">INDEX(A$9:A$71,MATCH($J89,$J$9:$J$71,0),0)</f>
        <v xml:space="preserve">Capacitors </v>
      </c>
      <c r="B89" s="33" t="str" cm="1">
        <f t="array" ref="B89">INDEX(B$9:B$71,MATCH($A89,$A$9:$A$71,0),0)</f>
        <v>nominal</v>
      </c>
      <c r="C89" s="33" t="str" cm="1">
        <f t="array" ref="C89">INDEX(C$9:C$67,MATCH($J89,$J$9:$J$67,0),0)</f>
        <v>Transmission Assets</v>
      </c>
      <c r="D89" s="33" t="str" cm="1">
        <f t="array" ref="D89">INDEX(D$9:D$67,MATCH($J89,$J$9:$J$67,0),0)</f>
        <v>Replacement expenditure</v>
      </c>
      <c r="E89" s="17">
        <f t="shared" si="8"/>
        <v>134074.49900000001</v>
      </c>
      <c r="F89" s="17">
        <f t="shared" si="8"/>
        <v>-3809.8400000000074</v>
      </c>
      <c r="G89" s="17">
        <f t="shared" si="8"/>
        <v>0</v>
      </c>
      <c r="H89" s="17">
        <f t="shared" si="8"/>
        <v>0</v>
      </c>
      <c r="I89" s="17">
        <f t="shared" si="8"/>
        <v>0</v>
      </c>
      <c r="J89" s="45">
        <f t="shared" si="6"/>
        <v>130264.659</v>
      </c>
      <c r="L89" s="33" t="str">
        <f ca="1">'2.1 Capex Real Dollars'!L89</f>
        <v>Transmission Determination cost</v>
      </c>
      <c r="M89" s="33" t="str">
        <f ca="1">IF(L89="","",'1.0 Data'!$B$9)</f>
        <v>nominal</v>
      </c>
      <c r="N89" s="33" t="str">
        <f ca="1">'2.1 Capex Real Dollars'!N89</f>
        <v>Transmission Determination Costs</v>
      </c>
      <c r="O89" s="33" t="str">
        <f ca="1">'2.1 Capex Real Dollars'!O89</f>
        <v>Replacement expenditure</v>
      </c>
      <c r="P89" s="33"/>
      <c r="Q89" s="6">
        <f ca="1">'2.1 Capex Real Dollars'!Q89/'1.1 Input'!I$13</f>
        <v>0</v>
      </c>
      <c r="R89" s="6">
        <f ca="1">'2.1 Capex Real Dollars'!R89/'1.1 Input'!J$13</f>
        <v>0</v>
      </c>
      <c r="S89" s="6">
        <f ca="1">'2.1 Capex Real Dollars'!S89/'1.1 Input'!K$13</f>
        <v>0</v>
      </c>
      <c r="T89" s="6">
        <f ca="1">'2.1 Capex Real Dollars'!T89/'1.1 Input'!L$13</f>
        <v>160148.66907736336</v>
      </c>
      <c r="U89" s="6">
        <f ca="1">'2.1 Capex Real Dollars'!U89/'1.1 Input'!M$13</f>
        <v>164440.65340863669</v>
      </c>
      <c r="V89" s="45">
        <f t="shared" ca="1" si="9"/>
        <v>324589.32248600002</v>
      </c>
    </row>
    <row r="91" spans="1:22" ht="19.5">
      <c r="A91" s="2" t="str">
        <f>'2.1 Capex Real Dollars'!A91</f>
        <v>Material Projects</v>
      </c>
      <c r="B91" s="2" t="e">
        <f>IF(A91="","",'1.0 Data'!#REF!)</f>
        <v>#REF!</v>
      </c>
      <c r="C91" s="2"/>
      <c r="D91" s="2"/>
      <c r="E91" s="2"/>
      <c r="F91" s="2"/>
      <c r="G91" s="2"/>
      <c r="H91" s="2"/>
      <c r="I91" s="2"/>
      <c r="J91" s="2"/>
      <c r="K91" s="2"/>
      <c r="L91" s="2" t="str">
        <f>'2.1 Capex Real Dollars'!L91</f>
        <v>Material Projects (&gt;$1.5m)</v>
      </c>
      <c r="M91" s="2"/>
      <c r="N91" s="2"/>
      <c r="O91" s="2"/>
      <c r="P91" s="2"/>
      <c r="Q91" s="2"/>
      <c r="R91" s="2"/>
      <c r="S91" s="2"/>
      <c r="T91" s="2"/>
      <c r="U91" s="2"/>
      <c r="V91" s="2"/>
    </row>
    <row r="92" spans="1:22" ht="16.5">
      <c r="A92" s="4" t="str">
        <f>'2.1 Capex Real Dollars'!A92</f>
        <v>Current Period ($2018 '000)</v>
      </c>
      <c r="B92" s="4" t="e">
        <f>IF(A92="","",'1.0 Data'!#REF!)</f>
        <v>#REF!</v>
      </c>
      <c r="C92" s="4"/>
      <c r="D92" s="4"/>
      <c r="E92" s="4"/>
      <c r="F92" s="4"/>
      <c r="G92" s="4"/>
      <c r="H92" s="4"/>
      <c r="I92" s="4"/>
      <c r="J92" s="4"/>
      <c r="K92" s="4"/>
      <c r="L92" s="4" t="str">
        <f>'2.1 Capex Real Dollars'!L92</f>
        <v>Forecast Period ($FY 2022/23 '000)</v>
      </c>
      <c r="M92" s="4"/>
      <c r="N92" s="4"/>
      <c r="O92" s="4"/>
      <c r="P92" s="4"/>
      <c r="Q92" s="4"/>
      <c r="R92" s="4"/>
      <c r="S92" s="4"/>
      <c r="T92" s="4"/>
      <c r="U92" s="4"/>
      <c r="V92" s="4"/>
    </row>
    <row r="93" spans="1:22">
      <c r="A93" s="3" t="str">
        <f>'2.1 Capex Real Dollars'!A93</f>
        <v>Project</v>
      </c>
      <c r="B93" s="3" t="e">
        <f>IF(A93="","",'1.0 Data'!#REF!)</f>
        <v>#REF!</v>
      </c>
      <c r="C93" s="3" t="str">
        <f>'2.1 Capex Real Dollars'!C93</f>
        <v>Asset Class</v>
      </c>
      <c r="D93" s="3" t="str">
        <f>'2.1 Capex Real Dollars'!D93</f>
        <v>Asset Driver</v>
      </c>
      <c r="E93" s="3" t="str">
        <f>'2.1 Capex Real Dollars'!E93</f>
        <v>2020/21</v>
      </c>
      <c r="F93" s="3" t="str">
        <f>'2.1 Capex Real Dollars'!F93</f>
        <v>2021/22</v>
      </c>
      <c r="G93" s="3" t="str">
        <f>'2.1 Capex Real Dollars'!G93</f>
        <v>2022/23</v>
      </c>
      <c r="H93" s="3" t="str">
        <f>'2.1 Capex Real Dollars'!H93</f>
        <v>2023/24</v>
      </c>
      <c r="I93" s="3" t="str">
        <f>'2.1 Capex Real Dollars'!I93</f>
        <v>2024/25</v>
      </c>
      <c r="J93" s="3" t="str">
        <f>'2.1 Capex Real Dollars'!J93</f>
        <v>Total</v>
      </c>
      <c r="K93" s="3"/>
      <c r="L93" s="3" t="str">
        <f>'2.1 Capex Real Dollars'!L93</f>
        <v>Project</v>
      </c>
      <c r="M93" s="3" t="str">
        <f>'2.1 Capex Real Dollars'!M93</f>
        <v>input</v>
      </c>
      <c r="N93" s="3" t="str">
        <f>'2.1 Capex Real Dollars'!N93</f>
        <v>Asset Class</v>
      </c>
      <c r="O93" s="3" t="str">
        <f>'2.1 Capex Real Dollars'!O93</f>
        <v>Asset Driver</v>
      </c>
      <c r="P93" s="3"/>
      <c r="Q93" s="3" t="str">
        <f>'2.1 Capex Real Dollars'!Q93</f>
        <v>2025/26</v>
      </c>
      <c r="R93" s="3" t="str">
        <f>'2.1 Capex Real Dollars'!R93</f>
        <v>2026/27</v>
      </c>
      <c r="S93" s="3" t="str">
        <f>'2.1 Capex Real Dollars'!S93</f>
        <v>2027/28</v>
      </c>
      <c r="T93" s="3" t="str">
        <f>'2.1 Capex Real Dollars'!T93</f>
        <v>2028/29</v>
      </c>
      <c r="U93" s="3" t="str">
        <f>'2.1 Capex Real Dollars'!U93</f>
        <v>2029/30</v>
      </c>
      <c r="V93" s="3" t="str">
        <f>'2.1 Capex Real Dollars'!V93</f>
        <v>Total</v>
      </c>
    </row>
    <row r="95" spans="1:22">
      <c r="A95" s="33" t="str">
        <f>'2.1 Capex Real Dollars'!A95</f>
        <v>Obsolete IGBTs</v>
      </c>
      <c r="B95" s="33" t="str">
        <f>IF(A95="","",'1.0 Data'!$B$9)</f>
        <v>nominal</v>
      </c>
      <c r="C95" s="33" t="str">
        <f>'2.1 Capex Real Dollars'!C95</f>
        <v>Transmission Assets</v>
      </c>
      <c r="D95" s="33" t="str">
        <f>'2.1 Capex Real Dollars'!D95</f>
        <v>Replacement expenditure</v>
      </c>
      <c r="E95" s="17">
        <f t="shared" ref="E95:I99" si="10">SUMIF($A$9:$A$67,$A95,E$9:E$67)</f>
        <v>0</v>
      </c>
      <c r="F95" s="17">
        <f t="shared" si="10"/>
        <v>1134292.44</v>
      </c>
      <c r="G95" s="17">
        <f t="shared" si="10"/>
        <v>6135826.3900000006</v>
      </c>
      <c r="H95" s="17">
        <f t="shared" si="10"/>
        <v>10277834.600000001</v>
      </c>
      <c r="I95" s="17">
        <f t="shared" si="10"/>
        <v>1438086.1547795087</v>
      </c>
      <c r="J95" s="45">
        <f>SUM(E95:I95)</f>
        <v>18986039.584779508</v>
      </c>
      <c r="L95" s="33" t="str">
        <f ca="1">'2.1 Capex Real Dollars'!L95</f>
        <v>Spares Management</v>
      </c>
      <c r="M95" s="33" t="str">
        <f ca="1">IF(L95="","",'1.0 Data'!$B$9)</f>
        <v>nominal</v>
      </c>
      <c r="N95" s="33" t="str">
        <f ca="1">'2.1 Capex Real Dollars'!N95</f>
        <v>Transmission Assets</v>
      </c>
      <c r="O95" s="33" t="str">
        <f ca="1">'2.1 Capex Real Dollars'!O95</f>
        <v>Replacement expenditure</v>
      </c>
      <c r="P95" s="33"/>
      <c r="Q95" s="6">
        <f t="shared" ref="Q95:U104" ca="1" si="11">IF($L95="",0,Q72)</f>
        <v>1836136.7809400002</v>
      </c>
      <c r="R95" s="6">
        <f t="shared" ca="1" si="11"/>
        <v>1255720.0509505083</v>
      </c>
      <c r="S95" s="6">
        <f t="shared" ca="1" si="11"/>
        <v>1806500.8322074187</v>
      </c>
      <c r="T95" s="6">
        <f t="shared" ca="1" si="11"/>
        <v>1693917.5117914705</v>
      </c>
      <c r="U95" s="6">
        <f t="shared" ca="1" si="11"/>
        <v>6977850.3066656999</v>
      </c>
      <c r="V95" s="45">
        <f ca="1">SUM(Q95:U95)</f>
        <v>13570125.482555099</v>
      </c>
    </row>
    <row r="96" spans="1:22">
      <c r="A96" s="33" t="str">
        <f>'2.1 Capex Real Dollars'!A96</f>
        <v>HVDC Spare Cable Order</v>
      </c>
      <c r="B96" s="33" t="str">
        <f>IF(A96="","",'1.0 Data'!$B$9)</f>
        <v>nominal</v>
      </c>
      <c r="C96" s="33" t="str">
        <f>'2.1 Capex Real Dollars'!C96</f>
        <v>Transmission Assets</v>
      </c>
      <c r="D96" s="33" t="str">
        <f>'2.1 Capex Real Dollars'!D96</f>
        <v>Replacement expenditure</v>
      </c>
      <c r="E96" s="17">
        <f t="shared" si="10"/>
        <v>0</v>
      </c>
      <c r="F96" s="17">
        <f t="shared" si="10"/>
        <v>0</v>
      </c>
      <c r="G96" s="17">
        <f t="shared" si="10"/>
        <v>0</v>
      </c>
      <c r="H96" s="17">
        <f t="shared" si="10"/>
        <v>770000.00000000012</v>
      </c>
      <c r="I96" s="17">
        <f t="shared" si="10"/>
        <v>712932.22970655549</v>
      </c>
      <c r="J96" s="45">
        <f>SUM(E96:I96)</f>
        <v>1482932.2297065556</v>
      </c>
      <c r="L96" s="33" t="str">
        <f ca="1">'2.1 Capex Real Dollars'!L96</f>
        <v>IGBT Generation 3 Upgrade</v>
      </c>
      <c r="M96" s="33" t="str">
        <f ca="1">IF(L96="","",'1.0 Data'!$B$9)</f>
        <v>nominal</v>
      </c>
      <c r="N96" s="33" t="str">
        <f ca="1">'2.1 Capex Real Dollars'!N96</f>
        <v>Transmission Assets</v>
      </c>
      <c r="O96" s="33" t="str">
        <f ca="1">'2.1 Capex Real Dollars'!O96</f>
        <v>Replacement expenditure</v>
      </c>
      <c r="P96" s="33"/>
      <c r="Q96" s="6">
        <f t="shared" ca="1" si="11"/>
        <v>6058148.406200001</v>
      </c>
      <c r="R96" s="6">
        <f t="shared" ca="1" si="11"/>
        <v>0</v>
      </c>
      <c r="S96" s="6">
        <f t="shared" ca="1" si="11"/>
        <v>0</v>
      </c>
      <c r="T96" s="6">
        <f t="shared" ca="1" si="11"/>
        <v>0</v>
      </c>
      <c r="U96" s="6">
        <f t="shared" ca="1" si="11"/>
        <v>0</v>
      </c>
      <c r="V96" s="45">
        <f ca="1">SUM(Q96:U96)</f>
        <v>6058148.406200001</v>
      </c>
    </row>
    <row r="97" spans="1:27">
      <c r="A97" s="33" t="str">
        <f>'2.1 Capex Real Dollars'!A97</f>
        <v/>
      </c>
      <c r="B97" s="33" t="str">
        <f>IF(A97="","",'1.0 Data'!$B$9)</f>
        <v/>
      </c>
      <c r="C97" s="33" t="str">
        <f>'2.1 Capex Real Dollars'!C97</f>
        <v/>
      </c>
      <c r="D97" s="33" t="str">
        <f>'2.1 Capex Real Dollars'!D97</f>
        <v/>
      </c>
      <c r="E97" s="17">
        <f t="shared" si="10"/>
        <v>0</v>
      </c>
      <c r="F97" s="17">
        <f t="shared" si="10"/>
        <v>0</v>
      </c>
      <c r="G97" s="17">
        <f t="shared" si="10"/>
        <v>0</v>
      </c>
      <c r="H97" s="17">
        <f t="shared" si="10"/>
        <v>0</v>
      </c>
      <c r="I97" s="17">
        <f t="shared" si="10"/>
        <v>0</v>
      </c>
      <c r="J97" s="45">
        <f>SUM(E97:I97)</f>
        <v>0</v>
      </c>
      <c r="L97" s="33" t="str">
        <f ca="1">'2.1 Capex Real Dollars'!L97</f>
        <v>Physical Site Security and Public Protection - Mullumbimby</v>
      </c>
      <c r="M97" s="33" t="str">
        <f ca="1">IF(L97="","",'1.0 Data'!$B$9)</f>
        <v>nominal</v>
      </c>
      <c r="N97" s="33" t="str">
        <f ca="1">'2.1 Capex Real Dollars'!N97</f>
        <v>Buildings</v>
      </c>
      <c r="O97" s="33" t="str">
        <f ca="1">'2.1 Capex Real Dollars'!O97</f>
        <v>Replacement expenditure</v>
      </c>
      <c r="P97" s="33"/>
      <c r="Q97" s="6">
        <f t="shared" ca="1" si="11"/>
        <v>1487257.8544152684</v>
      </c>
      <c r="R97" s="6">
        <f t="shared" ca="1" si="11"/>
        <v>726272.74424845912</v>
      </c>
      <c r="S97" s="6">
        <f t="shared" ca="1" si="11"/>
        <v>0</v>
      </c>
      <c r="T97" s="6">
        <f t="shared" ca="1" si="11"/>
        <v>0</v>
      </c>
      <c r="U97" s="6">
        <f t="shared" ca="1" si="11"/>
        <v>0</v>
      </c>
      <c r="V97" s="45">
        <f ca="1">SUM(Q97:U97)</f>
        <v>2213530.5986637278</v>
      </c>
    </row>
    <row r="98" spans="1:27">
      <c r="A98" s="33" t="str">
        <f>'2.1 Capex Real Dollars'!A98</f>
        <v/>
      </c>
      <c r="B98" s="33" t="str">
        <f>IF(A98="","",'1.0 Data'!$B$9)</f>
        <v/>
      </c>
      <c r="C98" s="33" t="str">
        <f>'2.1 Capex Real Dollars'!C98</f>
        <v/>
      </c>
      <c r="D98" s="33" t="str">
        <f>'2.1 Capex Real Dollars'!D98</f>
        <v/>
      </c>
      <c r="E98" s="17">
        <f t="shared" si="10"/>
        <v>0</v>
      </c>
      <c r="F98" s="17">
        <f t="shared" si="10"/>
        <v>0</v>
      </c>
      <c r="G98" s="17">
        <f t="shared" si="10"/>
        <v>0</v>
      </c>
      <c r="H98" s="17">
        <f t="shared" si="10"/>
        <v>0</v>
      </c>
      <c r="I98" s="17">
        <f t="shared" si="10"/>
        <v>0</v>
      </c>
      <c r="J98" s="45">
        <f>SUM(E98:I98)</f>
        <v>0</v>
      </c>
      <c r="L98" s="33" t="str">
        <f ca="1">'2.1 Capex Real Dollars'!L98</f>
        <v>Reactor cooling enhancements</v>
      </c>
      <c r="M98" s="33" t="str">
        <f ca="1">IF(L98="","",'1.0 Data'!$B$9)</f>
        <v>nominal</v>
      </c>
      <c r="N98" s="33" t="str">
        <f ca="1">'2.1 Capex Real Dollars'!N98</f>
        <v>Transmission Assets</v>
      </c>
      <c r="O98" s="33" t="str">
        <f ca="1">'2.1 Capex Real Dollars'!O98</f>
        <v>Replacement expenditure</v>
      </c>
      <c r="P98" s="33"/>
      <c r="Q98" s="6">
        <f t="shared" ca="1" si="11"/>
        <v>356233.68</v>
      </c>
      <c r="R98" s="6">
        <f t="shared" ca="1" si="11"/>
        <v>880518.2100000002</v>
      </c>
      <c r="S98" s="6">
        <f t="shared" ca="1" si="11"/>
        <v>907285.96358400013</v>
      </c>
      <c r="T98" s="6">
        <f t="shared" ca="1" si="11"/>
        <v>0</v>
      </c>
      <c r="U98" s="6">
        <f t="shared" ca="1" si="11"/>
        <v>0</v>
      </c>
      <c r="V98" s="45">
        <f t="shared" ref="V98:V104" ca="1" si="12">SUM(Q98:U98)</f>
        <v>2144037.8535840004</v>
      </c>
    </row>
    <row r="99" spans="1:27">
      <c r="A99" s="33" t="str">
        <f>'2.1 Capex Real Dollars'!A99</f>
        <v/>
      </c>
      <c r="B99" s="33" t="str">
        <f>IF(A99="","",'1.0 Data'!$B$9)</f>
        <v/>
      </c>
      <c r="C99" s="33" t="str">
        <f>'2.1 Capex Real Dollars'!C99</f>
        <v/>
      </c>
      <c r="D99" s="33" t="str">
        <f>'2.1 Capex Real Dollars'!D99</f>
        <v/>
      </c>
      <c r="E99" s="17">
        <f t="shared" si="10"/>
        <v>0</v>
      </c>
      <c r="F99" s="17">
        <f t="shared" si="10"/>
        <v>0</v>
      </c>
      <c r="G99" s="17">
        <f t="shared" si="10"/>
        <v>0</v>
      </c>
      <c r="H99" s="17">
        <f t="shared" si="10"/>
        <v>0</v>
      </c>
      <c r="I99" s="17">
        <f t="shared" si="10"/>
        <v>0</v>
      </c>
      <c r="J99" s="45">
        <f>SUM(E99:I99)</f>
        <v>0</v>
      </c>
      <c r="L99" s="33" t="str">
        <f ca="1">'2.1 Capex Real Dollars'!L99</f>
        <v/>
      </c>
      <c r="M99" s="33" t="str">
        <f ca="1">IF(L99="","",'1.0 Data'!$B$9)</f>
        <v/>
      </c>
      <c r="N99" s="33" t="str">
        <f ca="1">'2.1 Capex Real Dollars'!N99</f>
        <v/>
      </c>
      <c r="O99" s="33" t="str">
        <f ca="1">'2.1 Capex Real Dollars'!O99</f>
        <v/>
      </c>
      <c r="P99" s="33"/>
      <c r="Q99" s="6">
        <f t="shared" ca="1" si="11"/>
        <v>0</v>
      </c>
      <c r="R99" s="6">
        <f t="shared" ca="1" si="11"/>
        <v>0</v>
      </c>
      <c r="S99" s="6">
        <f t="shared" ca="1" si="11"/>
        <v>0</v>
      </c>
      <c r="T99" s="6">
        <f t="shared" ca="1" si="11"/>
        <v>0</v>
      </c>
      <c r="U99" s="6">
        <f t="shared" ca="1" si="11"/>
        <v>0</v>
      </c>
      <c r="V99" s="45">
        <f t="shared" ca="1" si="12"/>
        <v>0</v>
      </c>
    </row>
    <row r="100" spans="1:27">
      <c r="A100" s="33"/>
      <c r="B100" s="33"/>
      <c r="C100" s="33"/>
      <c r="D100" s="33"/>
      <c r="E100" s="17"/>
      <c r="F100" s="17"/>
      <c r="G100" s="17"/>
      <c r="H100" s="17"/>
      <c r="I100" s="17"/>
      <c r="J100" s="45"/>
      <c r="L100" s="33" t="str">
        <f ca="1">'2.1 Capex Real Dollars'!L100</f>
        <v/>
      </c>
      <c r="M100" s="33" t="str">
        <f ca="1">IF(L100="","",'1.0 Data'!$B$9)</f>
        <v/>
      </c>
      <c r="N100" s="33" t="str">
        <f ca="1">'2.1 Capex Real Dollars'!N100</f>
        <v/>
      </c>
      <c r="O100" s="33" t="str">
        <f ca="1">'2.1 Capex Real Dollars'!O100</f>
        <v/>
      </c>
      <c r="P100" s="33"/>
      <c r="Q100" s="6">
        <f t="shared" ca="1" si="11"/>
        <v>0</v>
      </c>
      <c r="R100" s="6">
        <f t="shared" ca="1" si="11"/>
        <v>0</v>
      </c>
      <c r="S100" s="6">
        <f t="shared" ca="1" si="11"/>
        <v>0</v>
      </c>
      <c r="T100" s="6">
        <f t="shared" ca="1" si="11"/>
        <v>0</v>
      </c>
      <c r="U100" s="6">
        <f t="shared" ca="1" si="11"/>
        <v>0</v>
      </c>
      <c r="V100" s="45">
        <f t="shared" ca="1" si="12"/>
        <v>0</v>
      </c>
    </row>
    <row r="101" spans="1:27">
      <c r="A101" s="33"/>
      <c r="B101" s="33"/>
      <c r="C101" s="33"/>
      <c r="D101" s="33"/>
      <c r="E101" s="17"/>
      <c r="F101" s="17"/>
      <c r="G101" s="17"/>
      <c r="H101" s="17"/>
      <c r="I101" s="17"/>
      <c r="J101" s="45"/>
      <c r="L101" s="33" t="str">
        <f ca="1">'2.1 Capex Real Dollars'!L101</f>
        <v/>
      </c>
      <c r="M101" s="33" t="str">
        <f ca="1">IF(L101="","",'1.0 Data'!$B$9)</f>
        <v/>
      </c>
      <c r="N101" s="33" t="str">
        <f ca="1">'2.1 Capex Real Dollars'!N101</f>
        <v/>
      </c>
      <c r="O101" s="33" t="str">
        <f ca="1">'2.1 Capex Real Dollars'!O101</f>
        <v/>
      </c>
      <c r="P101" s="33"/>
      <c r="Q101" s="6">
        <f t="shared" ca="1" si="11"/>
        <v>0</v>
      </c>
      <c r="R101" s="6">
        <f t="shared" ca="1" si="11"/>
        <v>0</v>
      </c>
      <c r="S101" s="6">
        <f t="shared" ca="1" si="11"/>
        <v>0</v>
      </c>
      <c r="T101" s="6">
        <f t="shared" ca="1" si="11"/>
        <v>0</v>
      </c>
      <c r="U101" s="6">
        <f t="shared" ca="1" si="11"/>
        <v>0</v>
      </c>
      <c r="V101" s="45">
        <f t="shared" ca="1" si="12"/>
        <v>0</v>
      </c>
    </row>
    <row r="102" spans="1:27">
      <c r="A102" s="33"/>
      <c r="B102" s="33"/>
      <c r="C102" s="33"/>
      <c r="D102" s="33"/>
      <c r="E102" s="17"/>
      <c r="F102" s="17"/>
      <c r="G102" s="17"/>
      <c r="H102" s="17"/>
      <c r="I102" s="17"/>
      <c r="J102" s="45"/>
      <c r="L102" s="33" t="str">
        <f ca="1">'2.1 Capex Real Dollars'!L102</f>
        <v/>
      </c>
      <c r="M102" s="33" t="str">
        <f ca="1">IF(L102="","",'1.0 Data'!$B$9)</f>
        <v/>
      </c>
      <c r="N102" s="33" t="str">
        <f ca="1">'2.1 Capex Real Dollars'!N102</f>
        <v/>
      </c>
      <c r="O102" s="33" t="str">
        <f ca="1">'2.1 Capex Real Dollars'!O102</f>
        <v/>
      </c>
      <c r="P102" s="33"/>
      <c r="Q102" s="6">
        <f t="shared" ca="1" si="11"/>
        <v>0</v>
      </c>
      <c r="R102" s="6">
        <f t="shared" ca="1" si="11"/>
        <v>0</v>
      </c>
      <c r="S102" s="6">
        <f t="shared" ca="1" si="11"/>
        <v>0</v>
      </c>
      <c r="T102" s="6">
        <f t="shared" ca="1" si="11"/>
        <v>0</v>
      </c>
      <c r="U102" s="6">
        <f t="shared" ca="1" si="11"/>
        <v>0</v>
      </c>
      <c r="V102" s="45">
        <f t="shared" ca="1" si="12"/>
        <v>0</v>
      </c>
    </row>
    <row r="103" spans="1:27">
      <c r="A103" s="33"/>
      <c r="B103" s="33"/>
      <c r="C103" s="33"/>
      <c r="D103" s="33"/>
      <c r="E103" s="17"/>
      <c r="F103" s="17"/>
      <c r="G103" s="17"/>
      <c r="H103" s="17"/>
      <c r="I103" s="17"/>
      <c r="J103" s="45"/>
      <c r="L103" s="33" t="str">
        <f ca="1">'2.1 Capex Real Dollars'!L103</f>
        <v/>
      </c>
      <c r="M103" s="33" t="str">
        <f ca="1">IF(L103="","",'1.0 Data'!$B$9)</f>
        <v/>
      </c>
      <c r="N103" s="33" t="str">
        <f ca="1">'2.1 Capex Real Dollars'!N103</f>
        <v/>
      </c>
      <c r="O103" s="33" t="str">
        <f ca="1">'2.1 Capex Real Dollars'!O103</f>
        <v/>
      </c>
      <c r="P103" s="33"/>
      <c r="Q103" s="6">
        <f t="shared" ca="1" si="11"/>
        <v>0</v>
      </c>
      <c r="R103" s="6">
        <f t="shared" ca="1" si="11"/>
        <v>0</v>
      </c>
      <c r="S103" s="6">
        <f t="shared" ca="1" si="11"/>
        <v>0</v>
      </c>
      <c r="T103" s="6">
        <f t="shared" ca="1" si="11"/>
        <v>0</v>
      </c>
      <c r="U103" s="6">
        <f t="shared" ca="1" si="11"/>
        <v>0</v>
      </c>
      <c r="V103" s="45">
        <f t="shared" ca="1" si="12"/>
        <v>0</v>
      </c>
    </row>
    <row r="104" spans="1:27">
      <c r="A104" s="33"/>
      <c r="B104" s="33"/>
      <c r="C104" s="33"/>
      <c r="D104" s="33"/>
      <c r="E104" s="17"/>
      <c r="F104" s="17"/>
      <c r="G104" s="17"/>
      <c r="H104" s="17"/>
      <c r="I104" s="17"/>
      <c r="J104" s="45"/>
      <c r="L104" s="33" t="str">
        <f ca="1">'2.1 Capex Real Dollars'!L104</f>
        <v/>
      </c>
      <c r="M104" s="33" t="str">
        <f ca="1">IF(L104="","",'1.0 Data'!$B$9)</f>
        <v/>
      </c>
      <c r="N104" s="33" t="str">
        <f ca="1">'2.1 Capex Real Dollars'!N104</f>
        <v/>
      </c>
      <c r="O104" s="33" t="str">
        <f ca="1">'2.1 Capex Real Dollars'!O104</f>
        <v/>
      </c>
      <c r="P104" s="33"/>
      <c r="Q104" s="6">
        <f t="shared" ca="1" si="11"/>
        <v>0</v>
      </c>
      <c r="R104" s="6">
        <f t="shared" ca="1" si="11"/>
        <v>0</v>
      </c>
      <c r="S104" s="6">
        <f t="shared" ca="1" si="11"/>
        <v>0</v>
      </c>
      <c r="T104" s="6">
        <f t="shared" ca="1" si="11"/>
        <v>0</v>
      </c>
      <c r="U104" s="6">
        <f t="shared" ca="1" si="11"/>
        <v>0</v>
      </c>
      <c r="V104" s="45">
        <f t="shared" ca="1" si="12"/>
        <v>0</v>
      </c>
    </row>
    <row r="105" spans="1:27" ht="16.5" customHeight="1"/>
    <row r="106" spans="1:27" ht="19.5">
      <c r="A106" s="2" t="str">
        <f>'2.1 Capex Real Dollars'!A106</f>
        <v>By Asset Class (As incurred)</v>
      </c>
      <c r="B106" s="2" t="e">
        <f>IF(A106="","",'1.0 Data'!#REF!)</f>
        <v>#REF!</v>
      </c>
      <c r="C106" s="2"/>
      <c r="D106" s="2"/>
      <c r="E106" s="2"/>
      <c r="F106" s="2"/>
      <c r="G106" s="2"/>
      <c r="H106" s="2"/>
      <c r="I106" s="2"/>
      <c r="J106" s="2"/>
      <c r="K106" s="2"/>
      <c r="L106" s="2"/>
      <c r="M106" s="2"/>
      <c r="N106" s="2"/>
      <c r="O106" s="2"/>
      <c r="P106" s="2"/>
      <c r="Q106" s="2"/>
      <c r="R106" s="2"/>
      <c r="S106" s="2"/>
      <c r="T106" s="2"/>
      <c r="U106" s="2"/>
      <c r="V106" s="2"/>
      <c r="W106" s="3"/>
      <c r="X106" s="3"/>
      <c r="Y106" s="3"/>
      <c r="Z106" s="3"/>
      <c r="AA106" s="3"/>
    </row>
    <row r="107" spans="1:27">
      <c r="A107" s="3"/>
      <c r="B107" s="3"/>
      <c r="C107" s="3"/>
      <c r="D107" s="3"/>
      <c r="E107" s="3" t="str">
        <f>'2.1 Capex Real Dollars'!E107</f>
        <v>2020/21</v>
      </c>
      <c r="F107" s="3" t="str">
        <f>'2.1 Capex Real Dollars'!F107</f>
        <v>2021/22</v>
      </c>
      <c r="G107" s="3" t="str">
        <f>'2.1 Capex Real Dollars'!G107</f>
        <v>2022/23</v>
      </c>
      <c r="H107" s="3" t="str">
        <f>'2.1 Capex Real Dollars'!H107</f>
        <v>2023/24</v>
      </c>
      <c r="I107" s="3" t="str">
        <f>'2.1 Capex Real Dollars'!I107</f>
        <v>2024/25</v>
      </c>
      <c r="J107" s="3" t="str">
        <f>'2.1 Capex Real Dollars'!J107</f>
        <v>Total</v>
      </c>
      <c r="L107" s="3" t="str">
        <f>'2.1 Capex Real Dollars'!L107</f>
        <v>Asset Classes</v>
      </c>
      <c r="M107" s="3" t="str">
        <f>'2.1 Capex Real Dollars'!M107</f>
        <v>input</v>
      </c>
      <c r="N107" s="3" t="str">
        <f>'2.1 Capex Real Dollars'!N107</f>
        <v>Asset Class</v>
      </c>
      <c r="O107" s="3" t="str">
        <f>'2.1 Capex Real Dollars'!O107</f>
        <v>Asset Driver</v>
      </c>
      <c r="P107" s="3"/>
      <c r="Q107" s="3" t="str">
        <f>'2.1 Capex Real Dollars'!Q107</f>
        <v>2025/26</v>
      </c>
      <c r="R107" s="3" t="str">
        <f>'2.1 Capex Real Dollars'!R107</f>
        <v>2026/27</v>
      </c>
      <c r="S107" s="3" t="str">
        <f>'2.1 Capex Real Dollars'!S107</f>
        <v>2027/28</v>
      </c>
      <c r="T107" s="3" t="str">
        <f>'2.1 Capex Real Dollars'!T107</f>
        <v>2028/29</v>
      </c>
      <c r="U107" s="3" t="str">
        <f>'2.1 Capex Real Dollars'!U107</f>
        <v>2029/30</v>
      </c>
      <c r="V107" s="3" t="str">
        <f>'2.1 Capex Real Dollars'!V107</f>
        <v>Total</v>
      </c>
    </row>
    <row r="109" spans="1:27">
      <c r="A109" s="33" t="str">
        <f>'2.1 Capex Real Dollars'!A109</f>
        <v>Transmission Assets</v>
      </c>
      <c r="B109" s="33" t="e">
        <f>IF(A109="","",'1.0 Data'!#REF!)</f>
        <v>#REF!</v>
      </c>
      <c r="C109" s="33">
        <f>'2.1 Capex Real Dollars'!C109</f>
        <v>0</v>
      </c>
      <c r="D109" s="33">
        <f>'2.1 Capex Real Dollars'!D109</f>
        <v>0</v>
      </c>
      <c r="E109" s="17">
        <f>SUMIF($C$9:$C$49,$A109,E$9:E$49)</f>
        <v>2048316.7239999999</v>
      </c>
      <c r="F109" s="17">
        <f t="shared" ref="F109:I113" si="13">SUMIF($C$9:$C$67,$A109,F$9:F$67)</f>
        <v>2568620.5099999998</v>
      </c>
      <c r="G109" s="17">
        <f t="shared" si="13"/>
        <v>7427604.2800000012</v>
      </c>
      <c r="H109" s="17">
        <f t="shared" si="13"/>
        <v>11779334.600000001</v>
      </c>
      <c r="I109" s="17">
        <f t="shared" si="13"/>
        <v>3042183.6716192584</v>
      </c>
      <c r="J109" s="45">
        <f t="shared" ref="J109:J113" si="14">SUM(E109:I109)</f>
        <v>26866059.785619259</v>
      </c>
      <c r="L109" s="33" t="str">
        <f>'2.1 Capex Real Dollars'!L109</f>
        <v>Transmission Assets</v>
      </c>
      <c r="M109" s="33" t="str">
        <f>IF(L109="","",'1.0 Data'!$B$9)</f>
        <v>nominal</v>
      </c>
      <c r="N109" s="33">
        <f>'2.1 Capex Real Dollars'!N109</f>
        <v>0</v>
      </c>
      <c r="O109" s="33">
        <f>'2.1 Capex Real Dollars'!O109</f>
        <v>0</v>
      </c>
      <c r="P109" s="33"/>
      <c r="Q109" s="17">
        <f>'2.1 Capex Real Dollars'!Q109/'1.1 Input'!I$13</f>
        <v>11004051.669452321</v>
      </c>
      <c r="R109" s="17">
        <f>'2.1 Capex Real Dollars'!R109/'1.1 Input'!J$13</f>
        <v>3518679.7188130138</v>
      </c>
      <c r="S109" s="17">
        <f>'2.1 Capex Real Dollars'!S109/'1.1 Input'!K$13</f>
        <v>4309114.9902932644</v>
      </c>
      <c r="T109" s="17">
        <f>'2.1 Capex Real Dollars'!T109/'1.1 Input'!L$13</f>
        <v>3023763.2874428355</v>
      </c>
      <c r="U109" s="17">
        <f>'2.1 Capex Real Dollars'!U109/'1.1 Input'!M$13</f>
        <v>8107041.1718351804</v>
      </c>
      <c r="V109" s="45">
        <f t="shared" ref="V109:V113" si="15">SUM(Q109:U109)</f>
        <v>29962650.837836616</v>
      </c>
    </row>
    <row r="110" spans="1:27">
      <c r="A110" s="33" t="str">
        <f>'2.1 Capex Real Dollars'!A110</f>
        <v>Transmission Determination Costs</v>
      </c>
      <c r="B110" s="33" t="e">
        <f>IF(A110="","",'1.0 Data'!#REF!)</f>
        <v>#REF!</v>
      </c>
      <c r="C110" s="33">
        <f>'2.1 Capex Real Dollars'!C110</f>
        <v>0</v>
      </c>
      <c r="D110" s="33">
        <f>'2.1 Capex Real Dollars'!D110</f>
        <v>0</v>
      </c>
      <c r="E110" s="17">
        <f>SUMIF($C$9:$C$67,$A110,E$9:E$67)</f>
        <v>0</v>
      </c>
      <c r="F110" s="17">
        <f t="shared" si="13"/>
        <v>0</v>
      </c>
      <c r="G110" s="17">
        <f t="shared" si="13"/>
        <v>0</v>
      </c>
      <c r="H110" s="17">
        <f t="shared" si="13"/>
        <v>0</v>
      </c>
      <c r="I110" s="17">
        <f t="shared" si="13"/>
        <v>0</v>
      </c>
      <c r="J110" s="45">
        <f t="shared" si="14"/>
        <v>0</v>
      </c>
      <c r="L110" s="33" t="str">
        <f>'2.1 Capex Real Dollars'!L110</f>
        <v>Transmission Determination Costs</v>
      </c>
      <c r="M110" s="33" t="str">
        <f>IF(L110="","",'1.0 Data'!$B$9)</f>
        <v>nominal</v>
      </c>
      <c r="N110" s="33">
        <f>'2.1 Capex Real Dollars'!N110</f>
        <v>0</v>
      </c>
      <c r="O110" s="33">
        <f>'2.1 Capex Real Dollars'!O110</f>
        <v>0</v>
      </c>
      <c r="P110" s="33"/>
      <c r="Q110" s="17">
        <f>'2.1 Capex Real Dollars'!Q110/'1.1 Input'!I$13</f>
        <v>0</v>
      </c>
      <c r="R110" s="17">
        <f>'2.1 Capex Real Dollars'!R110/'1.1 Input'!J$13</f>
        <v>0</v>
      </c>
      <c r="S110" s="17">
        <f>'2.1 Capex Real Dollars'!S110/'1.1 Input'!K$13</f>
        <v>0</v>
      </c>
      <c r="T110" s="17">
        <f ca="1">'2.1 Capex Real Dollars'!T110/'1.1 Input'!L$13</f>
        <v>0</v>
      </c>
      <c r="U110" s="17">
        <f ca="1">'2.1 Capex Real Dollars'!U110/'1.1 Input'!M$13</f>
        <v>0</v>
      </c>
      <c r="V110" s="45">
        <f t="shared" ca="1" si="15"/>
        <v>0</v>
      </c>
    </row>
    <row r="111" spans="1:27">
      <c r="A111" s="33" t="str">
        <f>'2.1 Capex Real Dollars'!A111</f>
        <v>Easements</v>
      </c>
      <c r="B111" s="33" t="e">
        <f>IF(A111="","",'1.0 Data'!#REF!)</f>
        <v>#REF!</v>
      </c>
      <c r="C111" s="33">
        <f>'2.1 Capex Real Dollars'!C111</f>
        <v>0</v>
      </c>
      <c r="D111" s="33">
        <f>'2.1 Capex Real Dollars'!D111</f>
        <v>0</v>
      </c>
      <c r="E111" s="17">
        <f>SUMIF($C$9:$C$67,$A111,E$9:E$67)</f>
        <v>0</v>
      </c>
      <c r="F111" s="17">
        <f t="shared" si="13"/>
        <v>0</v>
      </c>
      <c r="G111" s="17">
        <f t="shared" si="13"/>
        <v>7945.03</v>
      </c>
      <c r="H111" s="17">
        <f t="shared" si="13"/>
        <v>340780</v>
      </c>
      <c r="I111" s="17">
        <f t="shared" si="13"/>
        <v>282015.62057963602</v>
      </c>
      <c r="J111" s="45">
        <f t="shared" si="14"/>
        <v>630740.65057963599</v>
      </c>
      <c r="L111" s="33" t="str">
        <f>'2.1 Capex Real Dollars'!L111</f>
        <v>Easements</v>
      </c>
      <c r="M111" s="33" t="str">
        <f>IF(L111="","",'1.0 Data'!$B$9)</f>
        <v>nominal</v>
      </c>
      <c r="N111" s="33">
        <f>'2.1 Capex Real Dollars'!N111</f>
        <v>0</v>
      </c>
      <c r="O111" s="33">
        <f>'2.1 Capex Real Dollars'!O111</f>
        <v>0</v>
      </c>
      <c r="P111" s="33"/>
      <c r="Q111" s="17">
        <f>'2.1 Capex Real Dollars'!Q111/'1.1 Input'!I$13</f>
        <v>179367.98</v>
      </c>
      <c r="R111" s="17">
        <f>'2.1 Capex Real Dollars'!R111/'1.1 Input'!J$13</f>
        <v>0</v>
      </c>
      <c r="S111" s="17">
        <f>'2.1 Capex Real Dollars'!S111/'1.1 Input'!K$13</f>
        <v>0</v>
      </c>
      <c r="T111" s="17">
        <f>'2.1 Capex Real Dollars'!T111/'1.1 Input'!L$13</f>
        <v>0</v>
      </c>
      <c r="U111" s="17">
        <f>'2.1 Capex Real Dollars'!U111/'1.1 Input'!M$13</f>
        <v>0</v>
      </c>
      <c r="V111" s="45">
        <f t="shared" si="15"/>
        <v>179367.98</v>
      </c>
    </row>
    <row r="112" spans="1:27">
      <c r="A112" s="33" t="str">
        <f>'2.1 Capex Real Dollars'!A112</f>
        <v>Land</v>
      </c>
      <c r="B112" s="33" t="e">
        <f>IF(A112="","",'1.0 Data'!#REF!)</f>
        <v>#REF!</v>
      </c>
      <c r="C112" s="33">
        <f>'2.1 Capex Real Dollars'!C112</f>
        <v>0</v>
      </c>
      <c r="D112" s="33">
        <f>'2.1 Capex Real Dollars'!D112</f>
        <v>0</v>
      </c>
      <c r="E112" s="17">
        <f>SUMIF($C$9:$C$67,$A112,E$9:E$67)</f>
        <v>0</v>
      </c>
      <c r="F112" s="17">
        <f t="shared" si="13"/>
        <v>0</v>
      </c>
      <c r="G112" s="17">
        <f t="shared" si="13"/>
        <v>0</v>
      </c>
      <c r="H112" s="17">
        <f t="shared" si="13"/>
        <v>0</v>
      </c>
      <c r="I112" s="17">
        <f t="shared" si="13"/>
        <v>0</v>
      </c>
      <c r="J112" s="45">
        <f t="shared" si="14"/>
        <v>0</v>
      </c>
      <c r="L112" s="33" t="str">
        <f>'2.1 Capex Real Dollars'!L112</f>
        <v>Land</v>
      </c>
      <c r="M112" s="33" t="str">
        <f>IF(L112="","",'1.0 Data'!$B$9)</f>
        <v>nominal</v>
      </c>
      <c r="N112" s="33">
        <f>'2.1 Capex Real Dollars'!N112</f>
        <v>0</v>
      </c>
      <c r="O112" s="33">
        <f>'2.1 Capex Real Dollars'!O112</f>
        <v>0</v>
      </c>
      <c r="P112" s="33"/>
      <c r="Q112" s="17">
        <f>'2.1 Capex Real Dollars'!Q112/'1.1 Input'!I$13</f>
        <v>0</v>
      </c>
      <c r="R112" s="17">
        <f>'2.1 Capex Real Dollars'!R112/'1.1 Input'!J$13</f>
        <v>0</v>
      </c>
      <c r="S112" s="17">
        <f>'2.1 Capex Real Dollars'!S112/'1.1 Input'!K$13</f>
        <v>0</v>
      </c>
      <c r="T112" s="17">
        <f>'2.1 Capex Real Dollars'!T112/'1.1 Input'!L$13</f>
        <v>0</v>
      </c>
      <c r="U112" s="17">
        <f>'2.1 Capex Real Dollars'!U112/'1.1 Input'!M$13</f>
        <v>0</v>
      </c>
      <c r="V112" s="45">
        <f t="shared" si="15"/>
        <v>0</v>
      </c>
    </row>
    <row r="113" spans="1:27" ht="15.75" thickBot="1">
      <c r="A113" s="33" t="str">
        <f>'2.1 Capex Real Dollars'!A113</f>
        <v>Buildings</v>
      </c>
      <c r="B113" s="33" t="e">
        <f>IF(A113="","",'1.0 Data'!#REF!)</f>
        <v>#REF!</v>
      </c>
      <c r="C113" s="33">
        <f>'2.1 Capex Real Dollars'!C113</f>
        <v>0</v>
      </c>
      <c r="D113" s="33">
        <f>'2.1 Capex Real Dollars'!D113</f>
        <v>0</v>
      </c>
      <c r="E113" s="17">
        <f>SUMIF($C$9:$C$67,$A113,E$9:E$67)</f>
        <v>0</v>
      </c>
      <c r="F113" s="17">
        <f t="shared" si="13"/>
        <v>0</v>
      </c>
      <c r="G113" s="17">
        <f t="shared" si="13"/>
        <v>117671.23000000001</v>
      </c>
      <c r="H113" s="17">
        <f t="shared" si="13"/>
        <v>0</v>
      </c>
      <c r="I113" s="17">
        <f t="shared" si="13"/>
        <v>1455244.0571077801</v>
      </c>
      <c r="J113" s="45">
        <f t="shared" si="14"/>
        <v>1572915.2871077801</v>
      </c>
      <c r="L113" s="33" t="str">
        <f>'2.1 Capex Real Dollars'!L113</f>
        <v>Buildings</v>
      </c>
      <c r="M113" s="33" t="str">
        <f>IF(L113="","",'1.0 Data'!$B$9)</f>
        <v>nominal</v>
      </c>
      <c r="N113" s="33">
        <f>'2.1 Capex Real Dollars'!N113</f>
        <v>0</v>
      </c>
      <c r="O113" s="33">
        <f>'2.1 Capex Real Dollars'!O113</f>
        <v>0</v>
      </c>
      <c r="P113" s="33"/>
      <c r="Q113" s="17">
        <f>'2.1 Capex Real Dollars'!Q113/'1.1 Input'!I$13</f>
        <v>2622481.8562401561</v>
      </c>
      <c r="R113" s="17">
        <f>'2.1 Capex Real Dollars'!R113/'1.1 Input'!J$13</f>
        <v>1160942.1436315465</v>
      </c>
      <c r="S113" s="17">
        <f>'2.1 Capex Real Dollars'!S113/'1.1 Input'!K$13</f>
        <v>158333.69473723008</v>
      </c>
      <c r="T113" s="17">
        <f>'2.1 Capex Real Dollars'!T113/'1.1 Input'!L$13</f>
        <v>1080916.3620854681</v>
      </c>
      <c r="U113" s="17">
        <f>'2.1 Capex Real Dollars'!U113/'1.1 Input'!M$13</f>
        <v>0</v>
      </c>
      <c r="V113" s="45">
        <f t="shared" si="15"/>
        <v>5022674.0566944014</v>
      </c>
    </row>
    <row r="114" spans="1:27" ht="15.75" thickTop="1">
      <c r="A114" s="33" t="str">
        <f>'2.1 Capex Real Dollars'!A114</f>
        <v>Total</v>
      </c>
      <c r="B114" s="33" t="e">
        <f>IF(A114="","",'1.0 Data'!#REF!)</f>
        <v>#REF!</v>
      </c>
      <c r="C114" s="33">
        <f>'2.1 Capex Real Dollars'!C114</f>
        <v>0</v>
      </c>
      <c r="D114" s="33">
        <f>'2.1 Capex Real Dollars'!D114</f>
        <v>0</v>
      </c>
      <c r="E114" s="27">
        <f>SUM(E109:E113)</f>
        <v>2048316.7239999999</v>
      </c>
      <c r="F114" s="27">
        <f t="shared" ref="F114:I114" si="16">SUM(F109:F113)</f>
        <v>2568620.5099999998</v>
      </c>
      <c r="G114" s="27">
        <f t="shared" si="16"/>
        <v>7553220.5400000019</v>
      </c>
      <c r="H114" s="27">
        <f t="shared" si="16"/>
        <v>12120114.600000001</v>
      </c>
      <c r="I114" s="27">
        <f t="shared" si="16"/>
        <v>4779443.3493066747</v>
      </c>
      <c r="J114" s="27">
        <f>SUM(J109:J113)</f>
        <v>29069715.723306675</v>
      </c>
      <c r="K114" s="52"/>
      <c r="L114" s="33" t="str">
        <f>'2.1 Capex Real Dollars'!L114</f>
        <v>Total</v>
      </c>
      <c r="M114" s="33" t="str">
        <f>IF(L114="","",'1.0 Data'!$B$9)</f>
        <v>nominal</v>
      </c>
      <c r="N114" s="33">
        <f>'2.1 Capex Real Dollars'!N114</f>
        <v>0</v>
      </c>
      <c r="O114" s="33">
        <f>'2.1 Capex Real Dollars'!O114</f>
        <v>0</v>
      </c>
      <c r="P114" s="33"/>
      <c r="Q114" s="27">
        <f>SUM(Q109:Q113)</f>
        <v>13805901.505692478</v>
      </c>
      <c r="R114" s="27">
        <f t="shared" ref="R114:U114" si="17">SUM(R109:R113)</f>
        <v>4679621.86244456</v>
      </c>
      <c r="S114" s="27">
        <f t="shared" si="17"/>
        <v>4467448.6850304948</v>
      </c>
      <c r="T114" s="27">
        <f t="shared" ca="1" si="17"/>
        <v>4104679.6495283036</v>
      </c>
      <c r="U114" s="27">
        <f t="shared" ca="1" si="17"/>
        <v>8107041.1718351804</v>
      </c>
      <c r="V114" s="27">
        <f ca="1">SUM(V109:V113)</f>
        <v>35164692.874531016</v>
      </c>
      <c r="W114" s="52">
        <f ca="1">V114-V5</f>
        <v>-1360253.3325492144</v>
      </c>
    </row>
    <row r="116" spans="1:27" ht="19.5">
      <c r="A116" s="2" t="str">
        <f>'2.1 Capex Real Dollars'!A116</f>
        <v>By Driver</v>
      </c>
      <c r="B116" s="2"/>
      <c r="C116" s="2"/>
      <c r="D116" s="2"/>
      <c r="E116" s="2"/>
      <c r="F116" s="2"/>
      <c r="G116" s="2"/>
      <c r="H116" s="2"/>
      <c r="I116" s="2"/>
      <c r="J116" s="2"/>
      <c r="K116" s="2"/>
      <c r="L116" s="2"/>
      <c r="M116" s="2"/>
      <c r="N116" s="2"/>
      <c r="O116" s="2"/>
      <c r="P116" s="2"/>
      <c r="Q116" s="2"/>
      <c r="R116" s="2"/>
      <c r="S116" s="2"/>
      <c r="T116" s="2"/>
      <c r="U116" s="2"/>
      <c r="V116" s="2"/>
      <c r="W116" s="3"/>
      <c r="X116" s="3"/>
      <c r="Y116" s="3"/>
      <c r="Z116" s="3"/>
      <c r="AA116" s="3"/>
    </row>
    <row r="117" spans="1:27">
      <c r="A117" s="3"/>
      <c r="B117" s="3"/>
      <c r="C117" s="3"/>
      <c r="D117" s="3"/>
      <c r="E117" s="3" t="str">
        <f>'2.1 Capex Real Dollars'!E117</f>
        <v>2020/21</v>
      </c>
      <c r="F117" s="3" t="str">
        <f>'2.1 Capex Real Dollars'!F117</f>
        <v>2021/22</v>
      </c>
      <c r="G117" s="3" t="str">
        <f>'2.1 Capex Real Dollars'!G117</f>
        <v>2022/23</v>
      </c>
      <c r="H117" s="3" t="str">
        <f>'2.1 Capex Real Dollars'!H117</f>
        <v>2023/24</v>
      </c>
      <c r="I117" s="3" t="str">
        <f>'2.1 Capex Real Dollars'!I117</f>
        <v>2024/25</v>
      </c>
      <c r="J117" s="3" t="str">
        <f>'2.1 Capex Real Dollars'!J117</f>
        <v>Total</v>
      </c>
      <c r="L117" s="3" t="str">
        <f>'2.1 Capex Real Dollars'!L117</f>
        <v>Driver</v>
      </c>
      <c r="M117" s="3" t="str">
        <f>'2.1 Capex Real Dollars'!M117</f>
        <v>$</v>
      </c>
      <c r="N117" s="3">
        <f>'2.1 Capex Real Dollars'!N117</f>
        <v>0</v>
      </c>
      <c r="O117" s="3">
        <f>'2.1 Capex Real Dollars'!O117</f>
        <v>0</v>
      </c>
      <c r="P117" s="3"/>
      <c r="Q117" s="3" t="str">
        <f>'2.1 Capex Real Dollars'!Q117</f>
        <v>2025/26</v>
      </c>
      <c r="R117" s="3" t="str">
        <f>'2.1 Capex Real Dollars'!R117</f>
        <v>2026/27</v>
      </c>
      <c r="S117" s="3" t="str">
        <f>'2.1 Capex Real Dollars'!S117</f>
        <v>2027/28</v>
      </c>
      <c r="T117" s="3" t="str">
        <f>'2.1 Capex Real Dollars'!T117</f>
        <v>2028/29</v>
      </c>
      <c r="U117" s="3" t="str">
        <f>'2.1 Capex Real Dollars'!U117</f>
        <v>2029/30</v>
      </c>
      <c r="V117" s="3" t="str">
        <f>'2.1 Capex Real Dollars'!V117</f>
        <v>Total</v>
      </c>
    </row>
    <row r="119" spans="1:27">
      <c r="A119" s="33" t="str">
        <f>'2.1 Capex Real Dollars'!A119</f>
        <v>Replacement expenditure</v>
      </c>
      <c r="B119" s="33" t="e">
        <f>IF(A119="","",'1.0 Data'!#REF!)</f>
        <v>#REF!</v>
      </c>
      <c r="C119" s="33">
        <f>'2.1 Capex Real Dollars'!C119</f>
        <v>0</v>
      </c>
      <c r="D119" s="33">
        <f>'2.1 Capex Real Dollars'!D119</f>
        <v>0</v>
      </c>
      <c r="E119" s="17">
        <f>SUMIF($D$9:$D$49,$A119,E$9:E$49)</f>
        <v>2048316.7239999999</v>
      </c>
      <c r="F119" s="17">
        <f t="shared" ref="F119:I122" si="18">SUMIF($D$9:$D$67,$A119,F$9:F$67)</f>
        <v>2568620.5099999998</v>
      </c>
      <c r="G119" s="17">
        <f t="shared" si="18"/>
        <v>7553220.540000001</v>
      </c>
      <c r="H119" s="17">
        <f t="shared" si="18"/>
        <v>12120114.600000001</v>
      </c>
      <c r="I119" s="17">
        <f t="shared" si="18"/>
        <v>4779443.3493066747</v>
      </c>
      <c r="J119" s="45">
        <f>SUM(E119:I119)</f>
        <v>29069715.723306678</v>
      </c>
      <c r="L119" s="33" t="str">
        <f>'2.1 Capex Real Dollars'!L119</f>
        <v>Replacement expenditure</v>
      </c>
      <c r="M119" s="33" t="str">
        <f>IF(L119="","",'1.0 Data'!$B$9)</f>
        <v>nominal</v>
      </c>
      <c r="N119" s="33">
        <f>'2.1 Capex Real Dollars'!N119</f>
        <v>0</v>
      </c>
      <c r="O119" s="33">
        <f>'2.1 Capex Real Dollars'!O119</f>
        <v>0</v>
      </c>
      <c r="P119" s="33"/>
      <c r="Q119" s="17">
        <f>'2.1 Capex Real Dollars'!Q119/'1.1 Input'!I$13</f>
        <v>13805901.505692476</v>
      </c>
      <c r="R119" s="17">
        <f>'2.1 Capex Real Dollars'!R119/'1.1 Input'!J$13</f>
        <v>4679621.862444561</v>
      </c>
      <c r="S119" s="17">
        <f ca="1">'2.1 Capex Real Dollars'!S119/'1.1 Input'!K$13</f>
        <v>4467448.6850304939</v>
      </c>
      <c r="T119" s="17">
        <f>'2.1 Capex Real Dollars'!T119/'1.1 Input'!L$13</f>
        <v>4264828.318605666</v>
      </c>
      <c r="U119" s="17">
        <f>'2.1 Capex Real Dollars'!U119/'1.1 Input'!M$13</f>
        <v>8271481.8252438167</v>
      </c>
      <c r="V119" s="45">
        <f ca="1">SUM(Q119:U119)</f>
        <v>35489282.197017014</v>
      </c>
    </row>
    <row r="120" spans="1:27">
      <c r="A120" s="33" t="str">
        <f>'2.1 Capex Real Dollars'!A120</f>
        <v>Connections</v>
      </c>
      <c r="B120" s="33" t="e">
        <f>IF(A120="","",'1.0 Data'!#REF!)</f>
        <v>#REF!</v>
      </c>
      <c r="C120" s="33">
        <f>'2.1 Capex Real Dollars'!C120</f>
        <v>0</v>
      </c>
      <c r="D120" s="33">
        <f>'2.1 Capex Real Dollars'!D120</f>
        <v>0</v>
      </c>
      <c r="E120" s="17">
        <f>SUMIF($D$9:$D$67,$A120,E$9:E$67)</f>
        <v>0</v>
      </c>
      <c r="F120" s="17">
        <f t="shared" si="18"/>
        <v>0</v>
      </c>
      <c r="G120" s="17">
        <f t="shared" si="18"/>
        <v>0</v>
      </c>
      <c r="H120" s="17">
        <f t="shared" si="18"/>
        <v>0</v>
      </c>
      <c r="I120" s="17">
        <f t="shared" si="18"/>
        <v>0</v>
      </c>
      <c r="J120" s="45">
        <f>SUM(E120:I120)</f>
        <v>0</v>
      </c>
      <c r="L120" s="33" t="str">
        <f>'2.1 Capex Real Dollars'!L120</f>
        <v>Connections</v>
      </c>
      <c r="M120" s="33" t="str">
        <f>IF(L120="","",'1.0 Data'!$B$9)</f>
        <v>nominal</v>
      </c>
      <c r="N120" s="33">
        <f>'2.1 Capex Real Dollars'!N120</f>
        <v>0</v>
      </c>
      <c r="O120" s="33">
        <f>'2.1 Capex Real Dollars'!O120</f>
        <v>0</v>
      </c>
      <c r="P120" s="33"/>
      <c r="Q120" s="17">
        <f>'2.1 Capex Real Dollars'!Q120/'1.1 Input'!I$13</f>
        <v>0</v>
      </c>
      <c r="R120" s="17">
        <f>'2.1 Capex Real Dollars'!R120/'1.1 Input'!J$13</f>
        <v>0</v>
      </c>
      <c r="S120" s="17">
        <f>'2.1 Capex Real Dollars'!S120/'1.1 Input'!K$13</f>
        <v>0</v>
      </c>
      <c r="T120" s="17">
        <f>'2.1 Capex Real Dollars'!T120/'1.1 Input'!L$13</f>
        <v>0</v>
      </c>
      <c r="U120" s="17">
        <f>'2.1 Capex Real Dollars'!U120/'1.1 Input'!M$13</f>
        <v>0</v>
      </c>
      <c r="V120" s="45">
        <f>SUM(Q120:U120)</f>
        <v>0</v>
      </c>
    </row>
    <row r="121" spans="1:27">
      <c r="A121" s="33" t="str">
        <f>'2.1 Capex Real Dollars'!A121</f>
        <v>Augmentation Expenditure</v>
      </c>
      <c r="B121" s="33" t="e">
        <f>IF(A121="","",'1.0 Data'!#REF!)</f>
        <v>#REF!</v>
      </c>
      <c r="C121" s="33">
        <f>'2.1 Capex Real Dollars'!C121</f>
        <v>0</v>
      </c>
      <c r="D121" s="33">
        <f>'2.1 Capex Real Dollars'!D121</f>
        <v>0</v>
      </c>
      <c r="E121" s="17">
        <f>SUMIF($D$9:$D$67,$A121,E$9:E$67)</f>
        <v>0</v>
      </c>
      <c r="F121" s="17">
        <f t="shared" si="18"/>
        <v>0</v>
      </c>
      <c r="G121" s="17">
        <f t="shared" si="18"/>
        <v>0</v>
      </c>
      <c r="H121" s="17">
        <f t="shared" si="18"/>
        <v>0</v>
      </c>
      <c r="I121" s="17">
        <f t="shared" si="18"/>
        <v>0</v>
      </c>
      <c r="J121" s="45">
        <f>SUM(E121:I121)</f>
        <v>0</v>
      </c>
      <c r="L121" s="33" t="str">
        <f>'2.1 Capex Real Dollars'!L121</f>
        <v>Augmentation Expenditure</v>
      </c>
      <c r="M121" s="33" t="str">
        <f>IF(L121="","",'1.0 Data'!$B$9)</f>
        <v>nominal</v>
      </c>
      <c r="N121" s="33">
        <f>'2.1 Capex Real Dollars'!N121</f>
        <v>0</v>
      </c>
      <c r="O121" s="33">
        <f>'2.1 Capex Real Dollars'!O121</f>
        <v>0</v>
      </c>
      <c r="P121" s="33"/>
      <c r="Q121" s="17">
        <f>'2.1 Capex Real Dollars'!Q121/'1.1 Input'!I$13</f>
        <v>0</v>
      </c>
      <c r="R121" s="17">
        <f>'2.1 Capex Real Dollars'!R121/'1.1 Input'!J$13</f>
        <v>0</v>
      </c>
      <c r="S121" s="17">
        <f>'2.1 Capex Real Dollars'!S121/'1.1 Input'!K$13</f>
        <v>0</v>
      </c>
      <c r="T121" s="17">
        <f>'2.1 Capex Real Dollars'!T121/'1.1 Input'!L$13</f>
        <v>0</v>
      </c>
      <c r="U121" s="17">
        <f>'2.1 Capex Real Dollars'!U121/'1.1 Input'!M$13</f>
        <v>0</v>
      </c>
      <c r="V121" s="45">
        <f>SUM(Q121:U121)</f>
        <v>0</v>
      </c>
    </row>
    <row r="122" spans="1:27" ht="15.75" thickBot="1">
      <c r="A122" s="33" t="str">
        <f>'2.1 Capex Real Dollars'!A122</f>
        <v>Non-network</v>
      </c>
      <c r="B122" s="33" t="e">
        <f>IF(A122="","",'1.0 Data'!#REF!)</f>
        <v>#REF!</v>
      </c>
      <c r="C122" s="33">
        <f>'2.1 Capex Real Dollars'!C122</f>
        <v>0</v>
      </c>
      <c r="D122" s="33">
        <f>'2.1 Capex Real Dollars'!D122</f>
        <v>0</v>
      </c>
      <c r="E122" s="17">
        <f>SUMIF($D$9:$D$67,$A122,E$9:E$67)</f>
        <v>0</v>
      </c>
      <c r="F122" s="17">
        <f t="shared" si="18"/>
        <v>0</v>
      </c>
      <c r="G122" s="17">
        <f t="shared" si="18"/>
        <v>0</v>
      </c>
      <c r="H122" s="17">
        <f t="shared" si="18"/>
        <v>0</v>
      </c>
      <c r="I122" s="17">
        <f t="shared" si="18"/>
        <v>0</v>
      </c>
      <c r="J122" s="45">
        <f>SUM(E122:I122)</f>
        <v>0</v>
      </c>
      <c r="L122" s="33" t="str">
        <f>'2.1 Capex Real Dollars'!L122</f>
        <v>Non-network</v>
      </c>
      <c r="M122" s="33" t="str">
        <f>IF(L122="","",'1.0 Data'!$B$9)</f>
        <v>nominal</v>
      </c>
      <c r="N122" s="33">
        <f>'2.1 Capex Real Dollars'!N122</f>
        <v>0</v>
      </c>
      <c r="O122" s="33">
        <f>'2.1 Capex Real Dollars'!O122</f>
        <v>0</v>
      </c>
      <c r="P122" s="33"/>
      <c r="Q122" s="17">
        <f>'2.1 Capex Real Dollars'!Q122/'1.1 Input'!I$13</f>
        <v>0</v>
      </c>
      <c r="R122" s="17">
        <f>'2.1 Capex Real Dollars'!R122/'1.1 Input'!J$13</f>
        <v>0</v>
      </c>
      <c r="S122" s="17">
        <f>'2.1 Capex Real Dollars'!S122/'1.1 Input'!K$13</f>
        <v>0</v>
      </c>
      <c r="T122" s="17">
        <f>'2.1 Capex Real Dollars'!T122/'1.1 Input'!L$13</f>
        <v>0</v>
      </c>
      <c r="U122" s="17">
        <f>'2.1 Capex Real Dollars'!U122/'1.1 Input'!M$13</f>
        <v>0</v>
      </c>
      <c r="V122" s="45">
        <f>SUM(Q122:U122)</f>
        <v>0</v>
      </c>
    </row>
    <row r="123" spans="1:27" ht="15.75" thickTop="1">
      <c r="A123" s="33" t="str">
        <f>'2.1 Capex Real Dollars'!A123</f>
        <v>Total</v>
      </c>
      <c r="B123" s="33" t="e">
        <f>IF(A123="","",'1.0 Data'!#REF!)</f>
        <v>#REF!</v>
      </c>
      <c r="C123" s="33">
        <f>'2.1 Capex Real Dollars'!C123</f>
        <v>0</v>
      </c>
      <c r="D123" s="33">
        <f>'2.1 Capex Real Dollars'!D123</f>
        <v>0</v>
      </c>
      <c r="E123" s="27">
        <f t="shared" ref="E123:J123" si="19">SUM(E119:E122)</f>
        <v>2048316.7239999999</v>
      </c>
      <c r="F123" s="27">
        <f t="shared" si="19"/>
        <v>2568620.5099999998</v>
      </c>
      <c r="G123" s="27">
        <f t="shared" si="19"/>
        <v>7553220.540000001</v>
      </c>
      <c r="H123" s="27">
        <f t="shared" si="19"/>
        <v>12120114.600000001</v>
      </c>
      <c r="I123" s="27">
        <f t="shared" si="19"/>
        <v>4779443.3493066747</v>
      </c>
      <c r="J123" s="27">
        <f t="shared" si="19"/>
        <v>29069715.723306678</v>
      </c>
      <c r="L123" s="33" t="str">
        <f>'2.1 Capex Real Dollars'!L123</f>
        <v>Total</v>
      </c>
      <c r="M123" s="33" t="str">
        <f>IF(L123="","",'1.0 Data'!$B$9)</f>
        <v>nominal</v>
      </c>
      <c r="N123" s="33">
        <f>'2.1 Capex Real Dollars'!N123</f>
        <v>0</v>
      </c>
      <c r="O123" s="33">
        <f>'2.1 Capex Real Dollars'!O123</f>
        <v>0</v>
      </c>
      <c r="P123" s="33"/>
      <c r="Q123" s="27">
        <f t="shared" ref="Q123:U123" si="20">SUM(Q119:Q122)</f>
        <v>13805901.505692476</v>
      </c>
      <c r="R123" s="27">
        <f t="shared" si="20"/>
        <v>4679621.862444561</v>
      </c>
      <c r="S123" s="27">
        <f t="shared" ca="1" si="20"/>
        <v>4467448.6850304939</v>
      </c>
      <c r="T123" s="27">
        <f t="shared" si="20"/>
        <v>4264828.318605666</v>
      </c>
      <c r="U123" s="27">
        <f t="shared" si="20"/>
        <v>8271481.8252438167</v>
      </c>
      <c r="V123" s="27">
        <f ca="1">SUM(V119:V122)</f>
        <v>35489282.197017014</v>
      </c>
    </row>
    <row r="125" spans="1:27" ht="19.5">
      <c r="A125" s="2" t="str">
        <f>'2.1 Capex Real Dollars'!A125</f>
        <v>By Project (As Commissioned)</v>
      </c>
      <c r="B125" s="2"/>
      <c r="C125" s="2"/>
      <c r="D125" s="2"/>
      <c r="E125" s="2"/>
      <c r="F125" s="2"/>
      <c r="G125" s="2"/>
      <c r="H125" s="2"/>
      <c r="I125" s="2"/>
      <c r="J125" s="2"/>
      <c r="K125" s="2"/>
      <c r="L125" s="2"/>
      <c r="M125" s="2"/>
      <c r="N125" s="2"/>
      <c r="O125" s="2"/>
      <c r="P125" s="2"/>
      <c r="Q125" s="2"/>
      <c r="R125" s="2"/>
      <c r="S125" s="2"/>
      <c r="T125" s="2"/>
      <c r="U125" s="2"/>
      <c r="V125" s="2"/>
      <c r="W125" s="2"/>
    </row>
    <row r="126" spans="1:27">
      <c r="A126" s="3"/>
      <c r="B126" s="3"/>
      <c r="C126" s="3"/>
      <c r="D126" s="3"/>
      <c r="E126" s="3" t="str">
        <f>'2.1 Capex Real Dollars'!E126</f>
        <v>2020/21</v>
      </c>
      <c r="F126" s="3" t="str">
        <f>'2.1 Capex Real Dollars'!F126</f>
        <v>2021/22</v>
      </c>
      <c r="G126" s="3" t="str">
        <f>'2.1 Capex Real Dollars'!G126</f>
        <v>2022/23</v>
      </c>
      <c r="H126" s="3" t="str">
        <f>'2.1 Capex Real Dollars'!H126</f>
        <v>2023/24</v>
      </c>
      <c r="I126" s="3" t="str">
        <f>'2.1 Capex Real Dollars'!I126</f>
        <v>2024/25</v>
      </c>
      <c r="J126" s="3" t="str">
        <f>'2.1 Capex Real Dollars'!J126</f>
        <v>Total</v>
      </c>
      <c r="L126" s="3" t="str">
        <f>L93</f>
        <v>Project</v>
      </c>
      <c r="M126" s="3" t="str">
        <f>M93</f>
        <v>input</v>
      </c>
      <c r="N126" s="3" t="str">
        <f>N93</f>
        <v>Asset Class</v>
      </c>
      <c r="O126" s="3" t="str">
        <f>O93</f>
        <v>Asset Driver</v>
      </c>
      <c r="P126" s="3"/>
      <c r="Q126" s="3" t="str">
        <f>'2.1 Capex Real Dollars'!Q126</f>
        <v>2025/26</v>
      </c>
      <c r="R126" s="3" t="str">
        <f>'2.1 Capex Real Dollars'!R126</f>
        <v>2026/27</v>
      </c>
      <c r="S126" s="3" t="str">
        <f>'2.1 Capex Real Dollars'!S126</f>
        <v>2027/28</v>
      </c>
      <c r="T126" s="3" t="str">
        <f>'2.1 Capex Real Dollars'!T126</f>
        <v>2028/29</v>
      </c>
      <c r="U126" s="3" t="str">
        <f>'2.1 Capex Real Dollars'!U126</f>
        <v>2029/30</v>
      </c>
      <c r="V126" s="3" t="str">
        <f>'2.1 Capex Real Dollars'!V126</f>
        <v>Total</v>
      </c>
      <c r="W126" s="3" t="s">
        <v>189</v>
      </c>
      <c r="X126" t="s">
        <v>178</v>
      </c>
    </row>
    <row r="127" spans="1:27" ht="15.75" thickBot="1"/>
    <row r="128" spans="1:27" ht="16.5" thickTop="1" thickBot="1">
      <c r="L128" s="33" t="str">
        <f>'2.1 Capex Real Dollars'!L128</f>
        <v>AC Isolators / Earth Switches</v>
      </c>
      <c r="M128" s="33" t="str">
        <f>'2.1 Capex Real Dollars'!M128</f>
        <v>2024/25</v>
      </c>
      <c r="N128" s="33" t="str">
        <f>'2.1 Capex Real Dollars'!N128</f>
        <v>Transmission Assets</v>
      </c>
      <c r="O128" s="33" t="str">
        <f>'2.1 Capex Real Dollars'!O128</f>
        <v>Replacement expenditure</v>
      </c>
      <c r="P128" s="33">
        <f>'2.1 Capex Real Dollars'!P128</f>
        <v>0</v>
      </c>
      <c r="Q128" s="17">
        <f>IF($W128=0,Q9,IF(Q$126=$W128,SUM($Q9:Q9),0))</f>
        <v>289796.15327520005</v>
      </c>
      <c r="R128" s="17">
        <f>IF($W128=0,R9,IF(R$126=$W128,SUM($Q9:R9),0))</f>
        <v>0</v>
      </c>
      <c r="S128" s="17">
        <f>IF($W128=0,S9,IF(S$126=$W128,SUM($Q9:S9),0))</f>
        <v>0</v>
      </c>
      <c r="T128" s="17">
        <f>IF($W128=0,T9,IF(T$126=$W128,SUM($Q9:T9),0))</f>
        <v>0</v>
      </c>
      <c r="U128" s="17">
        <f>IF($W128=0,U9,IF(U$126=$W128,SUM($Q9:U9),0))</f>
        <v>0</v>
      </c>
      <c r="V128" s="45">
        <f t="shared" ref="V128" si="21">SUM(Q128:U128)</f>
        <v>289796.15327520005</v>
      </c>
      <c r="W128" s="121">
        <f>'2.1 Capex Real Dollars'!W128</f>
        <v>0</v>
      </c>
      <c r="X128" s="46">
        <f>V128-V9</f>
        <v>0</v>
      </c>
    </row>
    <row r="129" spans="12:24" ht="16.5" thickTop="1" thickBot="1">
      <c r="L129" s="33" t="str">
        <f>'2.1 Capex Real Dollars'!L129</f>
        <v>Air Inlet Sound &amp; Proofing Replacement</v>
      </c>
      <c r="M129" s="33" t="str">
        <f>'2.1 Capex Real Dollars'!M129</f>
        <v>2024/25</v>
      </c>
      <c r="N129" s="33" t="str">
        <f>'2.1 Capex Real Dollars'!N129</f>
        <v>Transmission Assets</v>
      </c>
      <c r="O129" s="33" t="str">
        <f>'2.1 Capex Real Dollars'!O129</f>
        <v>Replacement expenditure</v>
      </c>
      <c r="P129" s="33"/>
      <c r="Q129" s="17">
        <f>IF($W129=0,Q10,IF(Q$126=$W129,SUM($Q10:Q10),0))</f>
        <v>0</v>
      </c>
      <c r="R129" s="17">
        <f>IF($W129=0,R10,IF(R$126=$W129,SUM($Q10:R10),0))</f>
        <v>0</v>
      </c>
      <c r="S129" s="17">
        <f>IF($W129=0,S10,IF(S$126=$W129,SUM($Q10:S10),0))</f>
        <v>0</v>
      </c>
      <c r="T129" s="17">
        <f>IF($W129=0,T10,IF(T$126=$W129,SUM($Q10:T10),0))</f>
        <v>0</v>
      </c>
      <c r="U129" s="17">
        <f>IF($W129=0,U10,IF(U$126=$W129,SUM($Q10:U10),0))</f>
        <v>0</v>
      </c>
      <c r="V129" s="45">
        <f t="shared" ref="V129:V187" si="22">SUM(Q129:U129)</f>
        <v>0</v>
      </c>
      <c r="W129" s="121">
        <f>'2.1 Capex Real Dollars'!W129</f>
        <v>0</v>
      </c>
      <c r="X129" s="46">
        <f t="shared" ref="X129:X187" si="23">V129-V10</f>
        <v>0</v>
      </c>
    </row>
    <row r="130" spans="12:24" ht="16.5" thickTop="1" thickBot="1">
      <c r="L130" s="33" t="str">
        <f>'2.1 Capex Real Dollars'!L130</f>
        <v>Annual Spraying for Corrosion</v>
      </c>
      <c r="M130" s="33" t="str">
        <f>'2.1 Capex Real Dollars'!M130</f>
        <v>2024/25</v>
      </c>
      <c r="N130" s="33" t="str">
        <f>'2.1 Capex Real Dollars'!N130</f>
        <v>Buildings</v>
      </c>
      <c r="O130" s="33" t="str">
        <f>'2.1 Capex Real Dollars'!O130</f>
        <v>Replacement expenditure</v>
      </c>
      <c r="P130" s="33"/>
      <c r="Q130" s="17">
        <f>IF($W130=0,Q11,IF(Q$126=$W130,SUM($Q11:Q11),0))</f>
        <v>0</v>
      </c>
      <c r="R130" s="17">
        <f>IF($W130=0,R11,IF(R$126=$W130,SUM($Q11:R11),0))</f>
        <v>0</v>
      </c>
      <c r="S130" s="17">
        <f>IF($W130=0,S11,IF(S$126=$W130,SUM($Q11:S11),0))</f>
        <v>0</v>
      </c>
      <c r="T130" s="17">
        <f>IF($W130=0,T11,IF(T$126=$W130,SUM($Q11:T11),0))</f>
        <v>0</v>
      </c>
      <c r="U130" s="17">
        <f>IF($W130=0,U11,IF(U$126=$W130,SUM($Q11:U11),0))</f>
        <v>0</v>
      </c>
      <c r="V130" s="45">
        <f t="shared" si="22"/>
        <v>0</v>
      </c>
      <c r="W130" s="121">
        <f>'2.1 Capex Real Dollars'!W130</f>
        <v>0</v>
      </c>
      <c r="X130" s="46">
        <f t="shared" si="23"/>
        <v>0</v>
      </c>
    </row>
    <row r="131" spans="12:24" ht="16.5" thickTop="1" thickBot="1">
      <c r="L131" s="33" t="str">
        <f>'2.1 Capex Real Dollars'!L131</f>
        <v>Arc Flash Study and Mitigation</v>
      </c>
      <c r="M131" s="33" t="str">
        <f>'2.1 Capex Real Dollars'!M131</f>
        <v>2024/25</v>
      </c>
      <c r="N131" s="33" t="str">
        <f>'2.1 Capex Real Dollars'!N131</f>
        <v>Transmission Assets</v>
      </c>
      <c r="O131" s="33" t="str">
        <f>'2.1 Capex Real Dollars'!O131</f>
        <v>Replacement expenditure</v>
      </c>
      <c r="P131" s="33"/>
      <c r="Q131" s="17">
        <f>IF($W131=0,Q12,IF(Q$126=$W131,SUM($Q12:Q12),0))</f>
        <v>0</v>
      </c>
      <c r="R131" s="17">
        <f>IF($W131=0,R12,IF(R$126=$W131,SUM($Q12:R12),0))</f>
        <v>0</v>
      </c>
      <c r="S131" s="17">
        <f>IF($W131=0,S12,IF(S$126=$W131,SUM($Q12:S12),0))</f>
        <v>0</v>
      </c>
      <c r="T131" s="17">
        <f>IF($W131=0,T12,IF(T$126=$W131,SUM($Q12:T12),0))</f>
        <v>0</v>
      </c>
      <c r="U131" s="17">
        <f>IF($W131=0,U12,IF(U$126=$W131,SUM($Q12:U12),0))</f>
        <v>0</v>
      </c>
      <c r="V131" s="45">
        <f t="shared" si="22"/>
        <v>0</v>
      </c>
      <c r="W131" s="121">
        <f>'2.1 Capex Real Dollars'!W131</f>
        <v>0</v>
      </c>
      <c r="X131" s="46">
        <f t="shared" si="23"/>
        <v>0</v>
      </c>
    </row>
    <row r="132" spans="12:24" ht="16.5" thickTop="1" thickBot="1">
      <c r="L132" s="33" t="str">
        <f>'2.1 Capex Real Dollars'!L132</f>
        <v>Asset Integration - AI3 (Placeholder)</v>
      </c>
      <c r="M132" s="33" t="str">
        <f>'2.1 Capex Real Dollars'!M132</f>
        <v>2024/25</v>
      </c>
      <c r="N132" s="33" t="str">
        <f>'2.1 Capex Real Dollars'!N132</f>
        <v>Transmission Assets</v>
      </c>
      <c r="O132" s="33" t="str">
        <f>'2.1 Capex Real Dollars'!O132</f>
        <v>Replacement expenditure</v>
      </c>
      <c r="P132" s="33"/>
      <c r="Q132" s="17">
        <f>IF($W132=0,Q13,IF(Q$126=$W132,SUM($Q13:Q13),0))</f>
        <v>0</v>
      </c>
      <c r="R132" s="17">
        <f>IF($W132=0,R13,IF(R$126=$W132,SUM($Q13:R13),0))</f>
        <v>0</v>
      </c>
      <c r="S132" s="17">
        <f>IF($W132=0,S13,IF(S$126=$W132,SUM($Q13:S13),0))</f>
        <v>0</v>
      </c>
      <c r="T132" s="17">
        <f>IF($W132=0,T13,IF(T$126=$W132,SUM($Q13:T13),0))</f>
        <v>0</v>
      </c>
      <c r="U132" s="17">
        <f>IF($W132=0,U13,IF(U$126=$W132,SUM($Q13:U13),0))</f>
        <v>0</v>
      </c>
      <c r="V132" s="45">
        <f t="shared" si="22"/>
        <v>0</v>
      </c>
      <c r="W132" s="121">
        <f>'2.1 Capex Real Dollars'!W132</f>
        <v>0</v>
      </c>
      <c r="X132" s="46">
        <f t="shared" si="23"/>
        <v>0</v>
      </c>
    </row>
    <row r="133" spans="12:24" ht="16.5" thickTop="1" thickBot="1">
      <c r="L133" s="33" t="str">
        <f>'2.1 Capex Real Dollars'!L133</f>
        <v>Asset Integration - Asset Information (Placeholder)</v>
      </c>
      <c r="M133" s="33" t="str">
        <f>'2.1 Capex Real Dollars'!M133</f>
        <v>2024/25</v>
      </c>
      <c r="N133" s="33" t="str">
        <f>'2.1 Capex Real Dollars'!N133</f>
        <v>Transmission Assets</v>
      </c>
      <c r="O133" s="33" t="str">
        <f>'2.1 Capex Real Dollars'!O133</f>
        <v>Replacement expenditure</v>
      </c>
      <c r="P133" s="33"/>
      <c r="Q133" s="17">
        <f>IF($W133=0,Q14,IF(Q$126=$W133,SUM($Q14:Q14),0))</f>
        <v>258285.34160000004</v>
      </c>
      <c r="R133" s="17">
        <f>IF($W133=0,R14,IF(R$126=$W133,SUM($Q14:R14),0))</f>
        <v>0</v>
      </c>
      <c r="S133" s="17">
        <f>IF($W133=0,S14,IF(S$126=$W133,SUM($Q14:S14),0))</f>
        <v>0</v>
      </c>
      <c r="T133" s="17">
        <f>IF($W133=0,T14,IF(T$126=$W133,SUM($Q14:T14),0))</f>
        <v>0</v>
      </c>
      <c r="U133" s="17">
        <f>IF($W133=0,U14,IF(U$126=$W133,SUM($Q14:U14),0))</f>
        <v>0</v>
      </c>
      <c r="V133" s="45">
        <f t="shared" si="22"/>
        <v>258285.34160000004</v>
      </c>
      <c r="W133" s="121">
        <f>'2.1 Capex Real Dollars'!W133</f>
        <v>0</v>
      </c>
      <c r="X133" s="46">
        <f t="shared" si="23"/>
        <v>0</v>
      </c>
    </row>
    <row r="134" spans="12:24" ht="16.5" thickTop="1" thickBot="1">
      <c r="L134" s="33" t="str">
        <f>'2.1 Capex Real Dollars'!L134</f>
        <v>Asset Integration - CMMS Uplift (Placeholder)</v>
      </c>
      <c r="M134" s="33" t="str">
        <f>'2.1 Capex Real Dollars'!M134</f>
        <v>2024/25</v>
      </c>
      <c r="N134" s="33" t="str">
        <f>'2.1 Capex Real Dollars'!N134</f>
        <v>Transmission Assets</v>
      </c>
      <c r="O134" s="33" t="str">
        <f>'2.1 Capex Real Dollars'!O134</f>
        <v>Replacement expenditure</v>
      </c>
      <c r="P134" s="33"/>
      <c r="Q134" s="17">
        <f>IF($W134=0,Q15,IF(Q$126=$W134,SUM($Q15:Q15),0))</f>
        <v>0</v>
      </c>
      <c r="R134" s="17">
        <f>IF($W134=0,R15,IF(R$126=$W134,SUM($Q15:R15),0))</f>
        <v>426931.58137343999</v>
      </c>
      <c r="S134" s="17">
        <f>IF($W134=0,S15,IF(S$126=$W134,SUM($Q15:S15),0))</f>
        <v>0</v>
      </c>
      <c r="T134" s="17">
        <f>IF($W134=0,T15,IF(T$126=$W134,SUM($Q15:T15),0))</f>
        <v>0</v>
      </c>
      <c r="U134" s="17">
        <f>IF($W134=0,U15,IF(U$126=$W134,SUM($Q15:U15),0))</f>
        <v>0</v>
      </c>
      <c r="V134" s="45">
        <f t="shared" si="22"/>
        <v>426931.58137343999</v>
      </c>
      <c r="W134" s="121" t="str">
        <f>'2.1 Capex Real Dollars'!W134</f>
        <v>2026/27</v>
      </c>
      <c r="X134" s="46">
        <f t="shared" si="23"/>
        <v>0</v>
      </c>
    </row>
    <row r="135" spans="12:24" ht="16.5" thickTop="1" thickBot="1">
      <c r="L135" s="33" t="str">
        <f>'2.1 Capex Real Dollars'!L135</f>
        <v>Asset Integration - Maintenance Strategy (Placeholder)</v>
      </c>
      <c r="M135" s="33" t="str">
        <f>'2.1 Capex Real Dollars'!M135</f>
        <v>2024/25</v>
      </c>
      <c r="N135" s="33" t="str">
        <f>'2.1 Capex Real Dollars'!N135</f>
        <v>Transmission Assets</v>
      </c>
      <c r="O135" s="33" t="str">
        <f>'2.1 Capex Real Dollars'!O135</f>
        <v>Replacement expenditure</v>
      </c>
      <c r="P135" s="33"/>
      <c r="Q135" s="17">
        <f>IF($W135=0,Q16,IF(Q$126=$W135,SUM($Q16:Q16),0))</f>
        <v>117402.42800000001</v>
      </c>
      <c r="R135" s="17">
        <f>IF($W135=0,R16,IF(R$126=$W135,SUM($Q16:R16),0))</f>
        <v>0</v>
      </c>
      <c r="S135" s="17">
        <f>IF($W135=0,S16,IF(S$126=$W135,SUM($Q16:S16),0))</f>
        <v>0</v>
      </c>
      <c r="T135" s="17">
        <f>IF($W135=0,T16,IF(T$126=$W135,SUM($Q16:T16),0))</f>
        <v>0</v>
      </c>
      <c r="U135" s="17">
        <f>IF($W135=0,U16,IF(U$126=$W135,SUM($Q16:U16),0))</f>
        <v>0</v>
      </c>
      <c r="V135" s="45">
        <f t="shared" si="22"/>
        <v>117402.42800000001</v>
      </c>
      <c r="W135" s="121">
        <f>'2.1 Capex Real Dollars'!W135</f>
        <v>0</v>
      </c>
      <c r="X135" s="46">
        <f t="shared" si="23"/>
        <v>0</v>
      </c>
    </row>
    <row r="136" spans="12:24" ht="16.5" thickTop="1" thickBot="1">
      <c r="L136" s="33" t="str">
        <f>'2.1 Capex Real Dollars'!L136</f>
        <v>Barn Door Replacement</v>
      </c>
      <c r="M136" s="33" t="str">
        <f>'2.1 Capex Real Dollars'!M136</f>
        <v>2024/25</v>
      </c>
      <c r="N136" s="33" t="str">
        <f>'2.1 Capex Real Dollars'!N136</f>
        <v>Buildings</v>
      </c>
      <c r="O136" s="33" t="str">
        <f>'2.1 Capex Real Dollars'!O136</f>
        <v>Replacement expenditure</v>
      </c>
      <c r="P136" s="33"/>
      <c r="Q136" s="17">
        <f>IF($W136=0,Q17,IF(Q$126=$W136,SUM($Q17:Q17),0))</f>
        <v>0</v>
      </c>
      <c r="R136" s="17">
        <f>IF($W136=0,R17,IF(R$126=$W136,SUM($Q17:R17),0))</f>
        <v>0</v>
      </c>
      <c r="S136" s="17">
        <f>IF($W136=0,S17,IF(S$126=$W136,SUM($Q17:S17),0))</f>
        <v>0</v>
      </c>
      <c r="T136" s="17">
        <f>IF($W136=0,T17,IF(T$126=$W136,SUM($Q17:T17),0))</f>
        <v>0</v>
      </c>
      <c r="U136" s="17">
        <f>IF($W136=0,U17,IF(U$126=$W136,SUM($Q17:U17),0))</f>
        <v>0</v>
      </c>
      <c r="V136" s="45">
        <f t="shared" si="22"/>
        <v>0</v>
      </c>
      <c r="W136" s="121">
        <f>'2.1 Capex Real Dollars'!W136</f>
        <v>0</v>
      </c>
      <c r="X136" s="46">
        <f t="shared" si="23"/>
        <v>0</v>
      </c>
    </row>
    <row r="137" spans="12:24" ht="16.5" thickTop="1" thickBot="1">
      <c r="L137" s="33" t="str">
        <f>'2.1 Capex Real Dollars'!L137</f>
        <v>Bungalora Facilities Improvements</v>
      </c>
      <c r="M137" s="33" t="str">
        <f>'2.1 Capex Real Dollars'!M137</f>
        <v>2024/25</v>
      </c>
      <c r="N137" s="33" t="str">
        <f>'2.1 Capex Real Dollars'!N137</f>
        <v>Buildings</v>
      </c>
      <c r="O137" s="33" t="str">
        <f>'2.1 Capex Real Dollars'!O137</f>
        <v>Replacement expenditure</v>
      </c>
      <c r="P137" s="33"/>
      <c r="Q137" s="17">
        <f>IF($W137=0,Q18,IF(Q$126=$W137,SUM($Q18:Q18),0))</f>
        <v>129350.59049998801</v>
      </c>
      <c r="R137" s="17">
        <f>IF($W137=0,R18,IF(R$126=$W137,SUM($Q18:R18),0))</f>
        <v>0</v>
      </c>
      <c r="S137" s="17">
        <f>IF($W137=0,S18,IF(S$126=$W137,SUM($Q18:S18),0))</f>
        <v>0</v>
      </c>
      <c r="T137" s="17">
        <f>IF($W137=0,T18,IF(T$126=$W137,SUM($Q18:T18),0))</f>
        <v>0</v>
      </c>
      <c r="U137" s="17">
        <f>IF($W137=0,U18,IF(U$126=$W137,SUM($Q18:U18),0))</f>
        <v>0</v>
      </c>
      <c r="V137" s="45">
        <f t="shared" si="22"/>
        <v>129350.59049998801</v>
      </c>
      <c r="W137" s="121">
        <f>'2.1 Capex Real Dollars'!W137</f>
        <v>0</v>
      </c>
      <c r="X137" s="46">
        <f t="shared" si="23"/>
        <v>0</v>
      </c>
    </row>
    <row r="138" spans="12:24" ht="16.5" thickTop="1" thickBot="1">
      <c r="L138" s="33" t="str">
        <f>'2.1 Capex Real Dollars'!L138</f>
        <v>Bungalora Storage Facilities</v>
      </c>
      <c r="M138" s="33" t="str">
        <f>'2.1 Capex Real Dollars'!M138</f>
        <v>2024/25</v>
      </c>
      <c r="N138" s="33" t="str">
        <f>'2.1 Capex Real Dollars'!N138</f>
        <v>Buildings</v>
      </c>
      <c r="O138" s="33" t="str">
        <f>'2.1 Capex Real Dollars'!O138</f>
        <v>Replacement expenditure</v>
      </c>
      <c r="P138" s="33"/>
      <c r="Q138" s="17">
        <f>IF($W138=0,Q19,IF(Q$126=$W138,SUM($Q19:Q19),0))</f>
        <v>348685.21116000001</v>
      </c>
      <c r="R138" s="17">
        <f>IF($W138=0,R19,IF(R$126=$W138,SUM($Q19:R19),0))</f>
        <v>0</v>
      </c>
      <c r="S138" s="17">
        <f>IF($W138=0,S19,IF(S$126=$W138,SUM($Q19:S19),0))</f>
        <v>0</v>
      </c>
      <c r="T138" s="17">
        <f>IF($W138=0,T19,IF(T$126=$W138,SUM($Q19:T19),0))</f>
        <v>0</v>
      </c>
      <c r="U138" s="17">
        <f>IF($W138=0,U19,IF(U$126=$W138,SUM($Q19:U19),0))</f>
        <v>0</v>
      </c>
      <c r="V138" s="45">
        <f t="shared" si="22"/>
        <v>348685.21116000001</v>
      </c>
      <c r="W138" s="121">
        <f>'2.1 Capex Real Dollars'!W138</f>
        <v>0</v>
      </c>
      <c r="X138" s="46">
        <f t="shared" si="23"/>
        <v>0</v>
      </c>
    </row>
    <row r="139" spans="12:24" ht="16.5" thickTop="1" thickBot="1">
      <c r="L139" s="33" t="str">
        <f>'2.1 Capex Real Dollars'!L139</f>
        <v>Cable Modification (Transitions) (21-25)</v>
      </c>
      <c r="M139" s="33" t="str">
        <f>'2.1 Capex Real Dollars'!M139</f>
        <v>2024/25</v>
      </c>
      <c r="N139" s="33" t="str">
        <f>'2.1 Capex Real Dollars'!N139</f>
        <v>Transmission Assets</v>
      </c>
      <c r="O139" s="33" t="str">
        <f>'2.1 Capex Real Dollars'!O139</f>
        <v>Replacement expenditure</v>
      </c>
      <c r="P139" s="33"/>
      <c r="Q139" s="17">
        <f>IF($W139=0,Q20,IF(Q$126=$W139,SUM($Q20:Q20),0))</f>
        <v>0</v>
      </c>
      <c r="R139" s="17">
        <f>IF($W139=0,R20,IF(R$126=$W139,SUM($Q20:R20),0))</f>
        <v>0</v>
      </c>
      <c r="S139" s="17">
        <f>IF($W139=0,S20,IF(S$126=$W139,SUM($Q20:S20),0))</f>
        <v>0</v>
      </c>
      <c r="T139" s="17">
        <f>IF($W139=0,T20,IF(T$126=$W139,SUM($Q20:T20),0))</f>
        <v>0</v>
      </c>
      <c r="U139" s="17">
        <f>IF($W139=0,U20,IF(U$126=$W139,SUM($Q20:U20),0))</f>
        <v>0</v>
      </c>
      <c r="V139" s="45">
        <f t="shared" si="22"/>
        <v>0</v>
      </c>
      <c r="W139" s="121">
        <f>'2.1 Capex Real Dollars'!W139</f>
        <v>0</v>
      </c>
      <c r="X139" s="46">
        <f t="shared" si="23"/>
        <v>0</v>
      </c>
    </row>
    <row r="140" spans="12:24" ht="16.5" thickTop="1" thickBot="1">
      <c r="L140" s="33" t="str">
        <f>'2.1 Capex Real Dollars'!L140</f>
        <v>Cable Modification (Transitions) (26-30)</v>
      </c>
      <c r="M140" s="33" t="str">
        <f>'2.1 Capex Real Dollars'!M140</f>
        <v>2024/25</v>
      </c>
      <c r="N140" s="33" t="str">
        <f>'2.1 Capex Real Dollars'!N140</f>
        <v>Transmission Assets</v>
      </c>
      <c r="O140" s="33" t="str">
        <f>'2.1 Capex Real Dollars'!O140</f>
        <v>Replacement expenditure</v>
      </c>
      <c r="P140" s="33"/>
      <c r="Q140" s="17">
        <f>IF($W140=0,Q21,IF(Q$126=$W140,SUM($Q21:Q21),0))</f>
        <v>563531.6544</v>
      </c>
      <c r="R140" s="17">
        <f>IF($W140=0,R21,IF(R$126=$W140,SUM($Q21:R21),0))</f>
        <v>0</v>
      </c>
      <c r="S140" s="17">
        <f>IF($W140=0,S21,IF(S$126=$W140,SUM($Q21:S21),0))</f>
        <v>0</v>
      </c>
      <c r="T140" s="17">
        <f>IF($W140=0,T21,IF(T$126=$W140,SUM($Q21:T21),0))</f>
        <v>0</v>
      </c>
      <c r="U140" s="17">
        <f>IF($W140=0,U21,IF(U$126=$W140,SUM($Q21:U21),0))</f>
        <v>0</v>
      </c>
      <c r="V140" s="45">
        <f t="shared" si="22"/>
        <v>563531.6544</v>
      </c>
      <c r="W140" s="121">
        <f>'2.1 Capex Real Dollars'!W140</f>
        <v>0</v>
      </c>
      <c r="X140" s="46">
        <f t="shared" si="23"/>
        <v>0</v>
      </c>
    </row>
    <row r="141" spans="12:24" ht="16.5" thickTop="1" thickBot="1">
      <c r="L141" s="33" t="str">
        <f>'2.1 Capex Real Dollars'!L141</f>
        <v>Cable Tray Install and Cable Relocation</v>
      </c>
      <c r="M141" s="33" t="str">
        <f>'2.1 Capex Real Dollars'!M141</f>
        <v>2024/25</v>
      </c>
      <c r="N141" s="33" t="str">
        <f>'2.1 Capex Real Dollars'!N141</f>
        <v>Transmission Assets</v>
      </c>
      <c r="O141" s="33" t="str">
        <f>'2.1 Capex Real Dollars'!O141</f>
        <v>Replacement expenditure</v>
      </c>
      <c r="P141" s="33"/>
      <c r="Q141" s="17">
        <f>IF($W141=0,Q22,IF(Q$126=$W141,SUM($Q22:Q22),0))</f>
        <v>0</v>
      </c>
      <c r="R141" s="17">
        <f>IF($W141=0,R22,IF(R$126=$W141,SUM($Q22:R22),0))</f>
        <v>362914.38543359999</v>
      </c>
      <c r="S141" s="17">
        <f>IF($W141=0,S22,IF(S$126=$W141,SUM($Q22:S22),0))</f>
        <v>0</v>
      </c>
      <c r="T141" s="17">
        <f>IF($W141=0,T22,IF(T$126=$W141,SUM($Q22:T22),0))</f>
        <v>0</v>
      </c>
      <c r="U141" s="17">
        <f>IF($W141=0,U22,IF(U$126=$W141,SUM($Q22:U22),0))</f>
        <v>0</v>
      </c>
      <c r="V141" s="45">
        <f t="shared" si="22"/>
        <v>362914.38543359999</v>
      </c>
      <c r="W141" s="121">
        <f>'2.1 Capex Real Dollars'!W141</f>
        <v>0</v>
      </c>
      <c r="X141" s="46">
        <f t="shared" si="23"/>
        <v>0</v>
      </c>
    </row>
    <row r="142" spans="12:24" ht="16.5" thickTop="1" thickBot="1">
      <c r="L142" s="33" t="str">
        <f>'2.1 Capex Real Dollars'!L142</f>
        <v>Cameras for Inspections</v>
      </c>
      <c r="M142" s="33" t="str">
        <f>'2.1 Capex Real Dollars'!M142</f>
        <v>2024/25</v>
      </c>
      <c r="N142" s="33" t="str">
        <f>'2.1 Capex Real Dollars'!N142</f>
        <v>Buildings</v>
      </c>
      <c r="O142" s="33" t="str">
        <f>'2.1 Capex Real Dollars'!O142</f>
        <v>Replacement expenditure</v>
      </c>
      <c r="P142" s="33"/>
      <c r="Q142" s="17">
        <f>IF($W142=0,Q23,IF(Q$126=$W142,SUM($Q23:Q23),0))</f>
        <v>0</v>
      </c>
      <c r="R142" s="17">
        <f>IF($W142=0,R23,IF(R$126=$W142,SUM($Q23:R23),0))</f>
        <v>0</v>
      </c>
      <c r="S142" s="17">
        <f>IF($W142=0,S23,IF(S$126=$W142,SUM($Q23:S23),0))</f>
        <v>96480.006053113044</v>
      </c>
      <c r="T142" s="17">
        <f>IF($W142=0,T23,IF(T$126=$W142,SUM($Q23:T23),0))</f>
        <v>0</v>
      </c>
      <c r="U142" s="17">
        <f>IF($W142=0,U23,IF(U$126=$W142,SUM($Q23:U23),0))</f>
        <v>0</v>
      </c>
      <c r="V142" s="45">
        <f t="shared" si="22"/>
        <v>96480.006053113044</v>
      </c>
      <c r="W142" s="121">
        <f>'2.1 Capex Real Dollars'!W142</f>
        <v>0</v>
      </c>
      <c r="X142" s="46">
        <f t="shared" si="23"/>
        <v>0</v>
      </c>
    </row>
    <row r="143" spans="12:24" ht="16.5" thickTop="1" thickBot="1">
      <c r="L143" s="33" t="str">
        <f>'2.1 Capex Real Dollars'!L143</f>
        <v>Circuit Breakers</v>
      </c>
      <c r="M143" s="33" t="str">
        <f>'2.1 Capex Real Dollars'!M143</f>
        <v>2024/25</v>
      </c>
      <c r="N143" s="33" t="str">
        <f>'2.1 Capex Real Dollars'!N143</f>
        <v>Transmission Assets</v>
      </c>
      <c r="O143" s="33" t="str">
        <f>'2.1 Capex Real Dollars'!O143</f>
        <v>Replacement expenditure</v>
      </c>
      <c r="P143" s="33"/>
      <c r="Q143" s="17">
        <f>IF($W143=0,Q24,IF(Q$126=$W143,SUM($Q24:Q24),0))</f>
        <v>140882.9136</v>
      </c>
      <c r="R143" s="17">
        <f>IF($W143=0,R24,IF(R$126=$W143,SUM($Q24:R24),0))</f>
        <v>435497.26252032007</v>
      </c>
      <c r="S143" s="17">
        <f>IF($W143=0,S24,IF(S$126=$W143,SUM($Q24:S24),0))</f>
        <v>746587.47371400183</v>
      </c>
      <c r="T143" s="17">
        <f>IF($W143=0,T24,IF(T$126=$W143,SUM($Q24:T24),0))</f>
        <v>153319.20360190741</v>
      </c>
      <c r="U143" s="17">
        <f>IF($W143=0,U24,IF(U$126=$W143,SUM($Q24:U24),0))</f>
        <v>334234.40731972392</v>
      </c>
      <c r="V143" s="45">
        <f t="shared" si="22"/>
        <v>1810521.2607559531</v>
      </c>
      <c r="W143" s="121">
        <f>'2.1 Capex Real Dollars'!W143</f>
        <v>0</v>
      </c>
      <c r="X143" s="46">
        <f t="shared" si="23"/>
        <v>0</v>
      </c>
    </row>
    <row r="144" spans="12:24" ht="16.5" thickTop="1" thickBot="1">
      <c r="L144" s="33" t="str">
        <f>'2.1 Capex Real Dollars'!L144</f>
        <v>Cooling Tower Fans</v>
      </c>
      <c r="M144" s="33" t="str">
        <f>'2.1 Capex Real Dollars'!M144</f>
        <v>2024/25</v>
      </c>
      <c r="N144" s="33" t="str">
        <f>'2.1 Capex Real Dollars'!N144</f>
        <v>Transmission Assets</v>
      </c>
      <c r="O144" s="33" t="str">
        <f>'2.1 Capex Real Dollars'!O144</f>
        <v>Replacement expenditure</v>
      </c>
      <c r="P144" s="33"/>
      <c r="Q144" s="17">
        <f>IF($W144=0,Q25,IF(Q$126=$W144,SUM($Q25:Q25),0))</f>
        <v>123016.61717745841</v>
      </c>
      <c r="R144" s="17">
        <f>IF($W144=0,R25,IF(R$126=$W144,SUM($Q25:R25),0))</f>
        <v>128137.49341270629</v>
      </c>
      <c r="S144" s="17">
        <f>IF($W144=0,S25,IF(S$126=$W144,SUM($Q25:S25),0))</f>
        <v>132990.6066010388</v>
      </c>
      <c r="T144" s="17">
        <f>IF($W144=0,T25,IF(T$126=$W144,SUM($Q25:T25),0))</f>
        <v>138165.41760555236</v>
      </c>
      <c r="U144" s="17">
        <f>IF($W144=0,U25,IF(U$126=$W144,SUM($Q25:U25),0))</f>
        <v>143503.03501128801</v>
      </c>
      <c r="V144" s="45">
        <f t="shared" si="22"/>
        <v>665813.16980804387</v>
      </c>
      <c r="W144" s="121">
        <f>'2.1 Capex Real Dollars'!W144</f>
        <v>0</v>
      </c>
      <c r="X144" s="46">
        <f t="shared" si="23"/>
        <v>0</v>
      </c>
    </row>
    <row r="145" spans="12:24" ht="16.5" thickTop="1" thickBot="1">
      <c r="L145" s="33" t="str">
        <f>'2.1 Capex Real Dollars'!L145</f>
        <v>Cooling Tower Sound Enclosure and Roofing Corrosion Management</v>
      </c>
      <c r="M145" s="33" t="str">
        <f>'2.1 Capex Real Dollars'!M145</f>
        <v>2024/25</v>
      </c>
      <c r="N145" s="33" t="str">
        <f>'2.1 Capex Real Dollars'!N145</f>
        <v>Buildings</v>
      </c>
      <c r="O145" s="33" t="str">
        <f>'2.1 Capex Real Dollars'!O145</f>
        <v>Replacement expenditure</v>
      </c>
      <c r="P145" s="33"/>
      <c r="Q145" s="17">
        <f>IF($W145=0,Q26,IF(Q$126=$W145,SUM($Q26:Q26),0))</f>
        <v>0</v>
      </c>
      <c r="R145" s="17">
        <f>IF($W145=0,R26,IF(R$126=$W145,SUM($Q26:R26),0))</f>
        <v>0</v>
      </c>
      <c r="S145" s="17">
        <f>IF($W145=0,S26,IF(S$126=$W145,SUM($Q26:S26),0))</f>
        <v>0</v>
      </c>
      <c r="T145" s="17">
        <f>IF($W145=0,T26,IF(T$126=$W145,SUM($Q26:T26),0))</f>
        <v>1109884.9205893585</v>
      </c>
      <c r="U145" s="17">
        <f>IF($W145=0,U26,IF(U$126=$W145,SUM($Q26:U26),0))</f>
        <v>0</v>
      </c>
      <c r="V145" s="45">
        <f t="shared" si="22"/>
        <v>1109884.9205893585</v>
      </c>
      <c r="W145" s="121">
        <f>'2.1 Capex Real Dollars'!W145</f>
        <v>0</v>
      </c>
      <c r="X145" s="46">
        <f t="shared" si="23"/>
        <v>0</v>
      </c>
    </row>
    <row r="146" spans="12:24" ht="16.5" thickTop="1" thickBot="1">
      <c r="L146" s="33" t="str">
        <f>'2.1 Capex Real Dollars'!L146</f>
        <v>Corporate Upgrade of Telstra Network</v>
      </c>
      <c r="M146" s="33" t="str">
        <f>'2.1 Capex Real Dollars'!M146</f>
        <v>2024/25</v>
      </c>
      <c r="N146" s="33" t="str">
        <f>'2.1 Capex Real Dollars'!N146</f>
        <v>Buildings</v>
      </c>
      <c r="O146" s="33" t="str">
        <f>'2.1 Capex Real Dollars'!O146</f>
        <v>Replacement expenditure</v>
      </c>
      <c r="P146" s="33"/>
      <c r="Q146" s="17">
        <f>IF($W146=0,Q27,IF(Q$126=$W146,SUM($Q27:Q27),0))</f>
        <v>0</v>
      </c>
      <c r="R146" s="17">
        <f>IF($W146=0,R27,IF(R$126=$W146,SUM($Q27:R27),0))</f>
        <v>0</v>
      </c>
      <c r="S146" s="17">
        <f>IF($W146=0,S27,IF(S$126=$W146,SUM($Q27:S27),0))</f>
        <v>0</v>
      </c>
      <c r="T146" s="17">
        <f>IF($W146=0,T27,IF(T$126=$W146,SUM($Q27:T27),0))</f>
        <v>0</v>
      </c>
      <c r="U146" s="17">
        <f>IF($W146=0,U27,IF(U$126=$W146,SUM($Q27:U27),0))</f>
        <v>0</v>
      </c>
      <c r="V146" s="45">
        <f t="shared" si="22"/>
        <v>0</v>
      </c>
      <c r="W146" s="121">
        <f>'2.1 Capex Real Dollars'!W146</f>
        <v>0</v>
      </c>
      <c r="X146" s="46">
        <f t="shared" si="23"/>
        <v>0</v>
      </c>
    </row>
    <row r="147" spans="12:24" ht="16.5" thickTop="1" thickBot="1">
      <c r="L147" s="33" t="str">
        <f>'2.1 Capex Real Dollars'!L147</f>
        <v>DC disconnectors</v>
      </c>
      <c r="M147" s="33" t="str">
        <f>'2.1 Capex Real Dollars'!M147</f>
        <v>2024/25</v>
      </c>
      <c r="N147" s="33" t="str">
        <f>'2.1 Capex Real Dollars'!N147</f>
        <v>Transmission Assets</v>
      </c>
      <c r="O147" s="33" t="str">
        <f>'2.1 Capex Real Dollars'!O147</f>
        <v>Replacement expenditure</v>
      </c>
      <c r="P147" s="33"/>
      <c r="Q147" s="17">
        <f>IF($W147=0,Q28,IF(Q$126=$W147,SUM($Q28:Q28),0))</f>
        <v>461039.3347560002</v>
      </c>
      <c r="R147" s="17">
        <f>IF($W147=0,R28,IF(R$126=$W147,SUM($Q28:R28),0))</f>
        <v>0</v>
      </c>
      <c r="S147" s="17">
        <f>IF($W147=0,S28,IF(S$126=$W147,SUM($Q28:S28),0))</f>
        <v>0</v>
      </c>
      <c r="T147" s="17">
        <f>IF($W147=0,T28,IF(T$126=$W147,SUM($Q28:T28),0))</f>
        <v>0</v>
      </c>
      <c r="U147" s="17">
        <f>IF($W147=0,U28,IF(U$126=$W147,SUM($Q28:U28),0))</f>
        <v>0</v>
      </c>
      <c r="V147" s="45">
        <f t="shared" si="22"/>
        <v>461039.3347560002</v>
      </c>
      <c r="W147" s="121">
        <f>'2.1 Capex Real Dollars'!W147</f>
        <v>0</v>
      </c>
      <c r="X147" s="46">
        <f t="shared" si="23"/>
        <v>0</v>
      </c>
    </row>
    <row r="148" spans="12:24" ht="16.5" thickTop="1" thickBot="1">
      <c r="L148" s="33" t="str">
        <f>'2.1 Capex Real Dollars'!L148</f>
        <v>Dehumidifier Spares in VCU</v>
      </c>
      <c r="M148" s="33" t="str">
        <f>'2.1 Capex Real Dollars'!M148</f>
        <v>2024/25</v>
      </c>
      <c r="N148" s="33" t="str">
        <f>'2.1 Capex Real Dollars'!N148</f>
        <v>Transmission Assets</v>
      </c>
      <c r="O148" s="33" t="str">
        <f>'2.1 Capex Real Dollars'!O148</f>
        <v>Replacement expenditure</v>
      </c>
      <c r="P148" s="33"/>
      <c r="Q148" s="17">
        <f>IF($W148=0,Q29,IF(Q$126=$W148,SUM($Q29:Q29),0))</f>
        <v>0</v>
      </c>
      <c r="R148" s="17">
        <f>IF($W148=0,R29,IF(R$126=$W148,SUM($Q29:R29),0))</f>
        <v>0</v>
      </c>
      <c r="S148" s="17">
        <f>IF($W148=0,S29,IF(S$126=$W148,SUM($Q29:S29),0))</f>
        <v>0</v>
      </c>
      <c r="T148" s="17">
        <f>IF($W148=0,T29,IF(T$126=$W148,SUM($Q29:T29),0))</f>
        <v>0</v>
      </c>
      <c r="U148" s="17">
        <f>IF($W148=0,U29,IF(U$126=$W148,SUM($Q29:U29),0))</f>
        <v>0</v>
      </c>
      <c r="V148" s="45">
        <f t="shared" si="22"/>
        <v>0</v>
      </c>
      <c r="W148" s="121">
        <f>'2.1 Capex Real Dollars'!W148</f>
        <v>0</v>
      </c>
      <c r="X148" s="46">
        <f t="shared" si="23"/>
        <v>0</v>
      </c>
    </row>
    <row r="149" spans="12:24" ht="16.5" thickTop="1" thickBot="1">
      <c r="L149" s="33" t="str">
        <f>'2.1 Capex Real Dollars'!L149</f>
        <v>Environmental Damage from Landslips</v>
      </c>
      <c r="M149" s="33" t="str">
        <f>'2.1 Capex Real Dollars'!M149</f>
        <v>2024/25</v>
      </c>
      <c r="N149" s="33" t="str">
        <f>'2.1 Capex Real Dollars'!N149</f>
        <v>Easements</v>
      </c>
      <c r="O149" s="33" t="str">
        <f>'2.1 Capex Real Dollars'!O149</f>
        <v>Replacement expenditure</v>
      </c>
      <c r="P149" s="33"/>
      <c r="Q149" s="17">
        <f>IF($W149=0,Q30,IF(Q$126=$W149,SUM($Q30:Q30),0))</f>
        <v>185143.62895600003</v>
      </c>
      <c r="R149" s="17">
        <f>IF($W149=0,R30,IF(R$126=$W149,SUM($Q30:R30),0))</f>
        <v>0</v>
      </c>
      <c r="S149" s="17">
        <f>IF($W149=0,S30,IF(S$126=$W149,SUM($Q30:S30),0))</f>
        <v>0</v>
      </c>
      <c r="T149" s="17">
        <f>IF($W149=0,T30,IF(T$126=$W149,SUM($Q30:T30),0))</f>
        <v>0</v>
      </c>
      <c r="U149" s="17">
        <f>IF($W149=0,U30,IF(U$126=$W149,SUM($Q30:U30),0))</f>
        <v>0</v>
      </c>
      <c r="V149" s="45">
        <f t="shared" si="22"/>
        <v>185143.62895600003</v>
      </c>
      <c r="W149" s="121">
        <f>'2.1 Capex Real Dollars'!W149</f>
        <v>0</v>
      </c>
      <c r="X149" s="46">
        <f t="shared" si="23"/>
        <v>0</v>
      </c>
    </row>
    <row r="150" spans="12:24" ht="16.5" thickTop="1" thickBot="1">
      <c r="L150" s="33" t="str">
        <f>'2.1 Capex Real Dollars'!L150</f>
        <v>Environmental Damage from Landslips (Emergency Works)</v>
      </c>
      <c r="M150" s="33" t="str">
        <f>'2.1 Capex Real Dollars'!M150</f>
        <v>2024/25</v>
      </c>
      <c r="N150" s="33" t="str">
        <f>'2.1 Capex Real Dollars'!N150</f>
        <v>Easements</v>
      </c>
      <c r="O150" s="33" t="str">
        <f>'2.1 Capex Real Dollars'!O150</f>
        <v>Replacement expenditure</v>
      </c>
      <c r="P150" s="33"/>
      <c r="Q150" s="17">
        <f>IF($W150=0,Q31,IF(Q$126=$W150,SUM($Q31:Q31),0))</f>
        <v>0</v>
      </c>
      <c r="R150" s="17">
        <f>IF($W150=0,R31,IF(R$126=$W150,SUM($Q31:R31),0))</f>
        <v>0</v>
      </c>
      <c r="S150" s="17">
        <f>IF($W150=0,S31,IF(S$126=$W150,SUM($Q31:S31),0))</f>
        <v>0</v>
      </c>
      <c r="T150" s="17">
        <f>IF($W150=0,T31,IF(T$126=$W150,SUM($Q31:T31),0))</f>
        <v>0</v>
      </c>
      <c r="U150" s="17">
        <f>IF($W150=0,U31,IF(U$126=$W150,SUM($Q31:U31),0))</f>
        <v>0</v>
      </c>
      <c r="V150" s="45">
        <f t="shared" si="22"/>
        <v>0</v>
      </c>
      <c r="W150" s="121">
        <f>'2.1 Capex Real Dollars'!W150</f>
        <v>0</v>
      </c>
      <c r="X150" s="46">
        <f t="shared" si="23"/>
        <v>0</v>
      </c>
    </row>
    <row r="151" spans="12:24" ht="16.5" thickTop="1" thickBot="1">
      <c r="L151" s="33" t="str">
        <f>'2.1 Capex Real Dollars'!L151</f>
        <v>Fibre Cables</v>
      </c>
      <c r="M151" s="33" t="str">
        <f>'2.1 Capex Real Dollars'!M151</f>
        <v>2024/25</v>
      </c>
      <c r="N151" s="33" t="str">
        <f>'2.1 Capex Real Dollars'!N151</f>
        <v>Transmission Assets</v>
      </c>
      <c r="O151" s="33" t="str">
        <f>'2.1 Capex Real Dollars'!O151</f>
        <v>Replacement expenditure</v>
      </c>
      <c r="P151" s="33"/>
      <c r="Q151" s="17">
        <f>IF($W151=0,Q32,IF(Q$126=$W151,SUM($Q32:Q32),0))</f>
        <v>0</v>
      </c>
      <c r="R151" s="17">
        <f>IF($W151=0,R32,IF(R$126=$W151,SUM($Q32:R32),0))</f>
        <v>0</v>
      </c>
      <c r="S151" s="17">
        <f>IF($W151=0,S32,IF(S$126=$W151,SUM($Q32:S32),0))</f>
        <v>0</v>
      </c>
      <c r="T151" s="17">
        <f>IF($W151=0,T32,IF(T$126=$W151,SUM($Q32:T32),0))</f>
        <v>0</v>
      </c>
      <c r="U151" s="17">
        <f>IF($W151=0,U32,IF(U$126=$W151,SUM($Q32:U32),0))</f>
        <v>0</v>
      </c>
      <c r="V151" s="45">
        <f t="shared" si="22"/>
        <v>0</v>
      </c>
      <c r="W151" s="121">
        <f>'2.1 Capex Real Dollars'!W151</f>
        <v>0</v>
      </c>
      <c r="X151" s="46">
        <f t="shared" si="23"/>
        <v>0</v>
      </c>
    </row>
    <row r="152" spans="12:24" ht="16.5" thickTop="1" thickBot="1">
      <c r="L152" s="33" t="str">
        <f>'2.1 Capex Real Dollars'!L152</f>
        <v>Fire System Upgrades (2020-25)</v>
      </c>
      <c r="M152" s="33" t="str">
        <f>'2.1 Capex Real Dollars'!M152</f>
        <v>2024/25</v>
      </c>
      <c r="N152" s="33" t="str">
        <f>'2.1 Capex Real Dollars'!N152</f>
        <v>Transmission Assets</v>
      </c>
      <c r="O152" s="33" t="str">
        <f>'2.1 Capex Real Dollars'!O152</f>
        <v>Replacement expenditure</v>
      </c>
      <c r="P152" s="33"/>
      <c r="Q152" s="17">
        <f>IF($W152=0,Q33,IF(Q$126=$W152,SUM($Q33:Q33),0))</f>
        <v>0</v>
      </c>
      <c r="R152" s="17">
        <f>IF($W152=0,R33,IF(R$126=$W152,SUM($Q33:R33),0))</f>
        <v>0</v>
      </c>
      <c r="S152" s="17">
        <f>IF($W152=0,S33,IF(S$126=$W152,SUM($Q33:S33),0))</f>
        <v>0</v>
      </c>
      <c r="T152" s="17">
        <f>IF($W152=0,T33,IF(T$126=$W152,SUM($Q33:T33),0))</f>
        <v>0</v>
      </c>
      <c r="U152" s="17">
        <f>IF($W152=0,U33,IF(U$126=$W152,SUM($Q33:U33),0))</f>
        <v>0</v>
      </c>
      <c r="V152" s="45">
        <f t="shared" si="22"/>
        <v>0</v>
      </c>
      <c r="W152" s="121">
        <f>'2.1 Capex Real Dollars'!W152</f>
        <v>0</v>
      </c>
      <c r="X152" s="46">
        <f t="shared" si="23"/>
        <v>0</v>
      </c>
    </row>
    <row r="153" spans="12:24" ht="16.5" thickTop="1" thickBot="1">
      <c r="L153" s="33" t="str">
        <f>'2.1 Capex Real Dollars'!L153</f>
        <v>Fire System Upgrades (2026-30)</v>
      </c>
      <c r="M153" s="33" t="str">
        <f>'2.1 Capex Real Dollars'!M153</f>
        <v>2024/25</v>
      </c>
      <c r="N153" s="33" t="str">
        <f>'2.1 Capex Real Dollars'!N153</f>
        <v>Transmission Assets</v>
      </c>
      <c r="O153" s="33" t="str">
        <f>'2.1 Capex Real Dollars'!O153</f>
        <v>Replacement expenditure</v>
      </c>
      <c r="P153" s="33"/>
      <c r="Q153" s="17">
        <f>IF($W153=0,Q34,IF(Q$126=$W153,SUM($Q34:Q34),0))</f>
        <v>0</v>
      </c>
      <c r="R153" s="17">
        <f>IF($W153=0,R34,IF(R$126=$W153,SUM($Q34:R34),0))</f>
        <v>0</v>
      </c>
      <c r="S153" s="17">
        <f>IF($W153=0,S34,IF(S$126=$W153,SUM($Q34:S34),0))</f>
        <v>235175.05421991061</v>
      </c>
      <c r="T153" s="17">
        <f>IF($W153=0,T34,IF(T$126=$W153,SUM($Q34:T34),0))</f>
        <v>241477.74567300419</v>
      </c>
      <c r="U153" s="17">
        <f>IF($W153=0,U34,IF(U$126=$W153,SUM($Q34:U34),0))</f>
        <v>247514.6893148293</v>
      </c>
      <c r="V153" s="45">
        <f t="shared" si="22"/>
        <v>724167.48920774413</v>
      </c>
      <c r="W153" s="121">
        <f>'2.1 Capex Real Dollars'!W153</f>
        <v>0</v>
      </c>
      <c r="X153" s="46">
        <f t="shared" si="23"/>
        <v>0</v>
      </c>
    </row>
    <row r="154" spans="12:24" ht="16.5" thickTop="1" thickBot="1">
      <c r="L154" s="33" t="str">
        <f>'2.1 Capex Real Dollars'!L154</f>
        <v>HV circuit breakers crank housing</v>
      </c>
      <c r="M154" s="33" t="str">
        <f>'2.1 Capex Real Dollars'!M154</f>
        <v>2024/25</v>
      </c>
      <c r="N154" s="33" t="str">
        <f>'2.1 Capex Real Dollars'!N154</f>
        <v>Transmission Assets</v>
      </c>
      <c r="O154" s="33" t="str">
        <f>'2.1 Capex Real Dollars'!O154</f>
        <v>Replacement expenditure</v>
      </c>
      <c r="P154" s="33"/>
      <c r="Q154" s="17">
        <f>IF($W154=0,Q35,IF(Q$126=$W154,SUM($Q35:Q35),0))</f>
        <v>0</v>
      </c>
      <c r="R154" s="17">
        <f>IF($W154=0,R35,IF(R$126=$W154,SUM($Q35:R35),0))</f>
        <v>0</v>
      </c>
      <c r="S154" s="17">
        <f>IF($W154=0,S35,IF(S$126=$W154,SUM($Q35:S35),0))</f>
        <v>0</v>
      </c>
      <c r="T154" s="17">
        <f>IF($W154=0,T35,IF(T$126=$W154,SUM($Q35:T35),0))</f>
        <v>0</v>
      </c>
      <c r="U154" s="17">
        <f>IF($W154=0,U35,IF(U$126=$W154,SUM($Q35:U35),0))</f>
        <v>0</v>
      </c>
      <c r="V154" s="45">
        <f t="shared" si="22"/>
        <v>0</v>
      </c>
      <c r="W154" s="121">
        <f>'2.1 Capex Real Dollars'!W154</f>
        <v>0</v>
      </c>
      <c r="X154" s="46">
        <f t="shared" si="23"/>
        <v>0</v>
      </c>
    </row>
    <row r="155" spans="12:24" ht="16.5" thickTop="1" thickBot="1">
      <c r="L155" s="33" t="str">
        <f>'2.1 Capex Real Dollars'!L155</f>
        <v>HVDC Spare Cable Management</v>
      </c>
      <c r="M155" s="33" t="str">
        <f>'2.1 Capex Real Dollars'!M155</f>
        <v>2024/25</v>
      </c>
      <c r="N155" s="33" t="str">
        <f>'2.1 Capex Real Dollars'!N155</f>
        <v>Transmission Assets</v>
      </c>
      <c r="O155" s="33" t="str">
        <f>'2.1 Capex Real Dollars'!O155</f>
        <v>Replacement expenditure</v>
      </c>
      <c r="P155" s="33"/>
      <c r="Q155" s="17">
        <f>IF($W155=0,Q36,IF(Q$126=$W155,SUM($Q36:Q36),0))</f>
        <v>0</v>
      </c>
      <c r="R155" s="17">
        <f>IF($W155=0,R36,IF(R$126=$W155,SUM($Q36:R36),0))</f>
        <v>0</v>
      </c>
      <c r="S155" s="17">
        <f>IF($W155=0,S36,IF(S$126=$W155,SUM($Q36:S36),0))</f>
        <v>0</v>
      </c>
      <c r="T155" s="17">
        <f>IF($W155=0,T36,IF(T$126=$W155,SUM($Q36:T36),0))</f>
        <v>0</v>
      </c>
      <c r="U155" s="17">
        <f>IF($W155=0,U36,IF(U$126=$W155,SUM($Q36:U36),0))</f>
        <v>0</v>
      </c>
      <c r="V155" s="45">
        <f t="shared" si="22"/>
        <v>0</v>
      </c>
      <c r="W155" s="121">
        <f>'2.1 Capex Real Dollars'!W155</f>
        <v>0</v>
      </c>
      <c r="X155" s="46">
        <f t="shared" si="23"/>
        <v>0</v>
      </c>
    </row>
    <row r="156" spans="12:24" ht="16.5" thickTop="1" thickBot="1">
      <c r="L156" s="33" t="str">
        <f>'2.1 Capex Real Dollars'!L156</f>
        <v>HVDC Spare Cable Order</v>
      </c>
      <c r="M156" s="33" t="str">
        <f>'2.1 Capex Real Dollars'!M156</f>
        <v>2024/25</v>
      </c>
      <c r="N156" s="33" t="str">
        <f>'2.1 Capex Real Dollars'!N156</f>
        <v>Transmission Assets</v>
      </c>
      <c r="O156" s="33" t="str">
        <f>'2.1 Capex Real Dollars'!O156</f>
        <v>Replacement expenditure</v>
      </c>
      <c r="P156" s="33"/>
      <c r="Q156" s="17">
        <f>IF($W156=0,Q37,IF(Q$126=$W156,SUM($Q37:Q37),0))</f>
        <v>0</v>
      </c>
      <c r="R156" s="17">
        <f>IF($W156=0,R37,IF(R$126=$W156,SUM($Q37:R37),0))</f>
        <v>0</v>
      </c>
      <c r="S156" s="17">
        <f>IF($W156=0,S37,IF(S$126=$W156,SUM($Q37:S37),0))</f>
        <v>0</v>
      </c>
      <c r="T156" s="17">
        <f>IF($W156=0,T37,IF(T$126=$W156,SUM($Q37:T37),0))</f>
        <v>0</v>
      </c>
      <c r="U156" s="17">
        <f>IF($W156=0,U37,IF(U$126=$W156,SUM($Q37:U37),0))</f>
        <v>0</v>
      </c>
      <c r="V156" s="45">
        <f t="shared" si="22"/>
        <v>0</v>
      </c>
      <c r="W156" s="121">
        <f>'2.1 Capex Real Dollars'!W156</f>
        <v>0</v>
      </c>
      <c r="X156" s="46">
        <f t="shared" si="23"/>
        <v>0</v>
      </c>
    </row>
    <row r="157" spans="12:24" ht="16.5" thickTop="1" thickBot="1">
      <c r="L157" s="33" t="str">
        <f>'2.1 Capex Real Dollars'!L157</f>
        <v>IGBT Generation 3 Upgrade</v>
      </c>
      <c r="M157" s="33" t="str">
        <f>'2.1 Capex Real Dollars'!M157</f>
        <v>2024/25</v>
      </c>
      <c r="N157" s="33" t="str">
        <f>'2.1 Capex Real Dollars'!N157</f>
        <v>Transmission Assets</v>
      </c>
      <c r="O157" s="33" t="str">
        <f>'2.1 Capex Real Dollars'!O157</f>
        <v>Replacement expenditure</v>
      </c>
      <c r="P157" s="33"/>
      <c r="Q157" s="17">
        <f>IF($W157=0,Q38,IF(Q$126=$W157,SUM($Q38:Q38),0))</f>
        <v>6253220.7848796416</v>
      </c>
      <c r="R157" s="17">
        <f>IF($W157=0,R38,IF(R$126=$W157,SUM($Q38:R38),0))</f>
        <v>0</v>
      </c>
      <c r="S157" s="17">
        <f>IF($W157=0,S38,IF(S$126=$W157,SUM($Q38:S38),0))</f>
        <v>0</v>
      </c>
      <c r="T157" s="17">
        <f>IF($W157=0,T38,IF(T$126=$W157,SUM($Q38:T38),0))</f>
        <v>0</v>
      </c>
      <c r="U157" s="17">
        <f>IF($W157=0,U38,IF(U$126=$W157,SUM($Q38:U38),0))</f>
        <v>0</v>
      </c>
      <c r="V157" s="45">
        <f t="shared" si="22"/>
        <v>6253220.7848796416</v>
      </c>
      <c r="W157" s="121">
        <f>'2.1 Capex Real Dollars'!W157</f>
        <v>0</v>
      </c>
      <c r="X157" s="46">
        <f t="shared" si="23"/>
        <v>0</v>
      </c>
    </row>
    <row r="158" spans="12:24" ht="16.5" thickTop="1" thickBot="1">
      <c r="L158" s="33" t="str">
        <f>'2.1 Capex Real Dollars'!L158</f>
        <v>IGBT Spares</v>
      </c>
      <c r="M158" s="33" t="str">
        <f>'2.1 Capex Real Dollars'!M158</f>
        <v>2024/25</v>
      </c>
      <c r="N158" s="33" t="str">
        <f>'2.1 Capex Real Dollars'!N158</f>
        <v>Transmission Assets</v>
      </c>
      <c r="O158" s="33" t="str">
        <f>'2.1 Capex Real Dollars'!O158</f>
        <v>Replacement expenditure</v>
      </c>
      <c r="P158" s="33"/>
      <c r="Q158" s="17">
        <f>IF($W158=0,Q39,IF(Q$126=$W158,SUM($Q39:Q39),0))</f>
        <v>0</v>
      </c>
      <c r="R158" s="17">
        <f>IF($W158=0,R39,IF(R$126=$W158,SUM($Q39:R39),0))</f>
        <v>0</v>
      </c>
      <c r="S158" s="17">
        <f>IF($W158=0,S39,IF(S$126=$W158,SUM($Q39:S39),0))</f>
        <v>0</v>
      </c>
      <c r="T158" s="17">
        <f>IF($W158=0,T39,IF(T$126=$W158,SUM($Q39:T39),0))</f>
        <v>0</v>
      </c>
      <c r="U158" s="17">
        <f>IF($W158=0,U39,IF(U$126=$W158,SUM($Q39:U39),0))</f>
        <v>0</v>
      </c>
      <c r="V158" s="45">
        <f t="shared" si="22"/>
        <v>0</v>
      </c>
      <c r="W158" s="121">
        <f>'2.1 Capex Real Dollars'!W158</f>
        <v>0</v>
      </c>
      <c r="X158" s="46">
        <f t="shared" si="23"/>
        <v>0</v>
      </c>
    </row>
    <row r="159" spans="12:24" ht="16.5" thickTop="1" thickBot="1">
      <c r="L159" s="33" t="str">
        <f>'2.1 Capex Real Dollars'!L159</f>
        <v>IGBT Water Cooling System Midlife Refurbishment</v>
      </c>
      <c r="M159" s="33" t="str">
        <f>'2.1 Capex Real Dollars'!M159</f>
        <v>2024/25</v>
      </c>
      <c r="N159" s="33" t="str">
        <f>'2.1 Capex Real Dollars'!N159</f>
        <v>Transmission Assets</v>
      </c>
      <c r="O159" s="33" t="str">
        <f>'2.1 Capex Real Dollars'!O159</f>
        <v>Replacement expenditure</v>
      </c>
      <c r="P159" s="33"/>
      <c r="Q159" s="17">
        <f>IF($W159=0,Q40,IF(Q$126=$W159,SUM($Q40:Q40),0))</f>
        <v>70441.4568</v>
      </c>
      <c r="R159" s="17">
        <f>IF($W159=0,R40,IF(R$126=$W159,SUM($Q40:R40),0))</f>
        <v>72582.877086719993</v>
      </c>
      <c r="S159" s="17">
        <f>IF($W159=0,S40,IF(S$126=$W159,SUM($Q40:S40),0))</f>
        <v>168728.76905936442</v>
      </c>
      <c r="T159" s="17">
        <f>IF($W159=0,T40,IF(T$126=$W159,SUM($Q40:T40),0))</f>
        <v>536617.21260667592</v>
      </c>
      <c r="U159" s="17">
        <f>IF($W159=0,U40,IF(U$126=$W159,SUM($Q40:U40),0))</f>
        <v>78576.091845977542</v>
      </c>
      <c r="V159" s="45">
        <f t="shared" si="22"/>
        <v>926946.40739873797</v>
      </c>
      <c r="W159" s="121">
        <f>'2.1 Capex Real Dollars'!W159</f>
        <v>0</v>
      </c>
      <c r="X159" s="46">
        <f t="shared" si="23"/>
        <v>0</v>
      </c>
    </row>
    <row r="160" spans="12:24" ht="16.5" thickTop="1" thickBot="1">
      <c r="L160" s="33" t="str">
        <f>'2.1 Capex Real Dollars'!L160</f>
        <v>Incoming Capacitors</v>
      </c>
      <c r="M160" s="33" t="str">
        <f>'2.1 Capex Real Dollars'!M160</f>
        <v>2024/25</v>
      </c>
      <c r="N160" s="33" t="str">
        <f>'2.1 Capex Real Dollars'!N160</f>
        <v>Transmission Assets</v>
      </c>
      <c r="O160" s="33" t="str">
        <f>'2.1 Capex Real Dollars'!O160</f>
        <v>Replacement expenditure</v>
      </c>
      <c r="P160" s="33"/>
      <c r="Q160" s="17">
        <f>IF($W160=0,Q41,IF(Q$126=$W160,SUM($Q41:Q41),0))</f>
        <v>0</v>
      </c>
      <c r="R160" s="17">
        <f>IF($W160=0,R41,IF(R$126=$W160,SUM($Q41:R41),0))</f>
        <v>0</v>
      </c>
      <c r="S160" s="17">
        <f>IF($W160=0,S41,IF(S$126=$W160,SUM($Q41:S41),0))</f>
        <v>0</v>
      </c>
      <c r="T160" s="17">
        <f>IF($W160=0,T41,IF(T$126=$W160,SUM($Q41:T41),0))</f>
        <v>0</v>
      </c>
      <c r="U160" s="17">
        <f>IF($W160=0,U41,IF(U$126=$W160,SUM($Q41:U41),0))</f>
        <v>0</v>
      </c>
      <c r="V160" s="45">
        <f t="shared" si="22"/>
        <v>0</v>
      </c>
      <c r="W160" s="121">
        <f>'2.1 Capex Real Dollars'!W160</f>
        <v>0</v>
      </c>
      <c r="X160" s="46">
        <f t="shared" si="23"/>
        <v>0</v>
      </c>
    </row>
    <row r="161" spans="12:24" ht="16.5" thickTop="1" thickBot="1">
      <c r="L161" s="33" t="str">
        <f>'2.1 Capex Real Dollars'!L161</f>
        <v>Internal Fencing Protection</v>
      </c>
      <c r="M161" s="33" t="str">
        <f>'2.1 Capex Real Dollars'!M161</f>
        <v>2024/25</v>
      </c>
      <c r="N161" s="33" t="str">
        <f>'2.1 Capex Real Dollars'!N161</f>
        <v>Buildings</v>
      </c>
      <c r="O161" s="33" t="str">
        <f>'2.1 Capex Real Dollars'!O161</f>
        <v>Replacement expenditure</v>
      </c>
      <c r="P161" s="33"/>
      <c r="Q161" s="17">
        <f>IF($W161=0,Q42,IF(Q$126=$W161,SUM($Q42:Q42),0))</f>
        <v>0</v>
      </c>
      <c r="R161" s="17">
        <f>IF($W161=0,R42,IF(R$126=$W161,SUM($Q42:R42),0))</f>
        <v>0</v>
      </c>
      <c r="S161" s="17">
        <f>IF($W161=0,S42,IF(S$126=$W161,SUM($Q42:S42),0))</f>
        <v>0</v>
      </c>
      <c r="T161" s="17">
        <f>IF($W161=0,T42,IF(T$126=$W161,SUM($Q42:T42),0))</f>
        <v>0</v>
      </c>
      <c r="U161" s="17">
        <f>IF($W161=0,U42,IF(U$126=$W161,SUM($Q42:U42),0))</f>
        <v>0</v>
      </c>
      <c r="V161" s="45">
        <f t="shared" si="22"/>
        <v>0</v>
      </c>
      <c r="W161" s="121">
        <f>'2.1 Capex Real Dollars'!W161</f>
        <v>0</v>
      </c>
      <c r="X161" s="46">
        <f t="shared" si="23"/>
        <v>0</v>
      </c>
    </row>
    <row r="162" spans="12:24" ht="16.5" thickTop="1" thickBot="1">
      <c r="L162" s="33" t="str">
        <f>'2.1 Capex Real Dollars'!L162</f>
        <v>Land Grading</v>
      </c>
      <c r="M162" s="33" t="str">
        <f>'2.1 Capex Real Dollars'!M162</f>
        <v>2024/25</v>
      </c>
      <c r="N162" s="33" t="str">
        <f>'2.1 Capex Real Dollars'!N162</f>
        <v>Buildings</v>
      </c>
      <c r="O162" s="33" t="str">
        <f>'2.1 Capex Real Dollars'!O162</f>
        <v>Replacement expenditure</v>
      </c>
      <c r="P162" s="33"/>
      <c r="Q162" s="17">
        <f>IF($W162=0,Q43,IF(Q$126=$W162,SUM($Q43:Q43),0))</f>
        <v>33811.899264000007</v>
      </c>
      <c r="R162" s="17">
        <f>IF($W162=0,R43,IF(R$126=$W162,SUM($Q43:R43),0))</f>
        <v>34839.781001625604</v>
      </c>
      <c r="S162" s="17">
        <f>IF($W162=0,S43,IF(S$126=$W162,SUM($Q43:S43),0))</f>
        <v>0</v>
      </c>
      <c r="T162" s="17">
        <f>IF($W162=0,T43,IF(T$126=$W162,SUM($Q43:T43),0))</f>
        <v>0</v>
      </c>
      <c r="U162" s="17">
        <f>IF($W162=0,U43,IF(U$126=$W162,SUM($Q43:U43),0))</f>
        <v>0</v>
      </c>
      <c r="V162" s="45">
        <f t="shared" si="22"/>
        <v>68651.680265625619</v>
      </c>
      <c r="W162" s="121">
        <f>'2.1 Capex Real Dollars'!W162</f>
        <v>0</v>
      </c>
      <c r="X162" s="46">
        <f t="shared" si="23"/>
        <v>0</v>
      </c>
    </row>
    <row r="163" spans="12:24" ht="16.5" thickTop="1" thickBot="1">
      <c r="L163" s="33" t="str">
        <f>'2.1 Capex Real Dollars'!L163</f>
        <v>Master Controller- FEED</v>
      </c>
      <c r="M163" s="33" t="str">
        <f>'2.1 Capex Real Dollars'!M163</f>
        <v>2024/25</v>
      </c>
      <c r="N163" s="33" t="str">
        <f>'2.1 Capex Real Dollars'!N163</f>
        <v>Transmission Assets</v>
      </c>
      <c r="O163" s="33" t="str">
        <f>'2.1 Capex Real Dollars'!O163</f>
        <v>Replacement expenditure</v>
      </c>
      <c r="P163" s="33"/>
      <c r="Q163" s="17">
        <f>IF($W163=0,Q44,IF(Q$126=$W163,SUM($Q44:Q44),0))</f>
        <v>0</v>
      </c>
      <c r="R163" s="17">
        <f>IF($W163=0,R44,IF(R$126=$W163,SUM($Q44:R44),0))</f>
        <v>0</v>
      </c>
      <c r="S163" s="17">
        <f>IF($W163=0,S44,IF(S$126=$W163,SUM($Q44:S44),0))</f>
        <v>0</v>
      </c>
      <c r="T163" s="17">
        <f>IF($W163=0,T44,IF(T$126=$W163,SUM($Q44:T44),0))</f>
        <v>0</v>
      </c>
      <c r="U163" s="17">
        <f>IF($W163=0,U44,IF(U$126=$W163,SUM($Q44:U44),0))</f>
        <v>157152.18369195508</v>
      </c>
      <c r="V163" s="45">
        <f t="shared" si="22"/>
        <v>157152.18369195508</v>
      </c>
      <c r="W163" s="121">
        <f>'2.1 Capex Real Dollars'!W163</f>
        <v>0</v>
      </c>
      <c r="X163" s="46">
        <f t="shared" si="23"/>
        <v>0</v>
      </c>
    </row>
    <row r="164" spans="12:24" ht="16.5" thickTop="1" thickBot="1">
      <c r="L164" s="33" t="str">
        <f>'2.1 Capex Real Dollars'!L164</f>
        <v>Mid-Life Criticality Assessment</v>
      </c>
      <c r="M164" s="33" t="str">
        <f>'2.1 Capex Real Dollars'!M164</f>
        <v>2024/25</v>
      </c>
      <c r="N164" s="33" t="str">
        <f>'2.1 Capex Real Dollars'!N164</f>
        <v>Transmission Assets</v>
      </c>
      <c r="O164" s="33" t="str">
        <f>'2.1 Capex Real Dollars'!O164</f>
        <v>Replacement expenditure</v>
      </c>
      <c r="P164" s="33"/>
      <c r="Q164" s="17">
        <f>IF($W164=0,Q45,IF(Q$126=$W164,SUM($Q45:Q45),0))</f>
        <v>0</v>
      </c>
      <c r="R164" s="17">
        <f>IF($W164=0,R45,IF(R$126=$W164,SUM($Q45:R45),0))</f>
        <v>0</v>
      </c>
      <c r="S164" s="17">
        <f>IF($W164=0,S45,IF(S$126=$W164,SUM($Q45:S45),0))</f>
        <v>0</v>
      </c>
      <c r="T164" s="17">
        <f>IF($W164=0,T45,IF(T$126=$W164,SUM($Q45:T45),0))</f>
        <v>0</v>
      </c>
      <c r="U164" s="17">
        <f>IF($W164=0,U45,IF(U$126=$W164,SUM($Q45:U45),0))</f>
        <v>0</v>
      </c>
      <c r="V164" s="45">
        <f t="shared" si="22"/>
        <v>0</v>
      </c>
      <c r="W164" s="121">
        <f>'2.1 Capex Real Dollars'!W164</f>
        <v>0</v>
      </c>
      <c r="X164" s="46">
        <f t="shared" si="23"/>
        <v>0</v>
      </c>
    </row>
    <row r="165" spans="12:24" ht="16.5" thickTop="1" thickBot="1">
      <c r="L165" s="33" t="str">
        <f>'2.1 Capex Real Dollars'!L165</f>
        <v>Network Cable Testing Equipment</v>
      </c>
      <c r="M165" s="33" t="str">
        <f>'2.1 Capex Real Dollars'!M165</f>
        <v>2024/25</v>
      </c>
      <c r="N165" s="33" t="str">
        <f>'2.1 Capex Real Dollars'!N165</f>
        <v>Transmission Assets</v>
      </c>
      <c r="O165" s="33" t="str">
        <f>'2.1 Capex Real Dollars'!O165</f>
        <v>Replacement expenditure</v>
      </c>
      <c r="P165" s="33"/>
      <c r="Q165" s="17">
        <f>IF($W165=0,Q46,IF(Q$126=$W165,SUM($Q46:Q46),0))</f>
        <v>0</v>
      </c>
      <c r="R165" s="17">
        <f>IF($W165=0,R46,IF(R$126=$W165,SUM($Q46:R46),0))</f>
        <v>0</v>
      </c>
      <c r="S165" s="17">
        <f>IF($W165=0,S46,IF(S$126=$W165,SUM($Q46:S46),0))</f>
        <v>0</v>
      </c>
      <c r="T165" s="17">
        <f>IF($W165=0,T46,IF(T$126=$W165,SUM($Q46:T46),0))</f>
        <v>0</v>
      </c>
      <c r="U165" s="17">
        <f>IF($W165=0,U46,IF(U$126=$W165,SUM($Q46:U46),0))</f>
        <v>0</v>
      </c>
      <c r="V165" s="45">
        <f t="shared" si="22"/>
        <v>0</v>
      </c>
      <c r="W165" s="121">
        <f>'2.1 Capex Real Dollars'!W165</f>
        <v>0</v>
      </c>
      <c r="X165" s="46">
        <f t="shared" si="23"/>
        <v>0</v>
      </c>
    </row>
    <row r="166" spans="12:24" ht="16.5" thickTop="1" thickBot="1">
      <c r="L166" s="33" t="str">
        <f>'2.1 Capex Real Dollars'!L166</f>
        <v>On-going Major Capital Maintenance</v>
      </c>
      <c r="M166" s="33" t="str">
        <f>'2.1 Capex Real Dollars'!M166</f>
        <v>2024/25</v>
      </c>
      <c r="N166" s="33" t="str">
        <f>'2.1 Capex Real Dollars'!N166</f>
        <v>Transmission Assets</v>
      </c>
      <c r="O166" s="33" t="str">
        <f>'2.1 Capex Real Dollars'!O166</f>
        <v>Replacement expenditure</v>
      </c>
      <c r="P166" s="33"/>
      <c r="Q166" s="17">
        <f>IF($W166=0,Q47,IF(Q$126=$W166,SUM($Q47:Q47),0))</f>
        <v>176103.64199999999</v>
      </c>
      <c r="R166" s="17">
        <f>IF($W166=0,R47,IF(R$126=$W166,SUM($Q47:R47),0))</f>
        <v>181457.1927168</v>
      </c>
      <c r="S166" s="17">
        <f>IF($W166=0,S47,IF(S$126=$W166,SUM($Q47:S47),0))</f>
        <v>186646.86842850046</v>
      </c>
      <c r="T166" s="17">
        <f>IF($W166=0,T47,IF(T$126=$W166,SUM($Q47:T47),0))</f>
        <v>191649.00450238425</v>
      </c>
      <c r="U166" s="17">
        <f>IF($W166=0,U47,IF(U$126=$W166,SUM($Q47:U47),0))</f>
        <v>196440.22961494385</v>
      </c>
      <c r="V166" s="45">
        <f t="shared" si="22"/>
        <v>932296.93726262858</v>
      </c>
      <c r="W166" s="121">
        <f>'2.1 Capex Real Dollars'!W166</f>
        <v>0</v>
      </c>
      <c r="X166" s="46">
        <f t="shared" si="23"/>
        <v>0</v>
      </c>
    </row>
    <row r="167" spans="12:24" ht="16.5" thickTop="1" thickBot="1">
      <c r="L167" s="33" t="str">
        <f>'2.1 Capex Real Dollars'!L167</f>
        <v>Operations Asset Integration</v>
      </c>
      <c r="M167" s="33" t="str">
        <f>'2.1 Capex Real Dollars'!M167</f>
        <v>2024/25</v>
      </c>
      <c r="N167" s="33" t="str">
        <f>'2.1 Capex Real Dollars'!N167</f>
        <v>Transmission Assets</v>
      </c>
      <c r="O167" s="33" t="str">
        <f>'2.1 Capex Real Dollars'!O167</f>
        <v>Replacement expenditure</v>
      </c>
      <c r="P167" s="33"/>
      <c r="Q167" s="17">
        <f>IF($W167=0,Q48,IF(Q$126=$W167,SUM($Q48:Q48),0))</f>
        <v>95800.381248000005</v>
      </c>
      <c r="R167" s="17">
        <f>IF($W167=0,R48,IF(R$126=$W167,SUM($Q48:R48),0))</f>
        <v>98712.712837939194</v>
      </c>
      <c r="S167" s="17">
        <f>IF($W167=0,S48,IF(S$126=$W167,SUM($Q48:S48),0))</f>
        <v>101535.89642510425</v>
      </c>
      <c r="T167" s="17">
        <f>IF($W167=0,T48,IF(T$126=$W167,SUM($Q48:T48),0))</f>
        <v>104257.05844929704</v>
      </c>
      <c r="U167" s="17">
        <f>IF($W167=0,U48,IF(U$126=$W167,SUM($Q48:U48),0))</f>
        <v>0</v>
      </c>
      <c r="V167" s="45">
        <f t="shared" si="22"/>
        <v>400306.0489603405</v>
      </c>
      <c r="W167" s="121">
        <f>'2.1 Capex Real Dollars'!W167</f>
        <v>0</v>
      </c>
      <c r="X167" s="46">
        <f t="shared" si="23"/>
        <v>0</v>
      </c>
    </row>
    <row r="168" spans="12:24" ht="16.5" thickTop="1" thickBot="1">
      <c r="L168" s="33" t="str">
        <f>'2.1 Capex Real Dollars'!L168</f>
        <v>Physical Site Security and Public Protection - Bangalora</v>
      </c>
      <c r="M168" s="33" t="str">
        <f>'2.1 Capex Real Dollars'!M168</f>
        <v>2024/25</v>
      </c>
      <c r="N168" s="33" t="str">
        <f>'2.1 Capex Real Dollars'!N168</f>
        <v>Buildings</v>
      </c>
      <c r="O168" s="33" t="str">
        <f>'2.1 Capex Real Dollars'!O168</f>
        <v>Replacement expenditure</v>
      </c>
      <c r="P168" s="33"/>
      <c r="Q168" s="17">
        <f>IF($W168=0,Q49,IF(Q$126=$W168,SUM($Q49:Q49),0))</f>
        <v>0</v>
      </c>
      <c r="R168" s="17">
        <f>IF($W168=0,R49,IF(R$126=$W168,SUM($Q49:R49),0))</f>
        <v>0</v>
      </c>
      <c r="S168" s="17">
        <f>IF($W168=0,S49,IF(S$126=$W168,SUM($Q49:S49),0))</f>
        <v>1139356.1142359709</v>
      </c>
      <c r="T168" s="17">
        <f>IF($W168=0,T49,IF(T$126=$W168,SUM($Q49:T49),0))</f>
        <v>0</v>
      </c>
      <c r="U168" s="17">
        <f>IF($W168=0,U49,IF(U$126=$W168,SUM($Q49:U49),0))</f>
        <v>0</v>
      </c>
      <c r="V168" s="45">
        <f t="shared" si="22"/>
        <v>1139356.1142359709</v>
      </c>
      <c r="W168" s="121" t="str">
        <f>'2.1 Capex Real Dollars'!W168</f>
        <v>2027/28</v>
      </c>
      <c r="X168" s="46">
        <f t="shared" si="23"/>
        <v>0</v>
      </c>
    </row>
    <row r="169" spans="12:24" ht="16.5" thickTop="1" thickBot="1">
      <c r="L169" s="33" t="str">
        <f>'2.1 Capex Real Dollars'!L169</f>
        <v>Physical Site Security and Public Protection - Mullumbimby</v>
      </c>
      <c r="M169" s="33" t="str">
        <f>'2.1 Capex Real Dollars'!M169</f>
        <v>2024/25</v>
      </c>
      <c r="N169" s="33" t="str">
        <f>'2.1 Capex Real Dollars'!N169</f>
        <v>Buildings</v>
      </c>
      <c r="O169" s="33" t="str">
        <f>'2.1 Capex Real Dollars'!O169</f>
        <v>Replacement expenditure</v>
      </c>
      <c r="P169" s="33"/>
      <c r="Q169" s="17">
        <f>IF($W169=0,Q50,IF(Q$126=$W169,SUM($Q50:Q50),0))</f>
        <v>0</v>
      </c>
      <c r="R169" s="17">
        <f>IF($W169=0,R50,IF(R$126=$W169,SUM($Q50:R50),0))</f>
        <v>2283498.9930010522</v>
      </c>
      <c r="S169" s="17">
        <f>IF($W169=0,S50,IF(S$126=$W169,SUM($Q50:S50),0))</f>
        <v>0</v>
      </c>
      <c r="T169" s="17">
        <f>IF($W169=0,T50,IF(T$126=$W169,SUM($Q50:T50),0))</f>
        <v>0</v>
      </c>
      <c r="U169" s="17">
        <f>IF($W169=0,U50,IF(U$126=$W169,SUM($Q50:U50),0))</f>
        <v>0</v>
      </c>
      <c r="V169" s="45">
        <f t="shared" si="22"/>
        <v>2283498.9930010522</v>
      </c>
      <c r="W169" s="121" t="str">
        <f>'2.1 Capex Real Dollars'!W169</f>
        <v>2026/27</v>
      </c>
      <c r="X169" s="46">
        <f t="shared" si="23"/>
        <v>0</v>
      </c>
    </row>
    <row r="170" spans="12:24" ht="16.5" thickTop="1" thickBot="1">
      <c r="L170" s="33" t="str">
        <f>'2.1 Capex Real Dollars'!L170</f>
        <v>PLC Reactor Filters</v>
      </c>
      <c r="M170" s="33" t="str">
        <f>'2.1 Capex Real Dollars'!M170</f>
        <v>2024/25</v>
      </c>
      <c r="N170" s="33" t="str">
        <f>'2.1 Capex Real Dollars'!N170</f>
        <v>Transmission Assets</v>
      </c>
      <c r="O170" s="33" t="str">
        <f>'2.1 Capex Real Dollars'!O170</f>
        <v>Replacement expenditure</v>
      </c>
      <c r="P170" s="33"/>
      <c r="Q170" s="17">
        <f>IF($W170=0,Q51,IF(Q$126=$W170,SUM($Q51:Q51),0))</f>
        <v>0</v>
      </c>
      <c r="R170" s="17">
        <f>IF($W170=0,R51,IF(R$126=$W170,SUM($Q51:R51),0))</f>
        <v>0</v>
      </c>
      <c r="S170" s="17">
        <f>IF($W170=0,S51,IF(S$126=$W170,SUM($Q51:S51),0))</f>
        <v>0</v>
      </c>
      <c r="T170" s="17">
        <f>IF($W170=0,T51,IF(T$126=$W170,SUM($Q51:T51),0))</f>
        <v>0</v>
      </c>
      <c r="U170" s="17">
        <f>IF($W170=0,U51,IF(U$126=$W170,SUM($Q51:U51),0))</f>
        <v>0</v>
      </c>
      <c r="V170" s="45">
        <f t="shared" si="22"/>
        <v>0</v>
      </c>
      <c r="W170" s="121">
        <f>'2.1 Capex Real Dollars'!W170</f>
        <v>0</v>
      </c>
      <c r="X170" s="46">
        <f t="shared" si="23"/>
        <v>0</v>
      </c>
    </row>
    <row r="171" spans="12:24" ht="16.5" thickTop="1" thickBot="1">
      <c r="L171" s="33" t="str">
        <f>'2.1 Capex Real Dollars'!L171</f>
        <v>PLC Reactor Filters (2026 - 30)</v>
      </c>
      <c r="M171" s="33" t="str">
        <f>'2.1 Capex Real Dollars'!M171</f>
        <v>2024/25</v>
      </c>
      <c r="N171" s="33" t="str">
        <f>'2.1 Capex Real Dollars'!N171</f>
        <v>Transmission Assets</v>
      </c>
      <c r="O171" s="33" t="str">
        <f>'2.1 Capex Real Dollars'!O171</f>
        <v>Replacement expenditure</v>
      </c>
      <c r="P171" s="33"/>
      <c r="Q171" s="17">
        <f>IF($W171=0,Q52,IF(Q$126=$W171,SUM($Q52:Q52),0))</f>
        <v>0</v>
      </c>
      <c r="R171" s="17">
        <f>IF($W171=0,R52,IF(R$126=$W171,SUM($Q52:R52),0))</f>
        <v>0</v>
      </c>
      <c r="S171" s="17">
        <f>IF($W171=0,S52,IF(S$126=$W171,SUM($Q52:S52),0))</f>
        <v>0</v>
      </c>
      <c r="T171" s="17">
        <f>IF($W171=0,T52,IF(T$126=$W171,SUM($Q52:T52),0))</f>
        <v>0</v>
      </c>
      <c r="U171" s="17">
        <f>IF($W171=0,U52,IF(U$126=$W171,SUM($Q52:U52),0))</f>
        <v>0</v>
      </c>
      <c r="V171" s="45">
        <f t="shared" si="22"/>
        <v>0</v>
      </c>
      <c r="W171" s="121">
        <f>'2.1 Capex Real Dollars'!W171</f>
        <v>0</v>
      </c>
      <c r="X171" s="46">
        <f t="shared" si="23"/>
        <v>0</v>
      </c>
    </row>
    <row r="172" spans="12:24" ht="16.5" thickTop="1" thickBot="1">
      <c r="L172" s="33" t="str">
        <f>'2.1 Capex Real Dollars'!L172</f>
        <v>Power Quality Metering</v>
      </c>
      <c r="M172" s="33" t="str">
        <f>'2.1 Capex Real Dollars'!M172</f>
        <v>2024/25</v>
      </c>
      <c r="N172" s="33" t="str">
        <f>'2.1 Capex Real Dollars'!N172</f>
        <v>Transmission Assets</v>
      </c>
      <c r="O172" s="33" t="str">
        <f>'2.1 Capex Real Dollars'!O172</f>
        <v>Replacement expenditure</v>
      </c>
      <c r="P172" s="33"/>
      <c r="Q172" s="17">
        <f>IF($W172=0,Q53,IF(Q$126=$W172,SUM($Q53:Q53),0))</f>
        <v>0</v>
      </c>
      <c r="R172" s="17">
        <f>IF($W172=0,R53,IF(R$126=$W172,SUM($Q53:R53),0))</f>
        <v>0</v>
      </c>
      <c r="S172" s="17">
        <f>IF($W172=0,S53,IF(S$126=$W172,SUM($Q53:S53),0))</f>
        <v>0</v>
      </c>
      <c r="T172" s="17">
        <f>IF($W172=0,T53,IF(T$126=$W172,SUM($Q53:T53),0))</f>
        <v>0</v>
      </c>
      <c r="U172" s="17">
        <f>IF($W172=0,U53,IF(U$126=$W172,SUM($Q53:U53),0))</f>
        <v>0</v>
      </c>
      <c r="V172" s="45">
        <f t="shared" si="22"/>
        <v>0</v>
      </c>
      <c r="W172" s="121">
        <f>'2.1 Capex Real Dollars'!W172</f>
        <v>0</v>
      </c>
      <c r="X172" s="46">
        <f t="shared" si="23"/>
        <v>0</v>
      </c>
    </row>
    <row r="173" spans="12:24" ht="16.5" thickTop="1" thickBot="1">
      <c r="L173" s="33" t="str">
        <f>'2.1 Capex Real Dollars'!L173</f>
        <v>Power Supply Upgrade - Phase 2</v>
      </c>
      <c r="M173" s="33" t="str">
        <f>'2.1 Capex Real Dollars'!M173</f>
        <v>2024/25</v>
      </c>
      <c r="N173" s="33" t="str">
        <f>'2.1 Capex Real Dollars'!N173</f>
        <v>Transmission Assets</v>
      </c>
      <c r="O173" s="33" t="str">
        <f>'2.1 Capex Real Dollars'!O173</f>
        <v>Replacement expenditure</v>
      </c>
      <c r="P173" s="33"/>
      <c r="Q173" s="17">
        <f>IF($W173=0,Q54,IF(Q$126=$W173,SUM($Q54:Q54),0))</f>
        <v>0</v>
      </c>
      <c r="R173" s="17">
        <f>IF($W173=0,R54,IF(R$126=$W173,SUM($Q54:R54),0))</f>
        <v>0</v>
      </c>
      <c r="S173" s="17">
        <f>IF($W173=0,S54,IF(S$126=$W173,SUM($Q54:S54),0))</f>
        <v>0</v>
      </c>
      <c r="T173" s="17">
        <f>IF($W173=0,T54,IF(T$126=$W173,SUM($Q54:T54),0))</f>
        <v>0</v>
      </c>
      <c r="U173" s="17">
        <f>IF($W173=0,U54,IF(U$126=$W173,SUM($Q54:U54),0))</f>
        <v>0</v>
      </c>
      <c r="V173" s="45">
        <f t="shared" si="22"/>
        <v>0</v>
      </c>
      <c r="W173" s="121">
        <f>'2.1 Capex Real Dollars'!W173</f>
        <v>0</v>
      </c>
      <c r="X173" s="46">
        <f t="shared" si="23"/>
        <v>0</v>
      </c>
    </row>
    <row r="174" spans="12:24" ht="16.5" thickTop="1" thickBot="1">
      <c r="L174" s="33" t="str">
        <f>'2.1 Capex Real Dollars'!L174</f>
        <v>Reactor cooling enhancements</v>
      </c>
      <c r="M174" s="33" t="str">
        <f>'2.1 Capex Real Dollars'!M174</f>
        <v>2024/25</v>
      </c>
      <c r="N174" s="33" t="str">
        <f>'2.1 Capex Real Dollars'!N174</f>
        <v>Transmission Assets</v>
      </c>
      <c r="O174" s="33" t="str">
        <f>'2.1 Capex Real Dollars'!O174</f>
        <v>Replacement expenditure</v>
      </c>
      <c r="P174" s="33"/>
      <c r="Q174" s="17">
        <f>IF($W174=0,Q55,IF(Q$126=$W174,SUM($Q55:Q55),0))</f>
        <v>367704.40449600003</v>
      </c>
      <c r="R174" s="17">
        <f>IF($W174=0,R55,IF(R$126=$W174,SUM($Q55:R55),0))</f>
        <v>907285.96358400013</v>
      </c>
      <c r="S174" s="17">
        <f>IF($W174=0,S55,IF(S$126=$W174,SUM($Q55:S55),0))</f>
        <v>933234.34214250243</v>
      </c>
      <c r="T174" s="17">
        <f>IF($W174=0,T55,IF(T$126=$W174,SUM($Q55:T55),0))</f>
        <v>0</v>
      </c>
      <c r="U174" s="17">
        <f>IF($W174=0,U55,IF(U$126=$W174,SUM($Q55:U55),0))</f>
        <v>0</v>
      </c>
      <c r="V174" s="45">
        <f t="shared" si="22"/>
        <v>2208224.7102225027</v>
      </c>
      <c r="W174" s="121">
        <f>'2.1 Capex Real Dollars'!W174</f>
        <v>0</v>
      </c>
      <c r="X174" s="46">
        <f t="shared" si="23"/>
        <v>0</v>
      </c>
    </row>
    <row r="175" spans="12:24" ht="16.5" thickTop="1" thickBot="1">
      <c r="L175" s="33" t="str">
        <f>'2.1 Capex Real Dollars'!L175</f>
        <v>Reposition Nitrogen Tanks</v>
      </c>
      <c r="M175" s="33" t="str">
        <f>'2.1 Capex Real Dollars'!M175</f>
        <v>2024/25</v>
      </c>
      <c r="N175" s="33" t="str">
        <f>'2.1 Capex Real Dollars'!N175</f>
        <v>Transmission Assets</v>
      </c>
      <c r="O175" s="33" t="str">
        <f>'2.1 Capex Real Dollars'!O175</f>
        <v>Replacement expenditure</v>
      </c>
      <c r="P175" s="33"/>
      <c r="Q175" s="17">
        <f>IF($W175=0,Q56,IF(Q$126=$W175,SUM($Q56:Q56),0))</f>
        <v>235672.45994292008</v>
      </c>
      <c r="R175" s="17">
        <f>IF($W175=0,R56,IF(R$126=$W175,SUM($Q56:R56),0))</f>
        <v>0</v>
      </c>
      <c r="S175" s="17">
        <f>IF($W175=0,S56,IF(S$126=$W175,SUM($Q56:S56),0))</f>
        <v>0</v>
      </c>
      <c r="T175" s="17">
        <f>IF($W175=0,T56,IF(T$126=$W175,SUM($Q56:T56),0))</f>
        <v>0</v>
      </c>
      <c r="U175" s="17">
        <f>IF($W175=0,U56,IF(U$126=$W175,SUM($Q56:U56),0))</f>
        <v>0</v>
      </c>
      <c r="V175" s="45">
        <f t="shared" si="22"/>
        <v>235672.45994292008</v>
      </c>
      <c r="W175" s="121">
        <f>'2.1 Capex Real Dollars'!W175</f>
        <v>0</v>
      </c>
      <c r="X175" s="46">
        <f t="shared" si="23"/>
        <v>0</v>
      </c>
    </row>
    <row r="176" spans="12:24" ht="16.5" thickTop="1" thickBot="1">
      <c r="L176" s="33" t="str">
        <f>'2.1 Capex Real Dollars'!L176</f>
        <v>RTU Upgrade - Comms Interface to EE and AEMO</v>
      </c>
      <c r="M176" s="33" t="str">
        <f>'2.1 Capex Real Dollars'!M176</f>
        <v>2024/25</v>
      </c>
      <c r="N176" s="33" t="str">
        <f>'2.1 Capex Real Dollars'!N176</f>
        <v>Transmission Assets</v>
      </c>
      <c r="O176" s="33" t="str">
        <f>'2.1 Capex Real Dollars'!O176</f>
        <v>Replacement expenditure</v>
      </c>
      <c r="P176" s="33"/>
      <c r="Q176" s="17">
        <f>IF($W176=0,Q57,IF(Q$126=$W176,SUM($Q57:Q57),0))</f>
        <v>0</v>
      </c>
      <c r="R176" s="17">
        <f>IF($W176=0,R57,IF(R$126=$W176,SUM($Q57:R57),0))</f>
        <v>0</v>
      </c>
      <c r="S176" s="17">
        <f>IF($W176=0,S57,IF(S$126=$W176,SUM($Q57:S57),0))</f>
        <v>0</v>
      </c>
      <c r="T176" s="17">
        <f>IF($W176=0,T57,IF(T$126=$W176,SUM($Q57:T57),0))</f>
        <v>0</v>
      </c>
      <c r="U176" s="17">
        <f>IF($W176=0,U57,IF(U$126=$W176,SUM($Q57:U57),0))</f>
        <v>0</v>
      </c>
      <c r="V176" s="45">
        <f t="shared" si="22"/>
        <v>0</v>
      </c>
      <c r="W176" s="121">
        <f>'2.1 Capex Real Dollars'!W176</f>
        <v>0</v>
      </c>
      <c r="X176" s="46">
        <f t="shared" si="23"/>
        <v>0</v>
      </c>
    </row>
    <row r="177" spans="12:24" ht="16.5" thickTop="1" thickBot="1">
      <c r="L177" s="33" t="str">
        <f>'2.1 Capex Real Dollars'!L177</f>
        <v>SCADA Hardware Lifecycle Management</v>
      </c>
      <c r="M177" s="33" t="str">
        <f>'2.1 Capex Real Dollars'!M177</f>
        <v>2024/25</v>
      </c>
      <c r="N177" s="33" t="str">
        <f>'2.1 Capex Real Dollars'!N177</f>
        <v>Transmission Assets</v>
      </c>
      <c r="O177" s="33" t="str">
        <f>'2.1 Capex Real Dollars'!O177</f>
        <v>Replacement expenditure</v>
      </c>
      <c r="P177" s="33"/>
      <c r="Q177" s="17">
        <f>IF($W177=0,Q58,IF(Q$126=$W177,SUM($Q58:Q58),0))</f>
        <v>0</v>
      </c>
      <c r="R177" s="17">
        <f>IF($W177=0,R58,IF(R$126=$W177,SUM($Q58:R58),0))</f>
        <v>0</v>
      </c>
      <c r="S177" s="17">
        <f>IF($W177=0,S58,IF(S$126=$W177,SUM($Q58:S58),0))</f>
        <v>0</v>
      </c>
      <c r="T177" s="17">
        <f>IF($W177=0,T58,IF(T$126=$W177,SUM($Q58:T58),0))</f>
        <v>0</v>
      </c>
      <c r="U177" s="17">
        <f>IF($W177=0,U58,IF(U$126=$W177,SUM($Q58:U58),0))</f>
        <v>0</v>
      </c>
      <c r="V177" s="45">
        <f t="shared" si="22"/>
        <v>0</v>
      </c>
      <c r="W177" s="121">
        <f>'2.1 Capex Real Dollars'!W177</f>
        <v>0</v>
      </c>
      <c r="X177" s="46">
        <f t="shared" si="23"/>
        <v>0</v>
      </c>
    </row>
    <row r="178" spans="12:24" ht="16.5" thickTop="1" thickBot="1">
      <c r="L178" s="33" t="str">
        <f>'2.1 Capex Real Dollars'!L178</f>
        <v>Sound Wall Earthing</v>
      </c>
      <c r="M178" s="33" t="str">
        <f>'2.1 Capex Real Dollars'!M178</f>
        <v>2024/25</v>
      </c>
      <c r="N178" s="33" t="str">
        <f>'2.1 Capex Real Dollars'!N178</f>
        <v>Transmission Assets</v>
      </c>
      <c r="O178" s="33" t="str">
        <f>'2.1 Capex Real Dollars'!O178</f>
        <v>Replacement expenditure</v>
      </c>
      <c r="P178" s="33"/>
      <c r="Q178" s="17">
        <f>IF($W178=0,Q59,IF(Q$126=$W178,SUM($Q59:Q59),0))</f>
        <v>0</v>
      </c>
      <c r="R178" s="17">
        <f>IF($W178=0,R59,IF(R$126=$W178,SUM($Q59:R59),0))</f>
        <v>0</v>
      </c>
      <c r="S178" s="17">
        <f>IF($W178=0,S59,IF(S$126=$W178,SUM($Q59:S59),0))</f>
        <v>69289.912416677194</v>
      </c>
      <c r="T178" s="17">
        <f>IF($W178=0,T59,IF(T$126=$W178,SUM($Q59:T59),0))</f>
        <v>0</v>
      </c>
      <c r="U178" s="17">
        <f>IF($W178=0,U59,IF(U$126=$W178,SUM($Q59:U59),0))</f>
        <v>0</v>
      </c>
      <c r="V178" s="45">
        <f t="shared" si="22"/>
        <v>69289.912416677194</v>
      </c>
      <c r="W178" s="121">
        <f>'2.1 Capex Real Dollars'!W178</f>
        <v>0</v>
      </c>
      <c r="X178" s="46">
        <f t="shared" si="23"/>
        <v>0</v>
      </c>
    </row>
    <row r="179" spans="12:24" ht="16.5" thickTop="1" thickBot="1">
      <c r="L179" s="33" t="str">
        <f>'2.1 Capex Real Dollars'!L179</f>
        <v>Sparing for Obsolescence Placeholder</v>
      </c>
      <c r="M179" s="33" t="str">
        <f>'2.1 Capex Real Dollars'!M179</f>
        <v>2024/25</v>
      </c>
      <c r="N179" s="33" t="str">
        <f>'2.1 Capex Real Dollars'!N179</f>
        <v>Transmission Assets</v>
      </c>
      <c r="O179" s="33" t="str">
        <f>'2.1 Capex Real Dollars'!O179</f>
        <v>Replacement expenditure</v>
      </c>
      <c r="P179" s="33"/>
      <c r="Q179" s="17">
        <f>IF($W179=0,Q60,IF(Q$126=$W179,SUM($Q60:Q60),0))</f>
        <v>0</v>
      </c>
      <c r="R179" s="17">
        <f>IF($W179=0,R60,IF(R$126=$W179,SUM($Q60:R60),0))</f>
        <v>0</v>
      </c>
      <c r="S179" s="17">
        <f>IF($W179=0,S60,IF(S$126=$W179,SUM($Q60:S60),0))</f>
        <v>0</v>
      </c>
      <c r="T179" s="17">
        <f>IF($W179=0,T60,IF(T$126=$W179,SUM($Q60:T60),0))</f>
        <v>0</v>
      </c>
      <c r="U179" s="17">
        <f>IF($W179=0,U60,IF(U$126=$W179,SUM($Q60:U60),0))</f>
        <v>0</v>
      </c>
      <c r="V179" s="45">
        <f t="shared" si="22"/>
        <v>0</v>
      </c>
      <c r="W179" s="121">
        <f>'2.1 Capex Real Dollars'!W179</f>
        <v>0</v>
      </c>
      <c r="X179" s="46">
        <f t="shared" si="23"/>
        <v>0</v>
      </c>
    </row>
    <row r="180" spans="12:24" ht="16.5" thickTop="1" thickBot="1">
      <c r="L180" s="33" t="str">
        <f>'2.1 Capex Real Dollars'!L180</f>
        <v>UTV 4x4</v>
      </c>
      <c r="M180" s="33" t="str">
        <f>'2.1 Capex Real Dollars'!M180</f>
        <v>2024/25</v>
      </c>
      <c r="N180" s="33" t="str">
        <f>'2.1 Capex Real Dollars'!N180</f>
        <v>Transmission Assets</v>
      </c>
      <c r="O180" s="33" t="str">
        <f>'2.1 Capex Real Dollars'!O180</f>
        <v>Replacement expenditure</v>
      </c>
      <c r="P180" s="33"/>
      <c r="Q180" s="17">
        <f>IF($W180=0,Q61,IF(Q$126=$W180,SUM($Q61:Q61),0))</f>
        <v>28458.348547200007</v>
      </c>
      <c r="R180" s="17">
        <f>IF($W180=0,R61,IF(R$126=$W180,SUM($Q61:R61),0))</f>
        <v>0</v>
      </c>
      <c r="S180" s="17">
        <f>IF($W180=0,S61,IF(S$126=$W180,SUM($Q61:S61),0))</f>
        <v>0</v>
      </c>
      <c r="T180" s="17">
        <f>IF($W180=0,T61,IF(T$126=$W180,SUM($Q61:T61),0))</f>
        <v>0</v>
      </c>
      <c r="U180" s="17">
        <f>IF($W180=0,U61,IF(U$126=$W180,SUM($Q61:U61),0))</f>
        <v>0</v>
      </c>
      <c r="V180" s="45">
        <f t="shared" si="22"/>
        <v>28458.348547200007</v>
      </c>
      <c r="W180" s="121">
        <f>'2.1 Capex Real Dollars'!W180</f>
        <v>0</v>
      </c>
      <c r="X180" s="46">
        <f t="shared" si="23"/>
        <v>0</v>
      </c>
    </row>
    <row r="181" spans="12:24" ht="16.5" thickTop="1" thickBot="1">
      <c r="L181" s="33" t="str">
        <f>'2.1 Capex Real Dollars'!L181</f>
        <v>Spares Management</v>
      </c>
      <c r="M181" s="33" t="str">
        <f>'2.1 Capex Real Dollars'!M181</f>
        <v>2024/25</v>
      </c>
      <c r="N181" s="33" t="str">
        <f>'2.1 Capex Real Dollars'!N181</f>
        <v>Transmission Assets</v>
      </c>
      <c r="O181" s="33" t="str">
        <f>'2.1 Capex Real Dollars'!O181</f>
        <v>Replacement expenditure</v>
      </c>
      <c r="P181" s="33"/>
      <c r="Q181" s="17">
        <f>IF($W181=0,Q62,IF(Q$126=$W181,SUM($Q62:Q62),0))</f>
        <v>0</v>
      </c>
      <c r="R181" s="17">
        <f>IF($W181=0,R62,IF(R$126=$W181,SUM($Q62:R62),0))</f>
        <v>0</v>
      </c>
      <c r="S181" s="17">
        <f>IF($W181=0,S62,IF(S$126=$W181,SUM($Q62:S62),0))</f>
        <v>0</v>
      </c>
      <c r="T181" s="17">
        <f>IF($W181=0,T62,IF(T$126=$W181,SUM($Q62:T62),0))</f>
        <v>0</v>
      </c>
      <c r="U181" s="17">
        <f>IF($W181=0,U62,IF(U$126=$W181,SUM($Q62:U62),0))</f>
        <v>13938932.147234045</v>
      </c>
      <c r="V181" s="45">
        <f t="shared" si="22"/>
        <v>13938932.147234045</v>
      </c>
      <c r="W181" s="121" t="str">
        <f>'2.1 Capex Real Dollars'!W181</f>
        <v>2029/30</v>
      </c>
      <c r="X181" s="46">
        <f t="shared" si="23"/>
        <v>0</v>
      </c>
    </row>
    <row r="182" spans="12:24" ht="16.5" thickTop="1" thickBot="1">
      <c r="L182" s="33" t="str">
        <f>'2.1 Capex Real Dollars'!L182</f>
        <v>Transmission Determination cost</v>
      </c>
      <c r="M182" s="33" t="str">
        <f>'2.1 Capex Real Dollars'!M182</f>
        <v>2024/25</v>
      </c>
      <c r="N182" s="33" t="str">
        <f>'2.1 Capex Real Dollars'!N182</f>
        <v>Transmission Determination Costs</v>
      </c>
      <c r="O182" s="33" t="str">
        <f>'2.1 Capex Real Dollars'!O182</f>
        <v>Replacement expenditure</v>
      </c>
      <c r="P182" s="33"/>
      <c r="Q182" s="17">
        <f>IF($W182=0,Q63,IF(Q$126=$W182,SUM($Q63:Q63),0))</f>
        <v>0</v>
      </c>
      <c r="R182" s="17">
        <f>IF($W182=0,R63,IF(R$126=$W182,SUM($Q63:R63),0))</f>
        <v>0</v>
      </c>
      <c r="S182" s="17">
        <f>IF($W182=0,S63,IF(S$126=$W182,SUM($Q63:S63),0))</f>
        <v>0</v>
      </c>
      <c r="T182" s="17">
        <f>IF($W182=0,T63,IF(T$126=$W182,SUM($Q63:T63),0))</f>
        <v>164440.65340863669</v>
      </c>
      <c r="U182" s="17">
        <f>IF($W182=0,U63,IF(U$126=$W182,SUM($Q63:U63),0))</f>
        <v>168551.6697438526</v>
      </c>
      <c r="V182" s="45">
        <f t="shared" si="22"/>
        <v>332992.32315248926</v>
      </c>
      <c r="W182" s="121">
        <f>'2.1 Capex Real Dollars'!W182</f>
        <v>0</v>
      </c>
      <c r="X182" s="46">
        <f t="shared" si="23"/>
        <v>0</v>
      </c>
    </row>
    <row r="183" spans="12:24" ht="16.5" thickTop="1" thickBot="1">
      <c r="L183" s="33" t="str">
        <f>'2.1 Capex Real Dollars'!L183</f>
        <v/>
      </c>
      <c r="M183" s="33" t="str">
        <f>'2.1 Capex Real Dollars'!M183</f>
        <v/>
      </c>
      <c r="N183" s="33" t="str">
        <f>'2.1 Capex Real Dollars'!N183</f>
        <v/>
      </c>
      <c r="O183" s="33" t="str">
        <f>'2.1 Capex Real Dollars'!O183</f>
        <v/>
      </c>
      <c r="P183" s="33"/>
      <c r="Q183" s="17">
        <f>IF($W183=0,Q64,IF(Q$126=$W183,SUM($Q64:Q64),0))</f>
        <v>0</v>
      </c>
      <c r="R183" s="17">
        <f>IF($W183=0,R64,IF(R$126=$W183,SUM($Q64:R64),0))</f>
        <v>0</v>
      </c>
      <c r="S183" s="17">
        <f>IF($W183=0,S64,IF(S$126=$W183,SUM($Q64:S64),0))</f>
        <v>0</v>
      </c>
      <c r="T183" s="17">
        <f>IF($W183=0,T64,IF(T$126=$W183,SUM($Q64:T64),0))</f>
        <v>0</v>
      </c>
      <c r="U183" s="17">
        <f>IF($W183=0,U64,IF(U$126=$W183,SUM($Q64:U64),0))</f>
        <v>0</v>
      </c>
      <c r="V183" s="45">
        <f t="shared" si="22"/>
        <v>0</v>
      </c>
      <c r="W183" s="121" t="str">
        <f>'2.1 Capex Real Dollars'!W183</f>
        <v/>
      </c>
      <c r="X183" s="46">
        <f t="shared" si="23"/>
        <v>0</v>
      </c>
    </row>
    <row r="184" spans="12:24" ht="16.5" thickTop="1" thickBot="1">
      <c r="L184" s="33">
        <f>'2.1 Capex Real Dollars'!L184</f>
        <v>0</v>
      </c>
      <c r="M184" s="33">
        <f>'2.1 Capex Real Dollars'!M184</f>
        <v>0</v>
      </c>
      <c r="N184" s="33">
        <f>'2.1 Capex Real Dollars'!N184</f>
        <v>0</v>
      </c>
      <c r="O184" s="33">
        <f>'2.1 Capex Real Dollars'!O184</f>
        <v>0</v>
      </c>
      <c r="P184" s="33"/>
      <c r="Q184" s="17">
        <f>IF($W184=0,Q65,IF(Q$126=$W184,SUM($Q65:Q65),0))</f>
        <v>0</v>
      </c>
      <c r="R184" s="17">
        <f>IF($W184=0,R65,IF(R$126=$W184,SUM($Q65:R65),0))</f>
        <v>0</v>
      </c>
      <c r="S184" s="17">
        <f>IF($W184=0,S65,IF(S$126=$W184,SUM($Q65:S65),0))</f>
        <v>0</v>
      </c>
      <c r="T184" s="17">
        <f>IF($W184=0,T65,IF(T$126=$W184,SUM($Q65:T65),0))</f>
        <v>0</v>
      </c>
      <c r="U184" s="17">
        <f>IF($W184=0,U65,IF(U$126=$W184,SUM($Q65:U65),0))</f>
        <v>0</v>
      </c>
      <c r="V184" s="45">
        <f t="shared" si="22"/>
        <v>0</v>
      </c>
      <c r="W184" s="121" t="str">
        <f>'2.1 Capex Real Dollars'!W184</f>
        <v/>
      </c>
      <c r="X184" s="46">
        <f t="shared" si="23"/>
        <v>0</v>
      </c>
    </row>
    <row r="185" spans="12:24" ht="16.5" thickTop="1" thickBot="1">
      <c r="L185" s="33">
        <f>'2.1 Capex Real Dollars'!L185</f>
        <v>0</v>
      </c>
      <c r="M185" s="33">
        <f>'2.1 Capex Real Dollars'!M185</f>
        <v>0</v>
      </c>
      <c r="N185" s="33">
        <f>'2.1 Capex Real Dollars'!N185</f>
        <v>0</v>
      </c>
      <c r="O185" s="33">
        <f>'2.1 Capex Real Dollars'!O185</f>
        <v>0</v>
      </c>
      <c r="P185" s="33"/>
      <c r="Q185" s="17">
        <f>IF($W185=0,Q66,IF(Q$126=$W185,SUM($Q66:Q66),0))</f>
        <v>0</v>
      </c>
      <c r="R185" s="17">
        <f>IF($W185=0,R66,IF(R$126=$W185,SUM($Q66:R66),0))</f>
        <v>0</v>
      </c>
      <c r="S185" s="17">
        <f>IF($W185=0,S66,IF(S$126=$W185,SUM($Q66:S66),0))</f>
        <v>0</v>
      </c>
      <c r="T185" s="17">
        <f>IF($W185=0,T66,IF(T$126=$W185,SUM($Q66:T66),0))</f>
        <v>0</v>
      </c>
      <c r="U185" s="17">
        <f>IF($W185=0,U66,IF(U$126=$W185,SUM($Q66:U66),0))</f>
        <v>0</v>
      </c>
      <c r="V185" s="45">
        <f t="shared" si="22"/>
        <v>0</v>
      </c>
      <c r="W185" s="121" t="str">
        <f>'2.1 Capex Real Dollars'!W185</f>
        <v/>
      </c>
      <c r="X185" s="46">
        <f t="shared" ca="1" si="23"/>
        <v>0</v>
      </c>
    </row>
    <row r="186" spans="12:24" ht="16.5" thickTop="1" thickBot="1">
      <c r="L186" s="33">
        <f>'2.1 Capex Real Dollars'!L186</f>
        <v>0</v>
      </c>
      <c r="M186" s="33">
        <f>'2.1 Capex Real Dollars'!M186</f>
        <v>0</v>
      </c>
      <c r="N186" s="33">
        <f>'2.1 Capex Real Dollars'!N186</f>
        <v>0</v>
      </c>
      <c r="O186" s="33">
        <f>'2.1 Capex Real Dollars'!O186</f>
        <v>0</v>
      </c>
      <c r="P186" s="33"/>
      <c r="Q186" s="17">
        <f>IF($W186=0,Q67,IF(Q$126=$W186,SUM($Q67:Q67),0))</f>
        <v>0</v>
      </c>
      <c r="R186" s="17">
        <f>IF($W186=0,R67,IF(R$126=$W186,SUM($Q67:R67),0))</f>
        <v>0</v>
      </c>
      <c r="S186" s="17">
        <f>IF($W186=0,S67,IF(S$126=$W186,SUM($Q67:S67),0))</f>
        <v>0</v>
      </c>
      <c r="T186" s="17">
        <f>IF($W186=0,T67,IF(T$126=$W186,SUM($Q67:T67),0))</f>
        <v>0</v>
      </c>
      <c r="U186" s="17">
        <f>IF($W186=0,U67,IF(U$126=$W186,SUM($Q67:U67),0))</f>
        <v>0</v>
      </c>
      <c r="V186" s="45">
        <f t="shared" si="22"/>
        <v>0</v>
      </c>
      <c r="W186" s="121" t="str">
        <f>'2.1 Capex Real Dollars'!W186</f>
        <v/>
      </c>
      <c r="X186" s="46">
        <f t="shared" si="23"/>
        <v>0</v>
      </c>
    </row>
    <row r="187" spans="12:24" ht="16.5" thickTop="1" thickBot="1">
      <c r="L187" s="33">
        <f>'2.1 Capex Real Dollars'!L187</f>
        <v>0</v>
      </c>
      <c r="M187" s="33">
        <f>'2.1 Capex Real Dollars'!M187</f>
        <v>0</v>
      </c>
      <c r="N187" s="33">
        <f>'2.1 Capex Real Dollars'!N187</f>
        <v>0</v>
      </c>
      <c r="O187" s="33">
        <f>'2.1 Capex Real Dollars'!O187</f>
        <v>0</v>
      </c>
      <c r="P187" s="33"/>
      <c r="Q187" s="17">
        <f>IF($W187=0,Q68,IF(Q$126=$W187,SUM($Q68:Q68),0))</f>
        <v>0</v>
      </c>
      <c r="R187" s="17">
        <f>IF($W187=0,R68,IF(R$126=$W187,SUM($Q68:R68),0))</f>
        <v>0</v>
      </c>
      <c r="S187" s="17">
        <f>IF($W187=0,S68,IF(S$126=$W187,SUM($Q68:S68),0))</f>
        <v>0</v>
      </c>
      <c r="T187" s="17">
        <f>IF($W187=0,T68,IF(T$126=$W187,SUM($Q68:T68),0))</f>
        <v>0</v>
      </c>
      <c r="U187" s="17">
        <f>IF($W187=0,U68,IF(U$126=$W187,SUM($Q68:U68),0))</f>
        <v>0</v>
      </c>
      <c r="V187" s="45">
        <f t="shared" si="22"/>
        <v>0</v>
      </c>
      <c r="W187" s="121" t="str">
        <f>'2.1 Capex Real Dollars'!W187</f>
        <v/>
      </c>
      <c r="X187" s="46">
        <f t="shared" si="23"/>
        <v>0</v>
      </c>
    </row>
    <row r="188" spans="12:24" ht="15.75" thickTop="1">
      <c r="L188" s="33" t="str">
        <f>'2.1 Capex Real Dollars'!L188</f>
        <v>Total</v>
      </c>
      <c r="M188" s="33">
        <f>'2.1 Capex Real Dollars'!M188</f>
        <v>0</v>
      </c>
      <c r="N188" s="33">
        <f>'2.1 Capex Real Dollars'!N188</f>
        <v>0</v>
      </c>
      <c r="O188" s="33">
        <f>'2.1 Capex Real Dollars'!O188</f>
        <v>0</v>
      </c>
      <c r="P188" s="33"/>
      <c r="Q188" s="27">
        <f t="shared" ref="Q188:V188" si="24">SUM(Q128:Q137)</f>
        <v>794834.51337518822</v>
      </c>
      <c r="R188" s="27">
        <f t="shared" si="24"/>
        <v>426931.58137343999</v>
      </c>
      <c r="S188" s="27">
        <f t="shared" si="24"/>
        <v>0</v>
      </c>
      <c r="T188" s="27">
        <f t="shared" si="24"/>
        <v>0</v>
      </c>
      <c r="U188" s="27">
        <f t="shared" si="24"/>
        <v>0</v>
      </c>
      <c r="V188" s="27">
        <f t="shared" si="24"/>
        <v>1221766.0947486281</v>
      </c>
      <c r="W188" s="52"/>
    </row>
    <row r="196" spans="1:22" ht="19.5">
      <c r="A196" s="2"/>
      <c r="B196" s="2"/>
      <c r="C196" s="2"/>
      <c r="D196" s="2"/>
      <c r="E196" s="2"/>
      <c r="F196" s="2"/>
      <c r="G196" s="2"/>
      <c r="H196" s="2"/>
      <c r="I196" s="2"/>
      <c r="J196" s="2"/>
      <c r="K196" s="2"/>
      <c r="L196" s="2"/>
      <c r="M196" s="2"/>
      <c r="N196" s="2"/>
      <c r="O196" s="2"/>
      <c r="P196" s="2"/>
      <c r="Q196" s="2"/>
      <c r="R196" s="2"/>
      <c r="S196" s="2"/>
      <c r="T196" s="2"/>
      <c r="U196" s="2"/>
      <c r="V196" s="2"/>
    </row>
    <row r="197" spans="1:22">
      <c r="A197" s="3"/>
      <c r="B197" s="3"/>
      <c r="C197" s="3"/>
      <c r="D197" s="3"/>
      <c r="E197" s="3"/>
      <c r="F197" s="3"/>
      <c r="G197" s="3"/>
      <c r="H197" s="3"/>
      <c r="I197" s="3"/>
      <c r="J197" s="3"/>
      <c r="K197" s="3"/>
      <c r="L197" s="3" t="str">
        <f>'2.1 Capex Real Dollars'!L191</f>
        <v>Asset Class</v>
      </c>
      <c r="M197" s="3" t="str">
        <f>IF(L197="","",'1.0 Data'!$B$9)</f>
        <v>nominal</v>
      </c>
      <c r="N197" s="3"/>
      <c r="O197" s="3"/>
      <c r="P197" s="3"/>
      <c r="Q197" s="3" t="str">
        <f t="shared" ref="Q197:V197" si="25">Q126</f>
        <v>2025/26</v>
      </c>
      <c r="R197" s="3" t="str">
        <f t="shared" si="25"/>
        <v>2026/27</v>
      </c>
      <c r="S197" s="3" t="str">
        <f t="shared" si="25"/>
        <v>2027/28</v>
      </c>
      <c r="T197" s="3" t="str">
        <f t="shared" si="25"/>
        <v>2028/29</v>
      </c>
      <c r="U197" s="3" t="str">
        <f t="shared" si="25"/>
        <v>2029/30</v>
      </c>
      <c r="V197" s="3" t="str">
        <f t="shared" si="25"/>
        <v>Total</v>
      </c>
    </row>
    <row r="199" spans="1:22">
      <c r="L199" s="33" t="str">
        <f>'2.1 Capex Real Dollars'!L193</f>
        <v>Transmission Assets</v>
      </c>
      <c r="M199" s="33" t="str">
        <f>IF(L199="","",'1.0 Data'!$B$9)</f>
        <v>nominal</v>
      </c>
      <c r="N199" s="33">
        <f>'2.1 Capex Real Dollars'!N193</f>
        <v>0</v>
      </c>
      <c r="O199" s="33">
        <f>'2.1 Capex Real Dollars'!O193</f>
        <v>0</v>
      </c>
      <c r="P199" s="33"/>
      <c r="Q199" s="17">
        <f>'2.1 Capex Real Dollars'!Q193/'1.1 Input'!I$13</f>
        <v>8894938.8885123227</v>
      </c>
      <c r="R199" s="17">
        <f>'2.1 Capex Real Dollars'!R193/'1.1 Input'!J$13</f>
        <v>2544725.4950625058</v>
      </c>
      <c r="S199" s="17">
        <f>'2.1 Capex Real Dollars'!S193/'1.1 Input'!K$13</f>
        <v>2502614.1580858449</v>
      </c>
      <c r="T199" s="17">
        <f>'2.1 Capex Real Dollars'!T193/'1.1 Input'!L$13</f>
        <v>1329845.7756513651</v>
      </c>
      <c r="U199" s="17">
        <f>'2.1 Capex Real Dollars'!U193/'1.1 Input'!M$13</f>
        <v>15183451.195344331</v>
      </c>
      <c r="V199" s="45">
        <f t="shared" ref="V199:V207" si="26">SUM(Q199:U199)</f>
        <v>30455575.512656368</v>
      </c>
    </row>
    <row r="200" spans="1:22">
      <c r="L200" s="33" t="str">
        <f>'2.1 Capex Real Dollars'!L194</f>
        <v>Transmission Determination Costs</v>
      </c>
      <c r="M200" s="33" t="str">
        <f>IF(L200="","",'1.0 Data'!$B$9)</f>
        <v>nominal</v>
      </c>
      <c r="N200" s="33">
        <f>'2.1 Capex Real Dollars'!N194</f>
        <v>0</v>
      </c>
      <c r="O200" s="33">
        <f>'2.1 Capex Real Dollars'!O194</f>
        <v>0</v>
      </c>
      <c r="P200" s="33"/>
      <c r="Q200" s="17">
        <f>'2.1 Capex Real Dollars'!Q194/'1.1 Input'!I$13</f>
        <v>0</v>
      </c>
      <c r="R200" s="17">
        <f>'2.1 Capex Real Dollars'!R194/'1.1 Input'!J$13</f>
        <v>0</v>
      </c>
      <c r="S200" s="17">
        <f>'2.1 Capex Real Dollars'!S194/'1.1 Input'!K$13</f>
        <v>0</v>
      </c>
      <c r="T200" s="17">
        <f>'2.1 Capex Real Dollars'!T194/'1.1 Input'!L$13</f>
        <v>160148.66907736336</v>
      </c>
      <c r="U200" s="17">
        <f>'2.1 Capex Real Dollars'!U194/'1.1 Input'!M$13</f>
        <v>164440.65340863669</v>
      </c>
      <c r="V200" s="45">
        <f t="shared" si="26"/>
        <v>324589.32248600002</v>
      </c>
    </row>
    <row r="201" spans="1:22">
      <c r="L201" s="33" t="str">
        <f>'2.1 Capex Real Dollars'!L195</f>
        <v>Easements</v>
      </c>
      <c r="M201" s="33" t="str">
        <f>IF(L201="","",'1.0 Data'!$B$9)</f>
        <v>nominal</v>
      </c>
      <c r="N201" s="33">
        <f>'2.1 Capex Real Dollars'!N195</f>
        <v>0</v>
      </c>
      <c r="O201" s="33">
        <f>'2.1 Capex Real Dollars'!O195</f>
        <v>0</v>
      </c>
      <c r="P201" s="33"/>
      <c r="Q201" s="17">
        <f>'2.1 Capex Real Dollars'!Q195/'1.1 Input'!I$13</f>
        <v>179367.98</v>
      </c>
      <c r="R201" s="17">
        <f>'2.1 Capex Real Dollars'!R195/'1.1 Input'!J$13</f>
        <v>0</v>
      </c>
      <c r="S201" s="17">
        <f>'2.1 Capex Real Dollars'!S195/'1.1 Input'!K$13</f>
        <v>0</v>
      </c>
      <c r="T201" s="17">
        <f>'2.1 Capex Real Dollars'!T195/'1.1 Input'!L$13</f>
        <v>0</v>
      </c>
      <c r="U201" s="17">
        <f>'2.1 Capex Real Dollars'!U195/'1.1 Input'!M$13</f>
        <v>0</v>
      </c>
      <c r="V201" s="45">
        <f t="shared" si="26"/>
        <v>179367.98</v>
      </c>
    </row>
    <row r="202" spans="1:22">
      <c r="L202" s="33" t="str">
        <f>'2.1 Capex Real Dollars'!L196</f>
        <v>Land</v>
      </c>
      <c r="M202" s="33" t="str">
        <f>IF(L202="","",'1.0 Data'!$B$9)</f>
        <v>nominal</v>
      </c>
      <c r="N202" s="33">
        <f>'2.1 Capex Real Dollars'!N196</f>
        <v>0</v>
      </c>
      <c r="O202" s="33">
        <f>'2.1 Capex Real Dollars'!O196</f>
        <v>0</v>
      </c>
      <c r="P202" s="33"/>
      <c r="Q202" s="17">
        <f>'2.1 Capex Real Dollars'!Q196/'1.1 Input'!I$13</f>
        <v>0</v>
      </c>
      <c r="R202" s="17">
        <f>'2.1 Capex Real Dollars'!R196/'1.1 Input'!J$13</f>
        <v>0</v>
      </c>
      <c r="S202" s="17">
        <f>'2.1 Capex Real Dollars'!S196/'1.1 Input'!K$13</f>
        <v>0</v>
      </c>
      <c r="T202" s="17">
        <f>'2.1 Capex Real Dollars'!T196/'1.1 Input'!L$13</f>
        <v>0</v>
      </c>
      <c r="U202" s="17">
        <f>'2.1 Capex Real Dollars'!U196/'1.1 Input'!M$13</f>
        <v>0</v>
      </c>
      <c r="V202" s="45">
        <f t="shared" si="26"/>
        <v>0</v>
      </c>
    </row>
    <row r="203" spans="1:22">
      <c r="L203" s="33" t="str">
        <f>'2.1 Capex Real Dollars'!L197</f>
        <v>Buildings</v>
      </c>
      <c r="M203" s="33" t="str">
        <f>IF(L203="","",'1.0 Data'!$B$9)</f>
        <v>nominal</v>
      </c>
      <c r="N203" s="33">
        <f>'2.1 Capex Real Dollars'!N197</f>
        <v>0</v>
      </c>
      <c r="O203" s="33">
        <f>'2.1 Capex Real Dollars'!O197</f>
        <v>0</v>
      </c>
      <c r="P203" s="33"/>
      <c r="Q203" s="17">
        <f>'2.1 Capex Real Dollars'!Q197/'1.1 Input'!I$13</f>
        <v>495880.35353999998</v>
      </c>
      <c r="R203" s="17">
        <f>'2.1 Capex Real Dollars'!R197/'1.1 Input'!J$13</f>
        <v>2295232.2008398995</v>
      </c>
      <c r="S203" s="17">
        <f>'2.1 Capex Real Dollars'!S197/'1.1 Input'!K$13</f>
        <v>1251369.6642378927</v>
      </c>
      <c r="T203" s="17">
        <f>'2.1 Capex Real Dollars'!T197/'1.1 Input'!L$13</f>
        <v>1080916.3620854681</v>
      </c>
      <c r="U203" s="17">
        <f>'2.1 Capex Real Dollars'!U197/'1.1 Input'!M$13</f>
        <v>0</v>
      </c>
      <c r="V203" s="45">
        <f t="shared" si="26"/>
        <v>5123398.5807032604</v>
      </c>
    </row>
    <row r="204" spans="1:22">
      <c r="L204" s="33">
        <f>'2.1 Capex Real Dollars'!L198</f>
        <v>0</v>
      </c>
      <c r="M204" s="33" t="str">
        <f>IF(L204="","",'1.0 Data'!$B$9)</f>
        <v>nominal</v>
      </c>
      <c r="N204" s="33">
        <f>'2.1 Capex Real Dollars'!N198</f>
        <v>0</v>
      </c>
      <c r="O204" s="33">
        <f>'2.1 Capex Real Dollars'!O198</f>
        <v>0</v>
      </c>
      <c r="P204" s="33"/>
      <c r="Q204" s="17">
        <f>'2.1 Capex Real Dollars'!Q198/'1.1 Input'!I$13</f>
        <v>0</v>
      </c>
      <c r="R204" s="17">
        <f>'2.1 Capex Real Dollars'!R198/'1.1 Input'!J$13</f>
        <v>0</v>
      </c>
      <c r="S204" s="17">
        <f>'2.1 Capex Real Dollars'!S198/'1.1 Input'!K$13</f>
        <v>0</v>
      </c>
      <c r="T204" s="17">
        <f>'2.1 Capex Real Dollars'!T198/'1.1 Input'!L$13</f>
        <v>0</v>
      </c>
      <c r="U204" s="17">
        <f>'2.1 Capex Real Dollars'!U198/'1.1 Input'!M$13</f>
        <v>0</v>
      </c>
      <c r="V204" s="45">
        <f t="shared" si="26"/>
        <v>0</v>
      </c>
    </row>
    <row r="205" spans="1:22">
      <c r="L205" s="33">
        <f>'2.1 Capex Real Dollars'!L199</f>
        <v>0</v>
      </c>
      <c r="M205" s="33" t="str">
        <f>IF(L205="","",'1.0 Data'!$B$9)</f>
        <v>nominal</v>
      </c>
      <c r="N205" s="33">
        <f>'2.1 Capex Real Dollars'!N199</f>
        <v>0</v>
      </c>
      <c r="O205" s="33">
        <f>'2.1 Capex Real Dollars'!O199</f>
        <v>0</v>
      </c>
      <c r="P205" s="33"/>
      <c r="Q205" s="17">
        <f>'2.1 Capex Real Dollars'!Q199/'1.1 Input'!I$13</f>
        <v>0</v>
      </c>
      <c r="R205" s="17">
        <f>'2.1 Capex Real Dollars'!R199/'1.1 Input'!J$13</f>
        <v>0</v>
      </c>
      <c r="S205" s="17">
        <f>'2.1 Capex Real Dollars'!S199/'1.1 Input'!K$13</f>
        <v>0</v>
      </c>
      <c r="T205" s="17">
        <f>'2.1 Capex Real Dollars'!T199/'1.1 Input'!L$13</f>
        <v>0</v>
      </c>
      <c r="U205" s="17">
        <f>'2.1 Capex Real Dollars'!U199/'1.1 Input'!M$13</f>
        <v>0</v>
      </c>
      <c r="V205" s="45">
        <f t="shared" si="26"/>
        <v>0</v>
      </c>
    </row>
    <row r="206" spans="1:22">
      <c r="L206" s="33" t="str">
        <f>'2.1 Capex Real Dollars'!L200</f>
        <v>2018/19</v>
      </c>
      <c r="M206" s="33" t="str">
        <f>IF(L206="","",'1.0 Data'!$B$9)</f>
        <v>nominal</v>
      </c>
      <c r="N206" s="33">
        <f>'2.1 Capex Real Dollars'!N200</f>
        <v>0</v>
      </c>
      <c r="O206" s="33">
        <f>'2.1 Capex Real Dollars'!O200</f>
        <v>0</v>
      </c>
      <c r="P206" s="33"/>
      <c r="Q206" s="17">
        <f>'2.1 Capex Real Dollars'!Q200/'1.1 Input'!I$13</f>
        <v>0</v>
      </c>
      <c r="R206" s="17">
        <f>'2.1 Capex Real Dollars'!R200/'1.1 Input'!J$13</f>
        <v>0</v>
      </c>
      <c r="S206" s="17">
        <f>'2.1 Capex Real Dollars'!S200/'1.1 Input'!K$13</f>
        <v>0</v>
      </c>
      <c r="T206" s="17">
        <f>'2.1 Capex Real Dollars'!T200/'1.1 Input'!L$13</f>
        <v>0</v>
      </c>
      <c r="U206" s="17">
        <f>'2.1 Capex Real Dollars'!U200/'1.1 Input'!M$13</f>
        <v>0</v>
      </c>
      <c r="V206" s="45">
        <f t="shared" si="26"/>
        <v>0</v>
      </c>
    </row>
    <row r="207" spans="1:22" ht="15.75" thickBot="1">
      <c r="L207" s="33">
        <f>'2.1 Capex Real Dollars'!L201</f>
        <v>0</v>
      </c>
      <c r="M207" s="33" t="str">
        <f>IF(L207="","",'1.0 Data'!$B$9)</f>
        <v>nominal</v>
      </c>
      <c r="N207" s="33">
        <f>'2.1 Capex Real Dollars'!N201</f>
        <v>0</v>
      </c>
      <c r="O207" s="33">
        <f>'2.1 Capex Real Dollars'!O201</f>
        <v>0</v>
      </c>
      <c r="P207" s="33"/>
      <c r="Q207" s="17">
        <f>'2.1 Capex Real Dollars'!Q201/'1.1 Input'!I$13</f>
        <v>0</v>
      </c>
      <c r="R207" s="17">
        <f>'2.1 Capex Real Dollars'!R201/'1.1 Input'!J$13</f>
        <v>0</v>
      </c>
      <c r="S207" s="17">
        <f>'2.1 Capex Real Dollars'!S201/'1.1 Input'!K$13</f>
        <v>0</v>
      </c>
      <c r="T207" s="17">
        <f>'2.1 Capex Real Dollars'!T201/'1.1 Input'!L$13</f>
        <v>0</v>
      </c>
      <c r="U207" s="17">
        <f>'2.1 Capex Real Dollars'!U201/'1.1 Input'!M$13</f>
        <v>0</v>
      </c>
      <c r="V207" s="45">
        <f t="shared" si="26"/>
        <v>0</v>
      </c>
    </row>
    <row r="208" spans="1:22" ht="15.75" thickTop="1">
      <c r="L208" s="33" t="str">
        <f>'2.1 Capex Real Dollars'!L202</f>
        <v>Total</v>
      </c>
      <c r="M208" s="33" t="str">
        <f>IF(L208="","",'1.0 Data'!$B$9)</f>
        <v>nominal</v>
      </c>
      <c r="N208" s="33">
        <f>'2.1 Capex Real Dollars'!N202</f>
        <v>0</v>
      </c>
      <c r="O208" s="33">
        <f>'2.1 Capex Real Dollars'!O202</f>
        <v>0</v>
      </c>
      <c r="P208" s="33"/>
      <c r="Q208" s="27">
        <f t="shared" ref="Q208:V208" si="27">SUM(Q199:Q207)</f>
        <v>9570187.2220523227</v>
      </c>
      <c r="R208" s="27">
        <f t="shared" si="27"/>
        <v>4839957.6959024053</v>
      </c>
      <c r="S208" s="27">
        <f t="shared" si="27"/>
        <v>3753983.8223237377</v>
      </c>
      <c r="T208" s="27">
        <f t="shared" si="27"/>
        <v>2570910.8068141965</v>
      </c>
      <c r="U208" s="27">
        <f t="shared" si="27"/>
        <v>15347891.848752968</v>
      </c>
      <c r="V208" s="27">
        <f t="shared" si="27"/>
        <v>36082931.395845629</v>
      </c>
    </row>
    <row r="209" spans="12:21" ht="15.75" thickBot="1"/>
    <row r="210" spans="12:21" ht="16.5" thickTop="1" thickBot="1">
      <c r="L210" s="37" t="str">
        <f>'2.1 Capex Real Dollars'!L204</f>
        <v>Check</v>
      </c>
      <c r="Q210" s="46">
        <f>'2.1 Capex Real Dollars'!Q202/'1.1 Input'!I$13-'2.2 Capex Nominal Dollars'!Q208</f>
        <v>0</v>
      </c>
      <c r="R210" s="46">
        <f>'2.1 Capex Real Dollars'!R202/'1.1 Input'!J$13-'2.2 Capex Nominal Dollars'!R208</f>
        <v>0</v>
      </c>
      <c r="S210" s="46">
        <f>'2.1 Capex Real Dollars'!S202/'1.1 Input'!K$13-'2.2 Capex Nominal Dollars'!S208</f>
        <v>0</v>
      </c>
      <c r="T210" s="46">
        <f>'2.1 Capex Real Dollars'!T202/'1.1 Input'!L$13-'2.2 Capex Nominal Dollars'!T208</f>
        <v>0</v>
      </c>
      <c r="U210" s="46">
        <f>'2.1 Capex Real Dollars'!U202/'1.1 Input'!M$13-'2.2 Capex Nominal Dollars'!U208</f>
        <v>0</v>
      </c>
    </row>
    <row r="211" spans="12:21" ht="15.75" thickTop="1"/>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C00000"/>
  </sheetPr>
  <dimension ref="A1:Z105"/>
  <sheetViews>
    <sheetView tabSelected="1" topLeftCell="O1" zoomScale="85" zoomScaleNormal="85" workbookViewId="0">
      <selection activeCell="F30" sqref="F30"/>
    </sheetView>
  </sheetViews>
  <sheetFormatPr defaultRowHeight="15"/>
  <cols>
    <col min="1" max="4" width="9.875" customWidth="1"/>
    <col min="5" max="5" width="46" customWidth="1"/>
    <col min="6" max="6" width="13" customWidth="1"/>
    <col min="7" max="7" width="12.875" customWidth="1"/>
    <col min="8" max="8" width="12.375" customWidth="1"/>
    <col min="9" max="9" width="12.875" bestFit="1" customWidth="1"/>
    <col min="10" max="10" width="15" customWidth="1"/>
    <col min="11" max="11" width="13.875" bestFit="1" customWidth="1"/>
    <col min="12" max="12" width="9.625" bestFit="1" customWidth="1"/>
    <col min="13" max="13" width="11.875" customWidth="1"/>
    <col min="15" max="15" width="34" bestFit="1" customWidth="1"/>
    <col min="16" max="16" width="13" bestFit="1" customWidth="1"/>
    <col min="17" max="20" width="11.375" bestFit="1" customWidth="1"/>
    <col min="21" max="21" width="12.875" bestFit="1" customWidth="1"/>
    <col min="23" max="23" width="9.875" bestFit="1" customWidth="1"/>
  </cols>
  <sheetData>
    <row r="1" spans="1:26" ht="22.5">
      <c r="A1" s="1"/>
      <c r="B1" s="1"/>
      <c r="C1" s="1"/>
      <c r="D1" s="1"/>
      <c r="E1" s="1"/>
      <c r="F1" s="1"/>
      <c r="G1" s="1"/>
      <c r="H1" s="1"/>
      <c r="I1" s="1"/>
      <c r="J1" s="1"/>
      <c r="K1" s="1"/>
      <c r="L1" s="1"/>
      <c r="M1" s="1"/>
      <c r="N1" s="1"/>
      <c r="O1" s="1"/>
      <c r="P1" s="1"/>
      <c r="Q1" s="1"/>
      <c r="R1" s="1"/>
      <c r="S1" s="1"/>
      <c r="T1" s="1"/>
      <c r="U1" s="1"/>
      <c r="V1" s="1"/>
      <c r="W1" s="1"/>
      <c r="X1" s="1"/>
      <c r="Y1" s="1"/>
      <c r="Z1" s="1"/>
    </row>
    <row r="2" spans="1:26" ht="22.5">
      <c r="A2" s="1"/>
      <c r="B2" s="1"/>
      <c r="C2" s="1"/>
      <c r="D2" s="1"/>
      <c r="E2" s="1"/>
      <c r="F2" s="1"/>
      <c r="G2" s="1"/>
      <c r="H2" s="1"/>
      <c r="I2" s="1"/>
      <c r="J2" s="1"/>
      <c r="K2" s="1"/>
      <c r="L2" s="1"/>
      <c r="M2" s="1"/>
      <c r="N2" s="1"/>
      <c r="O2" s="1"/>
      <c r="P2" s="1"/>
      <c r="Q2" s="1"/>
      <c r="R2" s="1"/>
      <c r="S2" s="1"/>
      <c r="T2" s="1"/>
      <c r="U2" s="1"/>
      <c r="V2" s="1"/>
      <c r="W2" s="1"/>
      <c r="X2" s="1"/>
      <c r="Y2" s="1"/>
      <c r="Z2" s="1"/>
    </row>
    <row r="3" spans="1:26" ht="22.5">
      <c r="A3" s="1"/>
      <c r="B3" s="1"/>
      <c r="C3" s="1"/>
      <c r="D3" s="1"/>
      <c r="E3" s="1"/>
      <c r="F3" s="1"/>
      <c r="G3" s="1"/>
      <c r="H3" s="1"/>
      <c r="I3" s="1"/>
      <c r="J3" s="1"/>
      <c r="K3" s="1"/>
      <c r="L3" s="1"/>
      <c r="M3" s="1"/>
      <c r="N3" s="1"/>
      <c r="O3" s="1"/>
      <c r="P3" s="1"/>
      <c r="Q3" s="1"/>
      <c r="R3" s="1"/>
      <c r="S3" s="1"/>
      <c r="T3" s="1"/>
      <c r="U3" s="1"/>
      <c r="V3" s="1"/>
      <c r="W3" s="1"/>
      <c r="X3" s="1"/>
      <c r="Y3" s="1"/>
      <c r="Z3" s="1"/>
    </row>
    <row r="4" spans="1:26" ht="22.5">
      <c r="A4" s="1"/>
      <c r="B4" s="1"/>
      <c r="C4" s="1"/>
      <c r="D4" s="1"/>
      <c r="E4" s="1"/>
      <c r="F4" s="1"/>
      <c r="G4" s="1"/>
      <c r="H4" s="1"/>
      <c r="I4" s="1"/>
      <c r="J4" s="1"/>
      <c r="K4" s="1"/>
      <c r="L4" s="1"/>
      <c r="M4" s="1"/>
      <c r="N4" s="1"/>
      <c r="O4" s="1"/>
      <c r="P4" s="1"/>
      <c r="Q4" s="1"/>
      <c r="R4" s="1"/>
      <c r="S4" s="1"/>
      <c r="T4" s="1"/>
      <c r="U4" s="1"/>
      <c r="V4" s="1"/>
      <c r="W4" s="1"/>
      <c r="X4" s="1"/>
      <c r="Y4" s="1"/>
      <c r="Z4" s="1"/>
    </row>
    <row r="5" spans="1:26" ht="22.5">
      <c r="A5" s="1" t="e">
        <f ca="1">RIGHT(CELL("filename",A1),LEN(CELL("filename",A1))-FIND("]",CELL("filename",A1)))</f>
        <v>#VALUE!</v>
      </c>
      <c r="B5" s="1"/>
      <c r="C5" s="1"/>
      <c r="D5" s="1"/>
      <c r="E5" s="1"/>
      <c r="F5" s="20">
        <v>14</v>
      </c>
      <c r="G5" s="20">
        <v>15</v>
      </c>
      <c r="H5" s="20">
        <v>16</v>
      </c>
      <c r="I5" s="20">
        <v>17</v>
      </c>
      <c r="J5" s="20">
        <v>18</v>
      </c>
      <c r="K5" s="1"/>
      <c r="L5" s="1"/>
      <c r="M5" s="1"/>
      <c r="N5" s="1"/>
      <c r="O5" s="1"/>
      <c r="P5" s="20">
        <v>2019</v>
      </c>
      <c r="Q5" s="20">
        <v>2020</v>
      </c>
      <c r="R5" s="20">
        <v>2021</v>
      </c>
      <c r="S5" s="20">
        <v>2022</v>
      </c>
      <c r="T5" s="20">
        <v>2023</v>
      </c>
      <c r="U5" s="1"/>
      <c r="V5" s="1"/>
      <c r="W5" s="1"/>
      <c r="X5" s="1"/>
      <c r="Y5" s="1"/>
      <c r="Z5" s="1"/>
    </row>
    <row r="6" spans="1:26" ht="19.5">
      <c r="A6" s="2" t="s">
        <v>166</v>
      </c>
      <c r="B6" s="2"/>
      <c r="C6" s="2"/>
      <c r="D6" s="2"/>
      <c r="E6" s="2"/>
      <c r="F6" s="2"/>
      <c r="G6" s="2"/>
      <c r="H6" s="2"/>
      <c r="I6" s="2"/>
      <c r="J6" s="2"/>
      <c r="K6" s="2"/>
      <c r="L6" s="2"/>
      <c r="M6" s="2"/>
      <c r="N6" s="2"/>
      <c r="O6" s="2"/>
      <c r="P6" s="2"/>
      <c r="Q6" s="2"/>
      <c r="R6" s="2"/>
      <c r="S6" s="2"/>
      <c r="T6" s="2"/>
      <c r="U6" s="2"/>
      <c r="V6" s="2"/>
      <c r="W6" s="2"/>
      <c r="X6" s="2"/>
      <c r="Y6" s="2"/>
      <c r="Z6" s="2"/>
    </row>
    <row r="7" spans="1:26" ht="16.5">
      <c r="A7" s="4"/>
      <c r="B7" s="4"/>
      <c r="C7" s="4"/>
      <c r="D7" s="4"/>
      <c r="E7" s="4" t="s">
        <v>190</v>
      </c>
      <c r="F7" s="4"/>
      <c r="G7" s="4"/>
      <c r="H7" s="4"/>
      <c r="I7" s="4"/>
      <c r="J7" s="4"/>
      <c r="K7" s="4"/>
      <c r="L7" s="4"/>
      <c r="M7" s="4"/>
      <c r="N7" s="4"/>
      <c r="O7" s="4" t="s">
        <v>191</v>
      </c>
      <c r="P7" s="4"/>
      <c r="Q7" s="4"/>
      <c r="R7" s="4"/>
      <c r="S7" s="4"/>
      <c r="T7" s="4"/>
      <c r="U7" s="4"/>
      <c r="V7" s="4"/>
      <c r="W7" s="4"/>
      <c r="X7" s="4"/>
      <c r="Y7" s="4"/>
      <c r="Z7" s="4"/>
    </row>
    <row r="8" spans="1:26">
      <c r="A8" s="3"/>
      <c r="B8" s="3"/>
      <c r="C8" s="3"/>
      <c r="D8" s="3"/>
      <c r="E8" s="3" t="s">
        <v>192</v>
      </c>
      <c r="F8" s="3" t="str">
        <f>'2.2 Capex Nominal Dollars'!E8</f>
        <v>2020/21</v>
      </c>
      <c r="G8" s="3" t="str">
        <f>'2.2 Capex Nominal Dollars'!F8</f>
        <v>2021/22</v>
      </c>
      <c r="H8" s="3" t="str">
        <f>'2.2 Capex Nominal Dollars'!G8</f>
        <v>2022/23</v>
      </c>
      <c r="I8" s="3" t="str">
        <f>'2.2 Capex Nominal Dollars'!H8</f>
        <v>2023/24</v>
      </c>
      <c r="J8" s="3" t="str">
        <f>'2.2 Capex Nominal Dollars'!I8</f>
        <v>2024/25</v>
      </c>
      <c r="K8" s="3" t="s">
        <v>16</v>
      </c>
      <c r="L8" s="3"/>
      <c r="M8" s="3"/>
      <c r="N8" s="3"/>
      <c r="O8" s="3" t="s">
        <v>192</v>
      </c>
      <c r="P8" s="3" t="str">
        <f>'2.2 Capex Nominal Dollars'!Q8</f>
        <v>2025/26</v>
      </c>
      <c r="Q8" s="3" t="str">
        <f>'2.2 Capex Nominal Dollars'!R8</f>
        <v>2026/27</v>
      </c>
      <c r="R8" s="3" t="str">
        <f>'2.2 Capex Nominal Dollars'!S8</f>
        <v>2027/28</v>
      </c>
      <c r="S8" s="3" t="str">
        <f>'2.2 Capex Nominal Dollars'!T8</f>
        <v>2028/29</v>
      </c>
      <c r="T8" s="3" t="str">
        <f>'2.2 Capex Nominal Dollars'!U8</f>
        <v>2029/30</v>
      </c>
      <c r="U8" s="3" t="s">
        <v>16</v>
      </c>
      <c r="V8" s="3"/>
      <c r="W8" s="3"/>
      <c r="X8" s="3"/>
      <c r="Y8" s="3"/>
      <c r="Z8" s="3"/>
    </row>
    <row r="9" spans="1:26" ht="15.75" thickBot="1"/>
    <row r="10" spans="1:26" ht="15.75" thickBot="1">
      <c r="E10" s="40"/>
      <c r="F10" s="40" t="str">
        <f t="shared" ref="F10:K10" si="0">F$8</f>
        <v>2020/21</v>
      </c>
      <c r="G10" s="40" t="str">
        <f t="shared" si="0"/>
        <v>2021/22</v>
      </c>
      <c r="H10" s="40" t="str">
        <f t="shared" si="0"/>
        <v>2022/23</v>
      </c>
      <c r="I10" s="40" t="str">
        <f t="shared" si="0"/>
        <v>2023/24</v>
      </c>
      <c r="J10" s="40" t="str">
        <f t="shared" si="0"/>
        <v>2024/25</v>
      </c>
      <c r="K10" s="40" t="str">
        <f t="shared" si="0"/>
        <v>Total</v>
      </c>
      <c r="O10" s="40"/>
      <c r="P10" s="40" t="str">
        <f>P8</f>
        <v>2025/26</v>
      </c>
      <c r="Q10" s="40" t="str">
        <f>Q8</f>
        <v>2026/27</v>
      </c>
      <c r="R10" s="40" t="str">
        <f>R8</f>
        <v>2027/28</v>
      </c>
      <c r="S10" s="40" t="str">
        <f>S8</f>
        <v>2028/29</v>
      </c>
      <c r="T10" s="40" t="str">
        <f>T8</f>
        <v>2029/30</v>
      </c>
      <c r="U10" s="40" t="s">
        <v>16</v>
      </c>
    </row>
    <row r="11" spans="1:26">
      <c r="E11" s="39" t="str">
        <f>'2.1 Capex Real Dollars'!A6</f>
        <v>Actual Capital Expenditure</v>
      </c>
      <c r="F11" s="42">
        <f>'2.2 Capex Nominal Dollars'!E5</f>
        <v>2048316.7239999999</v>
      </c>
      <c r="G11" s="42">
        <f>'2.2 Capex Nominal Dollars'!F5</f>
        <v>2568620.5099999998</v>
      </c>
      <c r="H11" s="42">
        <f>'2.2 Capex Nominal Dollars'!G5</f>
        <v>7553220.540000001</v>
      </c>
      <c r="I11" s="42">
        <f>'2.2 Capex Nominal Dollars'!H5</f>
        <v>12120114.600000001</v>
      </c>
      <c r="J11" s="42">
        <f>'2.2 Capex Nominal Dollars'!I5</f>
        <v>4779443.3493066747</v>
      </c>
      <c r="K11" s="48">
        <f>SUM(F11:J11)</f>
        <v>29069715.723306678</v>
      </c>
      <c r="L11" s="41"/>
      <c r="O11" s="39" t="str">
        <f ca="1">'2.1 Capex Real Dollars'!L95</f>
        <v>Spares Management</v>
      </c>
      <c r="P11" s="106">
        <f ca="1">'2.1 Capex Real Dollars'!Q95/1000000</f>
        <v>1.8361367809400002</v>
      </c>
      <c r="Q11" s="106">
        <f ca="1">'2.1 Capex Real Dollars'!R95/1000000</f>
        <v>1.2165472301400004</v>
      </c>
      <c r="R11" s="106">
        <f ca="1">'2.1 Capex Real Dollars'!S95/1000000</f>
        <v>1.6985113809400003</v>
      </c>
      <c r="S11" s="106">
        <f ca="1">'2.1 Capex Real Dollars'!T95/1000000</f>
        <v>1.5483745809400002</v>
      </c>
      <c r="T11" s="106">
        <f ca="1">'2.1 Capex Real Dollars'!U95/1000000</f>
        <v>6.2118300270400022</v>
      </c>
      <c r="U11" s="48">
        <f ca="1">SUM(P11:T11)</f>
        <v>12.511400000000004</v>
      </c>
    </row>
    <row r="12" spans="1:26" ht="15.75" thickBot="1"/>
    <row r="13" spans="1:26" ht="15.75" thickBot="1">
      <c r="E13" s="40" t="s">
        <v>193</v>
      </c>
      <c r="F13" s="40" t="s">
        <v>194</v>
      </c>
      <c r="G13" s="40" t="s">
        <v>195</v>
      </c>
      <c r="H13" s="40" t="s">
        <v>196</v>
      </c>
      <c r="I13" s="40" t="s">
        <v>197</v>
      </c>
      <c r="J13" s="40" t="s">
        <v>198</v>
      </c>
      <c r="K13" s="40" t="str">
        <f t="shared" ref="K13" si="1">K$8</f>
        <v>Total</v>
      </c>
      <c r="O13" s="40"/>
      <c r="P13" s="40" t="str">
        <f t="shared" ref="P13:U13" si="2">P$8</f>
        <v>2025/26</v>
      </c>
      <c r="Q13" s="40" t="str">
        <f t="shared" si="2"/>
        <v>2026/27</v>
      </c>
      <c r="R13" s="40" t="str">
        <f t="shared" si="2"/>
        <v>2027/28</v>
      </c>
      <c r="S13" s="40" t="str">
        <f t="shared" si="2"/>
        <v>2028/29</v>
      </c>
      <c r="T13" s="40" t="str">
        <f t="shared" si="2"/>
        <v>2029/30</v>
      </c>
      <c r="U13" s="40" t="str">
        <f t="shared" si="2"/>
        <v>Total</v>
      </c>
    </row>
    <row r="14" spans="1:26">
      <c r="E14" s="39" t="s">
        <v>199</v>
      </c>
      <c r="F14" s="106">
        <f>ROUND('2.2 Capex Nominal Dollars'!Q5/1000000,1)</f>
        <v>14.3</v>
      </c>
      <c r="G14" s="106">
        <f ca="1">ROUND('2.2 Capex Nominal Dollars'!R5/1000000,1)</f>
        <v>4.8</v>
      </c>
      <c r="H14" s="106">
        <f ca="1">ROUND('2.2 Capex Nominal Dollars'!S5/1000000,1)</f>
        <v>4.5999999999999996</v>
      </c>
      <c r="I14" s="106">
        <f ca="1">ROUND('2.2 Capex Nominal Dollars'!T5/1000000,1)</f>
        <v>4.4000000000000004</v>
      </c>
      <c r="J14" s="106">
        <f ca="1">ROUND('2.2 Capex Nominal Dollars'!U5/1000000,1)</f>
        <v>8.5</v>
      </c>
      <c r="K14" s="109">
        <f ca="1">SUM(F14:J14)</f>
        <v>36.6</v>
      </c>
      <c r="O14" s="39" t="str">
        <f ca="1">'2.1 Capex Real Dollars'!L96</f>
        <v>IGBT Generation 3 Upgrade</v>
      </c>
      <c r="P14" s="42">
        <f ca="1">INDEX('2.1 Capex Real Dollars'!Q$95:Q$99,MATCH($O14,'2.1 Capex Real Dollars'!$L$95:$L$99,0))</f>
        <v>6058148.406200001</v>
      </c>
      <c r="Q14" s="42">
        <f ca="1">INDEX('2.1 Capex Real Dollars'!R$95:R$99,MATCH($O14,'2.1 Capex Real Dollars'!$L$95:$L$99,0))</f>
        <v>0</v>
      </c>
      <c r="R14" s="42">
        <f ca="1">INDEX('2.1 Capex Real Dollars'!S$95:S$99,MATCH($O14,'2.1 Capex Real Dollars'!$L$95:$L$99,0))</f>
        <v>0</v>
      </c>
      <c r="S14" s="42">
        <f ca="1">INDEX('2.1 Capex Real Dollars'!T$95:T$99,MATCH($O14,'2.1 Capex Real Dollars'!$L$95:$L$99,0))</f>
        <v>0</v>
      </c>
      <c r="T14" s="42">
        <f ca="1">INDEX('2.1 Capex Real Dollars'!U$95:U$99,MATCH($O14,'2.1 Capex Real Dollars'!$L$95:$L$99,0))</f>
        <v>0</v>
      </c>
      <c r="U14" s="48">
        <f ca="1">SUM(P14:T14)</f>
        <v>6058148.406200001</v>
      </c>
    </row>
    <row r="15" spans="1:26" ht="15.75" thickBot="1">
      <c r="E15" s="39" t="s">
        <v>200</v>
      </c>
      <c r="F15" s="106">
        <f>ROUND('2.2 Capex Nominal Dollars'!E5/1000000,1)</f>
        <v>2</v>
      </c>
      <c r="G15" s="106">
        <f>ROUND('2.2 Capex Nominal Dollars'!F5/1000000,1)</f>
        <v>2.6</v>
      </c>
      <c r="H15" s="106">
        <f>ROUND('2.2 Capex Nominal Dollars'!G5/1000000,1)</f>
        <v>7.6</v>
      </c>
      <c r="I15" s="106">
        <f>ROUND('2.2 Capex Nominal Dollars'!H5/1000000,1)</f>
        <v>12.1</v>
      </c>
      <c r="J15" s="106">
        <f>ROUND('2.2 Capex Nominal Dollars'!I5/1000000,1)</f>
        <v>4.8</v>
      </c>
      <c r="K15" s="109">
        <f>SUM(F15:J15)</f>
        <v>29.099999999999998</v>
      </c>
    </row>
    <row r="16" spans="1:26" ht="16.5" thickTop="1" thickBot="1">
      <c r="E16" s="49" t="s">
        <v>201</v>
      </c>
      <c r="F16" s="107">
        <f>F14-F15</f>
        <v>12.3</v>
      </c>
      <c r="G16" s="107">
        <f ca="1">G14-G15</f>
        <v>2.1999999999999997</v>
      </c>
      <c r="H16" s="107">
        <f ca="1">H14-H15</f>
        <v>-3</v>
      </c>
      <c r="I16" s="107">
        <f ca="1">I14-I15</f>
        <v>-7.6999999999999993</v>
      </c>
      <c r="J16" s="107">
        <f ca="1">J14-J15</f>
        <v>3.7</v>
      </c>
      <c r="K16" s="108">
        <f ca="1">SUM(F16:J16)</f>
        <v>7.5000000000000009</v>
      </c>
      <c r="O16" s="40"/>
      <c r="P16" s="40" t="str">
        <f t="shared" ref="P16:U16" si="3">P$8</f>
        <v>2025/26</v>
      </c>
      <c r="Q16" s="40" t="str">
        <f t="shared" si="3"/>
        <v>2026/27</v>
      </c>
      <c r="R16" s="40" t="str">
        <f t="shared" si="3"/>
        <v>2027/28</v>
      </c>
      <c r="S16" s="40" t="str">
        <f t="shared" si="3"/>
        <v>2028/29</v>
      </c>
      <c r="T16" s="40" t="str">
        <f t="shared" si="3"/>
        <v>2029/30</v>
      </c>
      <c r="U16" s="40" t="str">
        <f t="shared" si="3"/>
        <v>Total</v>
      </c>
    </row>
    <row r="17" spans="1:23" ht="30.75" thickBot="1">
      <c r="O17" s="39" t="str">
        <f ca="1">'2.1 Capex Real Dollars'!L97</f>
        <v>Physical Site Security and Public Protection - Mullumbimby</v>
      </c>
      <c r="P17" s="42">
        <f ca="1">INDEX('2.1 Capex Real Dollars'!Q$95:Q$99,MATCH($O17,'2.1 Capex Real Dollars'!$L$95:$L$99,0))</f>
        <v>1487257.8544152684</v>
      </c>
      <c r="Q17" s="42">
        <f ca="1">INDEX('2.1 Capex Real Dollars'!R$95:R$99,MATCH($O17,'2.1 Capex Real Dollars'!$L$95:$L$99,0))</f>
        <v>703616.2994075364</v>
      </c>
      <c r="R17" s="42">
        <f ca="1">INDEX('2.1 Capex Real Dollars'!S$95:S$99,MATCH($O17,'2.1 Capex Real Dollars'!$L$95:$L$99,0))</f>
        <v>0</v>
      </c>
      <c r="S17" s="42">
        <f ca="1">INDEX('2.1 Capex Real Dollars'!T$95:T$99,MATCH($O17,'2.1 Capex Real Dollars'!$L$95:$L$99,0))</f>
        <v>0</v>
      </c>
      <c r="T17" s="42">
        <f ca="1">INDEX('2.1 Capex Real Dollars'!U$95:U$99,MATCH($O17,'2.1 Capex Real Dollars'!$L$95:$L$99,0))</f>
        <v>0</v>
      </c>
      <c r="U17" s="48">
        <f ca="1">SUM(P17:T17)</f>
        <v>2190874.1538228048</v>
      </c>
    </row>
    <row r="18" spans="1:23" ht="15.75" thickBot="1">
      <c r="E18" s="40" t="str">
        <f>'2.2 Capex Nominal Dollars'!A18</f>
        <v>Cooling tower sound enclosure panel replacement</v>
      </c>
      <c r="F18" s="40" t="str">
        <f t="shared" ref="F18:K18" si="4">F$8</f>
        <v>2020/21</v>
      </c>
      <c r="G18" s="40" t="str">
        <f t="shared" si="4"/>
        <v>2021/22</v>
      </c>
      <c r="H18" s="40" t="str">
        <f t="shared" si="4"/>
        <v>2022/23</v>
      </c>
      <c r="I18" s="40" t="str">
        <f t="shared" si="4"/>
        <v>2023/24</v>
      </c>
      <c r="J18" s="40" t="str">
        <f t="shared" si="4"/>
        <v>2024/25</v>
      </c>
      <c r="K18" s="40" t="str">
        <f t="shared" si="4"/>
        <v>Total</v>
      </c>
    </row>
    <row r="19" spans="1:23" ht="16.5" thickTop="1" thickBot="1">
      <c r="E19" s="39" t="s">
        <v>202</v>
      </c>
      <c r="F19" s="106">
        <f>'2.1 Capex Real Dollars'!E18</f>
        <v>833309.67669352551</v>
      </c>
      <c r="G19" s="106">
        <f>'2.1 Capex Real Dollars'!F18</f>
        <v>186315.58165094384</v>
      </c>
      <c r="H19" s="106">
        <f>'2.1 Capex Real Dollars'!G18</f>
        <v>222735.64533484005</v>
      </c>
      <c r="I19" s="106">
        <f>'2.1 Capex Real Dollars'!H18</f>
        <v>0</v>
      </c>
      <c r="J19" s="106">
        <f>'2.1 Capex Real Dollars'!I18</f>
        <v>0</v>
      </c>
      <c r="K19" s="109">
        <f>SUM(F19:J19)</f>
        <v>1242360.9036793094</v>
      </c>
      <c r="M19" s="13" t="b">
        <f>K19='3.2 Forecast vs Actual'!H33</f>
        <v>1</v>
      </c>
      <c r="O19" s="40"/>
      <c r="P19" s="40" t="str">
        <f t="shared" ref="P19:U19" si="5">P$8</f>
        <v>2025/26</v>
      </c>
      <c r="Q19" s="40" t="str">
        <f t="shared" si="5"/>
        <v>2026/27</v>
      </c>
      <c r="R19" s="40" t="str">
        <f t="shared" si="5"/>
        <v>2027/28</v>
      </c>
      <c r="S19" s="40" t="str">
        <f t="shared" si="5"/>
        <v>2028/29</v>
      </c>
      <c r="T19" s="40" t="str">
        <f t="shared" si="5"/>
        <v>2029/30</v>
      </c>
      <c r="U19" s="40" t="str">
        <f t="shared" si="5"/>
        <v>Total</v>
      </c>
    </row>
    <row r="20" spans="1:23" ht="16.5" thickTop="1" thickBot="1">
      <c r="E20" s="39" t="s">
        <v>203</v>
      </c>
      <c r="F20" s="106" cm="1">
        <f t="array" ref="F20">_xlfn.IFNA(INDEX('3.2 Forecast vs Actual'!C$9:C$19,MATCH($E18,'3.2 Forecast vs Actual'!$A$9:$A$19,0),0),0)</f>
        <v>0</v>
      </c>
      <c r="G20" s="106" cm="1">
        <f t="array" ref="G20">_xlfn.IFNA(INDEX('3.2 Forecast vs Actual'!D$9:D$19,MATCH($E18,'3.2 Forecast vs Actual'!$A$9:$A$19,0),0),0)</f>
        <v>0</v>
      </c>
      <c r="H20" s="106" cm="1">
        <f t="array" ref="H20">_xlfn.IFNA(INDEX('3.2 Forecast vs Actual'!E$9:E$19,MATCH($E18,'3.2 Forecast vs Actual'!$A$9:$A$19,0),0),0)</f>
        <v>0</v>
      </c>
      <c r="I20" s="106" cm="1">
        <f t="array" ref="I20">_xlfn.IFNA(INDEX('3.2 Forecast vs Actual'!F$9:F$19,MATCH($E18,'3.2 Forecast vs Actual'!$A$9:$A$19,0),0),0)</f>
        <v>0</v>
      </c>
      <c r="J20" s="106" cm="1">
        <f t="array" ref="J20">_xlfn.IFNA(INDEX('3.2 Forecast vs Actual'!G$9:G$19,MATCH($E18,'3.2 Forecast vs Actual'!$A$9:$A$19,0),0),0)</f>
        <v>0</v>
      </c>
      <c r="K20" s="109">
        <f>SUM(F20:J20)</f>
        <v>0</v>
      </c>
      <c r="O20" s="39" t="str">
        <f ca="1">'2.1 Capex Real Dollars'!L98</f>
        <v>Reactor cooling enhancements</v>
      </c>
      <c r="P20" s="42">
        <f ca="1">INDEX('2.1 Capex Real Dollars'!Q$95:Q$99,MATCH($O20,'2.1 Capex Real Dollars'!$L$95:$L$99,0))</f>
        <v>356233.68</v>
      </c>
      <c r="Q20" s="42">
        <f ca="1">INDEX('2.1 Capex Real Dollars'!R$95:R$99,MATCH($O20,'2.1 Capex Real Dollars'!$L$95:$L$99,0))</f>
        <v>853050.00000000012</v>
      </c>
      <c r="R20" s="42">
        <f ca="1">INDEX('2.1 Capex Real Dollars'!S$95:S$99,MATCH($O20,'2.1 Capex Real Dollars'!$L$95:$L$99,0))</f>
        <v>853050.00000000012</v>
      </c>
      <c r="S20" s="42">
        <f ca="1">INDEX('2.1 Capex Real Dollars'!T$95:T$99,MATCH($O20,'2.1 Capex Real Dollars'!$L$95:$L$99,0))</f>
        <v>0</v>
      </c>
      <c r="T20" s="42">
        <f ca="1">INDEX('2.1 Capex Real Dollars'!U$95:U$99,MATCH($O20,'2.1 Capex Real Dollars'!$L$95:$L$99,0))</f>
        <v>0</v>
      </c>
      <c r="U20" s="48">
        <f ca="1">SUM(P20:T20)</f>
        <v>2062333.6800000002</v>
      </c>
    </row>
    <row r="21" spans="1:23" ht="16.5" thickTop="1" thickBot="1">
      <c r="A21">
        <v>1</v>
      </c>
      <c r="E21" s="49" t="s">
        <v>201</v>
      </c>
      <c r="F21" s="107">
        <f>F19-F20</f>
        <v>833309.67669352551</v>
      </c>
      <c r="G21" s="107">
        <f>G19-G20</f>
        <v>186315.58165094384</v>
      </c>
      <c r="H21" s="107">
        <f>H19-H20</f>
        <v>222735.64533484005</v>
      </c>
      <c r="I21" s="107">
        <f>I19-I20</f>
        <v>0</v>
      </c>
      <c r="J21" s="107">
        <f>J19-J20</f>
        <v>0</v>
      </c>
      <c r="K21" s="108">
        <f>SUM(F21:J21)</f>
        <v>1242360.9036793094</v>
      </c>
    </row>
    <row r="22" spans="1:23" ht="15.75" thickBot="1">
      <c r="O22" s="40"/>
      <c r="P22" s="40" t="str">
        <f t="shared" ref="P22:U22" si="6">P$8</f>
        <v>2025/26</v>
      </c>
      <c r="Q22" s="40" t="str">
        <f t="shared" si="6"/>
        <v>2026/27</v>
      </c>
      <c r="R22" s="40" t="str">
        <f t="shared" si="6"/>
        <v>2027/28</v>
      </c>
      <c r="S22" s="40" t="str">
        <f t="shared" si="6"/>
        <v>2028/29</v>
      </c>
      <c r="T22" s="40" t="str">
        <f t="shared" si="6"/>
        <v>2029/30</v>
      </c>
      <c r="U22" s="40" t="str">
        <f t="shared" si="6"/>
        <v>Total</v>
      </c>
    </row>
    <row r="23" spans="1:23" ht="15.75" thickBot="1">
      <c r="E23" s="133" t="s">
        <v>204</v>
      </c>
      <c r="F23" s="133" t="str">
        <f t="shared" ref="F23:K23" si="7">F$8</f>
        <v>2020/21</v>
      </c>
      <c r="G23" s="133" t="str">
        <f t="shared" si="7"/>
        <v>2021/22</v>
      </c>
      <c r="H23" s="133" t="str">
        <f t="shared" si="7"/>
        <v>2022/23</v>
      </c>
      <c r="I23" s="133" t="str">
        <f t="shared" si="7"/>
        <v>2023/24</v>
      </c>
      <c r="J23" s="133" t="str">
        <f t="shared" si="7"/>
        <v>2024/25</v>
      </c>
      <c r="K23" s="133" t="str">
        <f t="shared" si="7"/>
        <v>Total</v>
      </c>
      <c r="O23" s="39" t="s">
        <v>81</v>
      </c>
      <c r="P23" s="53">
        <f>'1.0 Data'!V13/'1.1 Input'!$J$13/1000</f>
        <v>0</v>
      </c>
      <c r="Q23" s="53">
        <f>'1.0 Data'!W13/'1.1 Input'!$J$13/1000</f>
        <v>0</v>
      </c>
      <c r="R23" s="53">
        <f>'1.0 Data'!X13/'1.1 Input'!$J$13/1000</f>
        <v>0</v>
      </c>
      <c r="S23" s="53">
        <f>'1.0 Data'!Y13/'1.1 Input'!$J$13/1000</f>
        <v>0</v>
      </c>
      <c r="T23" s="53">
        <f>'1.0 Data'!Z13/'1.1 Input'!$J$13/1000</f>
        <v>0</v>
      </c>
      <c r="U23" s="48">
        <f>SUM(P23:T23)</f>
        <v>0</v>
      </c>
    </row>
    <row r="24" spans="1:23" ht="16.5" thickTop="1" thickBot="1">
      <c r="E24" s="134" t="s">
        <v>202</v>
      </c>
      <c r="F24" s="131">
        <f>'2.2 Capex Nominal Dollars'!E5</f>
        <v>2048316.7239999999</v>
      </c>
      <c r="G24" s="131">
        <f>'2.2 Capex Nominal Dollars'!F5</f>
        <v>2568620.5099999998</v>
      </c>
      <c r="H24" s="131">
        <f>'2.2 Capex Nominal Dollars'!G5</f>
        <v>7553220.540000001</v>
      </c>
      <c r="I24" s="131">
        <f>'2.2 Capex Nominal Dollars'!H5</f>
        <v>12120114.600000001</v>
      </c>
      <c r="J24" s="131">
        <f>'2.2 Capex Nominal Dollars'!I5</f>
        <v>4779443.3493066747</v>
      </c>
      <c r="K24" s="137">
        <f>SUM(F24:J24)</f>
        <v>29069715.723306678</v>
      </c>
      <c r="M24" s="13" t="b">
        <f>'2.2 Capex Nominal Dollars'!J5=K24</f>
        <v>1</v>
      </c>
    </row>
    <row r="25" spans="1:23" ht="16.5" thickTop="1" thickBot="1">
      <c r="E25" s="134" t="s">
        <v>203</v>
      </c>
      <c r="F25" s="131">
        <f xml:space="preserve"> '1.2 AER Forecast'!G24*1000000</f>
        <v>6018219.3384217648</v>
      </c>
      <c r="G25" s="131">
        <f xml:space="preserve"> '1.2 AER Forecast'!H24*1000000</f>
        <v>7904031.0983719025</v>
      </c>
      <c r="H25" s="131">
        <f xml:space="preserve"> '1.2 AER Forecast'!I24*1000000</f>
        <v>6530113.7654385036</v>
      </c>
      <c r="I25" s="131">
        <f xml:space="preserve"> '1.2 AER Forecast'!J24*1000000</f>
        <v>5964698.465973584</v>
      </c>
      <c r="J25" s="131">
        <f xml:space="preserve"> '1.2 AER Forecast'!K24*1000000</f>
        <v>4685199.6036321325</v>
      </c>
      <c r="K25" s="137">
        <f>SUM(F25:J25)</f>
        <v>31102262.271837886</v>
      </c>
      <c r="O25" s="40" t="s">
        <v>205</v>
      </c>
      <c r="P25" s="40" t="str">
        <f t="shared" ref="P25:U25" si="8">P$8</f>
        <v>2025/26</v>
      </c>
      <c r="Q25" s="40" t="str">
        <f t="shared" si="8"/>
        <v>2026/27</v>
      </c>
      <c r="R25" s="40" t="str">
        <f t="shared" si="8"/>
        <v>2027/28</v>
      </c>
      <c r="S25" s="40" t="str">
        <f t="shared" si="8"/>
        <v>2028/29</v>
      </c>
      <c r="T25" s="40" t="str">
        <f t="shared" si="8"/>
        <v>2029/30</v>
      </c>
      <c r="U25" s="40" t="str">
        <f t="shared" si="8"/>
        <v>Total</v>
      </c>
    </row>
    <row r="26" spans="1:23" ht="15.75" thickTop="1">
      <c r="A26">
        <v>2</v>
      </c>
      <c r="E26" s="138" t="s">
        <v>201</v>
      </c>
      <c r="F26" s="139">
        <f>F24-F25</f>
        <v>-3969902.6144217649</v>
      </c>
      <c r="G26" s="139">
        <f>G24-G25</f>
        <v>-5335410.5883719027</v>
      </c>
      <c r="H26" s="139">
        <f>H24-H25</f>
        <v>1023106.7745614974</v>
      </c>
      <c r="I26" s="139">
        <f>I24-I25</f>
        <v>6155416.1340264175</v>
      </c>
      <c r="J26" s="139">
        <f>J24-J25</f>
        <v>94243.745674542151</v>
      </c>
      <c r="K26" s="139">
        <f>SUM(F26:J26)</f>
        <v>-2032546.54853121</v>
      </c>
      <c r="O26" s="39" t="str">
        <f>'1.1 Input'!B22</f>
        <v>Augmentation Expenditure</v>
      </c>
      <c r="P26" s="42">
        <f>SUMIF('2.1 Capex Real Dollars'!$O$9:$O$66,'3.0 Outputs'!$O26,'2.1 Capex Real Dollars'!Q$9:Q$66)</f>
        <v>0</v>
      </c>
      <c r="Q26" s="42">
        <f>SUMIF('2.1 Capex Real Dollars'!$O$9:$O$66,'3.0 Outputs'!$O26,'2.1 Capex Real Dollars'!R$9:R$66)</f>
        <v>0</v>
      </c>
      <c r="R26" s="42">
        <f>SUMIF('2.1 Capex Real Dollars'!$O$9:$O$66,'3.0 Outputs'!$O26,'2.1 Capex Real Dollars'!S$9:S$66)</f>
        <v>0</v>
      </c>
      <c r="S26" s="42">
        <f>SUMIF('2.1 Capex Real Dollars'!$O$9:$O$66,'3.0 Outputs'!$O26,'2.1 Capex Real Dollars'!T$9:T$66)</f>
        <v>0</v>
      </c>
      <c r="T26" s="42">
        <f>SUMIF('2.1 Capex Real Dollars'!$O$9:$O$66,'3.0 Outputs'!$O26,'2.1 Capex Real Dollars'!U$9:U$66)</f>
        <v>0</v>
      </c>
      <c r="U26" s="48">
        <f>SUM(P26:T26)</f>
        <v>0</v>
      </c>
    </row>
    <row r="27" spans="1:23" ht="15.75" thickBot="1">
      <c r="O27" s="39" t="str">
        <f>'1.1 Input'!B20</f>
        <v>Replacement expenditure</v>
      </c>
      <c r="P27" s="42">
        <f>SUMIF('2.1 Capex Real Dollars'!$O$9:$O$66,'3.0 Outputs'!$O27,'2.1 Capex Real Dollars'!Q$9:Q$66)</f>
        <v>13805901.505692476</v>
      </c>
      <c r="Q27" s="42">
        <f>SUMIF('2.1 Capex Real Dollars'!$O$9:$O$66,'3.0 Outputs'!$O27,'2.1 Capex Real Dollars'!R$9:R$66)</f>
        <v>4533638.6964198416</v>
      </c>
      <c r="R27" s="42">
        <f>SUMIF('2.1 Capex Real Dollars'!$O$9:$O$66,'3.0 Outputs'!$O27,'2.1 Capex Real Dollars'!S$9:S$66)</f>
        <v>4200392.4382463237</v>
      </c>
      <c r="S27" s="42">
        <f>SUMIF('2.1 Capex Real Dollars'!$O$9:$O$66,'3.0 Outputs'!$O27,'2.1 Capex Real Dollars'!T$9:T$66)</f>
        <v>3898390.3966009794</v>
      </c>
      <c r="T27" s="42">
        <f>SUMIF('2.1 Capex Real Dollars'!$O$9:$O$66,'3.0 Outputs'!$O27,'2.1 Capex Real Dollars'!U$9:U$66)</f>
        <v>7363448.1841897136</v>
      </c>
      <c r="U27" s="48">
        <f>SUM(P27:T27)</f>
        <v>33801771.221149333</v>
      </c>
    </row>
    <row r="28" spans="1:23" ht="15.75" thickBot="1">
      <c r="E28" s="133" t="s">
        <v>206</v>
      </c>
      <c r="F28" s="133" t="str">
        <f t="shared" ref="F28:K28" si="9">F$8</f>
        <v>2020/21</v>
      </c>
      <c r="G28" s="133" t="str">
        <f t="shared" si="9"/>
        <v>2021/22</v>
      </c>
      <c r="H28" s="133" t="str">
        <f t="shared" si="9"/>
        <v>2022/23</v>
      </c>
      <c r="I28" s="133" t="str">
        <f t="shared" si="9"/>
        <v>2023/24</v>
      </c>
      <c r="J28" s="133" t="str">
        <f t="shared" si="9"/>
        <v>2024/25</v>
      </c>
      <c r="K28" s="133" t="str">
        <f t="shared" si="9"/>
        <v>Total</v>
      </c>
      <c r="O28" s="39" t="str">
        <f>'1.1 Input'!B23</f>
        <v>Non-network</v>
      </c>
      <c r="P28" s="42">
        <f>SUMIF('2.1 Capex Real Dollars'!$O$9:$O$66,'3.0 Outputs'!$O28,'2.1 Capex Real Dollars'!Q$9:Q$66)</f>
        <v>0</v>
      </c>
      <c r="Q28" s="42">
        <f>SUMIF('2.1 Capex Real Dollars'!$O$9:$O$66,'3.0 Outputs'!$O28,'2.1 Capex Real Dollars'!R$9:R$66)</f>
        <v>0</v>
      </c>
      <c r="R28" s="42">
        <f>SUMIF('2.1 Capex Real Dollars'!$O$9:$O$66,'3.0 Outputs'!$O28,'2.1 Capex Real Dollars'!S$9:S$66)</f>
        <v>0</v>
      </c>
      <c r="S28" s="42">
        <f>SUMIF('2.1 Capex Real Dollars'!$O$9:$O$66,'3.0 Outputs'!$O28,'2.1 Capex Real Dollars'!T$9:T$66)</f>
        <v>0</v>
      </c>
      <c r="T28" s="42">
        <f>SUMIF('2.1 Capex Real Dollars'!$O$9:$O$66,'3.0 Outputs'!$O28,'2.1 Capex Real Dollars'!U$9:U$66)</f>
        <v>0</v>
      </c>
      <c r="U28" s="48">
        <f>SUM(P28:T28)</f>
        <v>0</v>
      </c>
    </row>
    <row r="29" spans="1:23" ht="16.5" thickTop="1" thickBot="1">
      <c r="E29" s="134" t="s">
        <v>207</v>
      </c>
      <c r="F29" s="132">
        <f>ROUND(F24/1000000,1)</f>
        <v>2</v>
      </c>
      <c r="G29" s="132">
        <f t="shared" ref="G29:J29" si="10">ROUND(G24/1000000,1)</f>
        <v>2.6</v>
      </c>
      <c r="H29" s="132">
        <f t="shared" si="10"/>
        <v>7.6</v>
      </c>
      <c r="I29" s="132">
        <f t="shared" si="10"/>
        <v>12.1</v>
      </c>
      <c r="J29" s="132">
        <f t="shared" si="10"/>
        <v>4.8</v>
      </c>
      <c r="K29" s="132">
        <f>K24/1000000</f>
        <v>29.069715723306679</v>
      </c>
      <c r="M29" s="71" t="b">
        <f>K29=K24/1000000</f>
        <v>1</v>
      </c>
      <c r="O29" s="49" t="s">
        <v>16</v>
      </c>
      <c r="P29" s="50">
        <f>SUM(P26:P28)</f>
        <v>13805901.505692476</v>
      </c>
      <c r="Q29" s="50">
        <f>SUM(Q26:Q28)</f>
        <v>4533638.6964198416</v>
      </c>
      <c r="R29" s="50">
        <f>SUM(R26:R28)</f>
        <v>4200392.4382463237</v>
      </c>
      <c r="S29" s="50">
        <f>SUM(S26:S28)</f>
        <v>3898390.3966009794</v>
      </c>
      <c r="T29" s="50">
        <f>SUM(T26:T28)</f>
        <v>7363448.1841897136</v>
      </c>
      <c r="U29" s="50">
        <f>SUM(P29:T29)</f>
        <v>33801771.221149333</v>
      </c>
      <c r="W29" s="46">
        <f ca="1">'2.1 Capex Real Dollars'!V5-'3.0 Outputs'!U29</f>
        <v>0</v>
      </c>
    </row>
    <row r="30" spans="1:23" ht="16.5" thickTop="1" thickBot="1">
      <c r="E30" s="134" t="s">
        <v>208</v>
      </c>
      <c r="F30" s="132">
        <f>'1.2 AER Forecast'!G9</f>
        <v>4.8725651488499748</v>
      </c>
      <c r="G30" s="132">
        <f>'1.2 AER Forecast'!H9</f>
        <v>6.5732515165121201</v>
      </c>
      <c r="H30" s="132">
        <f>'1.2 AER Forecast'!I9</f>
        <v>5.4306567974545237</v>
      </c>
      <c r="I30" s="132">
        <f>'1.2 AER Forecast'!J9</f>
        <v>4.9604388885912227</v>
      </c>
      <c r="J30" s="132">
        <f>'1.2 AER Forecast'!K9</f>
        <v>3.8963656666381996</v>
      </c>
      <c r="K30" s="132">
        <f>'1.2 AER Forecast'!L9</f>
        <v>25.733278018046043</v>
      </c>
      <c r="O30" s="15"/>
      <c r="P30" s="16"/>
      <c r="Q30" s="16"/>
      <c r="R30" s="16"/>
      <c r="S30" s="16"/>
      <c r="T30" s="16"/>
      <c r="U30" s="18"/>
    </row>
    <row r="31" spans="1:23" ht="16.5" thickTop="1" thickBot="1">
      <c r="E31" s="135" t="s">
        <v>201</v>
      </c>
      <c r="F31" s="136">
        <f>F29-F30</f>
        <v>-2.8725651488499748</v>
      </c>
      <c r="G31" s="136">
        <f t="shared" ref="G31:J31" si="11">G29-G30</f>
        <v>-3.9732515165121201</v>
      </c>
      <c r="H31" s="136">
        <f t="shared" si="11"/>
        <v>2.169343202545476</v>
      </c>
      <c r="I31" s="136">
        <f t="shared" si="11"/>
        <v>7.1395611114087769</v>
      </c>
      <c r="J31" s="136">
        <f t="shared" si="11"/>
        <v>0.90363433336180021</v>
      </c>
      <c r="K31" s="136">
        <f>SUM(F31:J31)</f>
        <v>3.3667219819539578</v>
      </c>
      <c r="O31" s="40" t="s">
        <v>193</v>
      </c>
      <c r="P31" s="40" t="str">
        <f t="shared" ref="P31:U31" si="12">P$8</f>
        <v>2025/26</v>
      </c>
      <c r="Q31" s="40" t="str">
        <f t="shared" si="12"/>
        <v>2026/27</v>
      </c>
      <c r="R31" s="40" t="str">
        <f t="shared" si="12"/>
        <v>2027/28</v>
      </c>
      <c r="S31" s="40" t="str">
        <f t="shared" si="12"/>
        <v>2028/29</v>
      </c>
      <c r="T31" s="40" t="str">
        <f t="shared" si="12"/>
        <v>2029/30</v>
      </c>
      <c r="U31" s="40" t="str">
        <f t="shared" si="12"/>
        <v>Total</v>
      </c>
    </row>
    <row r="32" spans="1:23">
      <c r="O32" s="39" t="s">
        <v>160</v>
      </c>
      <c r="P32" s="44">
        <f>P29/1000000</f>
        <v>13.805901505692477</v>
      </c>
      <c r="Q32" s="44">
        <f t="shared" ref="Q32:T32" si="13">Q29/1000000</f>
        <v>4.5336386964198416</v>
      </c>
      <c r="R32" s="44">
        <f t="shared" si="13"/>
        <v>4.2003924382463236</v>
      </c>
      <c r="S32" s="44">
        <f t="shared" si="13"/>
        <v>3.8983903966009792</v>
      </c>
      <c r="T32" s="44">
        <f t="shared" si="13"/>
        <v>7.3634481841897133</v>
      </c>
      <c r="U32" s="109">
        <f>SUM(P32:T32)</f>
        <v>33.801771221149338</v>
      </c>
    </row>
    <row r="34" spans="1:26">
      <c r="A34" s="3" t="s">
        <v>209</v>
      </c>
      <c r="B34" s="3"/>
      <c r="C34" s="3"/>
      <c r="D34" s="3"/>
      <c r="E34" s="3"/>
      <c r="F34" s="3"/>
      <c r="G34" s="3"/>
      <c r="H34" s="3"/>
      <c r="I34" s="3"/>
      <c r="J34" s="3"/>
      <c r="K34" s="3"/>
      <c r="L34" s="3"/>
      <c r="M34" s="3"/>
      <c r="N34" s="3" t="s">
        <v>209</v>
      </c>
      <c r="O34" s="3"/>
      <c r="P34" s="3"/>
      <c r="Q34" s="3"/>
      <c r="R34" s="3"/>
      <c r="S34" s="3"/>
      <c r="T34" s="3"/>
      <c r="U34" s="3"/>
      <c r="V34" s="3"/>
      <c r="W34" s="3"/>
      <c r="X34" s="3"/>
      <c r="Y34" s="3"/>
      <c r="Z34" s="3"/>
    </row>
    <row r="35" spans="1:26" ht="15.75" thickBot="1"/>
    <row r="36" spans="1:26" ht="15.75" thickBot="1">
      <c r="E36" s="40" t="s">
        <v>210</v>
      </c>
      <c r="F36" s="40" t="str">
        <f t="shared" ref="F36:K36" si="14">F$8</f>
        <v>2020/21</v>
      </c>
      <c r="G36" s="40" t="str">
        <f t="shared" si="14"/>
        <v>2021/22</v>
      </c>
      <c r="H36" s="40" t="str">
        <f t="shared" si="14"/>
        <v>2022/23</v>
      </c>
      <c r="I36" s="40" t="str">
        <f t="shared" si="14"/>
        <v>2023/24</v>
      </c>
      <c r="J36" s="40" t="str">
        <f t="shared" si="14"/>
        <v>2024/25</v>
      </c>
      <c r="K36" s="40" t="str">
        <f t="shared" si="14"/>
        <v>Total</v>
      </c>
      <c r="O36" s="40" t="s">
        <v>6</v>
      </c>
      <c r="P36" s="40" t="str">
        <f t="shared" ref="P36:U36" si="15">P$8</f>
        <v>2025/26</v>
      </c>
      <c r="Q36" s="40" t="str">
        <f t="shared" si="15"/>
        <v>2026/27</v>
      </c>
      <c r="R36" s="40" t="str">
        <f t="shared" si="15"/>
        <v>2027/28</v>
      </c>
      <c r="S36" s="40" t="str">
        <f t="shared" si="15"/>
        <v>2028/29</v>
      </c>
      <c r="T36" s="40" t="str">
        <f t="shared" si="15"/>
        <v>2029/30</v>
      </c>
      <c r="U36" s="40" t="str">
        <f t="shared" si="15"/>
        <v>Total</v>
      </c>
    </row>
    <row r="37" spans="1:26">
      <c r="E37" s="39" t="str">
        <f>'1.1 Input'!A20</f>
        <v>Transmission Assets</v>
      </c>
      <c r="F37" s="42">
        <f>SUMIF('2.2 Capex Nominal Dollars'!$C$9:$C$67,$E37,'2.2 Capex Nominal Dollars'!E$9:E$67)</f>
        <v>2048316.7239999999</v>
      </c>
      <c r="G37" s="42">
        <f>SUMIF('2.2 Capex Nominal Dollars'!$C$9:$C$67,$E37,'2.2 Capex Nominal Dollars'!F$9:F$67)</f>
        <v>2568620.5099999998</v>
      </c>
      <c r="H37" s="42">
        <f>SUMIF('2.2 Capex Nominal Dollars'!$C$9:$C$67,$E37,'2.2 Capex Nominal Dollars'!G$9:G$67)</f>
        <v>7427604.2800000012</v>
      </c>
      <c r="I37" s="42">
        <f>SUMIF('2.2 Capex Nominal Dollars'!$C$9:$C$67,$E37,'2.2 Capex Nominal Dollars'!H$9:H$67)</f>
        <v>11779334.600000001</v>
      </c>
      <c r="J37" s="42">
        <f>SUMIF('2.2 Capex Nominal Dollars'!$C$9:$C$67,$E37,'2.2 Capex Nominal Dollars'!I$9:I$67)</f>
        <v>3042183.6716192584</v>
      </c>
      <c r="K37" s="48">
        <f>SUM(F37:J37)</f>
        <v>26866059.785619259</v>
      </c>
      <c r="O37" s="39" t="str">
        <f>'1.1 Input'!C20</f>
        <v>Transmission Assets</v>
      </c>
      <c r="P37" s="42">
        <f>SUMIF('2.1 Capex Real Dollars'!$N$9:$N$66,$O37,'2.1 Capex Real Dollars'!Q$9:Q$66)</f>
        <v>11004051.669452321</v>
      </c>
      <c r="Q37" s="42">
        <f>SUMIF('2.1 Capex Real Dollars'!$N$9:$N$66,$O37,'2.1 Capex Real Dollars'!R$9:R$66)</f>
        <v>3408912.72894111</v>
      </c>
      <c r="R37" s="42">
        <f>SUMIF('2.1 Capex Real Dollars'!$N$9:$N$66,$O37,'2.1 Capex Real Dollars'!S$9:S$66)</f>
        <v>4051523.6540737478</v>
      </c>
      <c r="S37" s="42">
        <f>SUMIF('2.1 Capex Real Dollars'!$N$9:$N$66,$O37,'2.1 Capex Real Dollars'!T$9:T$66)</f>
        <v>2763958.7999208458</v>
      </c>
      <c r="T37" s="42">
        <f>SUMIF('2.1 Capex Real Dollars'!$N$9:$N$66,$O37,'2.1 Capex Real Dollars'!U$9:U$66)</f>
        <v>7217059.6341897137</v>
      </c>
      <c r="U37" s="48">
        <f>SUM(P37:T37)</f>
        <v>28445506.486577738</v>
      </c>
    </row>
    <row r="38" spans="1:26">
      <c r="E38" s="39" t="str">
        <f>'1.1 Input'!A21</f>
        <v>Transmission Determination Costs</v>
      </c>
      <c r="F38" s="42">
        <f>SUMIF('2.2 Capex Nominal Dollars'!$C$9:$C$67,$E38,'2.2 Capex Nominal Dollars'!E$9:E$67)</f>
        <v>0</v>
      </c>
      <c r="G38" s="42">
        <f>SUMIF('2.2 Capex Nominal Dollars'!$C$9:$C$67,$E38,'2.2 Capex Nominal Dollars'!F$9:F$67)</f>
        <v>0</v>
      </c>
      <c r="H38" s="42">
        <f>SUMIF('2.2 Capex Nominal Dollars'!$C$9:$C$67,$E38,'2.2 Capex Nominal Dollars'!G$9:G$67)</f>
        <v>0</v>
      </c>
      <c r="I38" s="42">
        <f>SUMIF('2.2 Capex Nominal Dollars'!$C$9:$C$67,$E38,'2.2 Capex Nominal Dollars'!H$9:H$67)</f>
        <v>0</v>
      </c>
      <c r="J38" s="42">
        <f>SUMIF('2.2 Capex Nominal Dollars'!$C$9:$C$67,$E38,'2.2 Capex Nominal Dollars'!I$9:I$67)</f>
        <v>0</v>
      </c>
      <c r="K38" s="48">
        <f t="shared" ref="K38:K41" si="16">SUM(F38:J38)</f>
        <v>0</v>
      </c>
      <c r="O38" s="39" t="str">
        <f>'1.1 Input'!C21</f>
        <v>Transmission Determination Costs</v>
      </c>
      <c r="P38" s="42">
        <f>SUMIF('2.1 Capex Real Dollars'!$N$9:$N$66,$O38,'2.1 Capex Real Dollars'!Q$9:Q$66)</f>
        <v>0</v>
      </c>
      <c r="Q38" s="42">
        <f>SUMIF('2.1 Capex Real Dollars'!$N$9:$N$66,$O38,'2.1 Capex Real Dollars'!R$9:R$66)</f>
        <v>0</v>
      </c>
      <c r="R38" s="42">
        <f>SUMIF('2.1 Capex Real Dollars'!$N$9:$N$66,$O38,'2.1 Capex Real Dollars'!S$9:S$66)</f>
        <v>0</v>
      </c>
      <c r="S38" s="42">
        <f>SUMIF('2.1 Capex Real Dollars'!$N$9:$N$66,$O38,'2.1 Capex Real Dollars'!T$9:T$66)</f>
        <v>146388.55000000002</v>
      </c>
      <c r="T38" s="42">
        <f>SUMIF('2.1 Capex Real Dollars'!$N$9:$N$66,$O38,'2.1 Capex Real Dollars'!U$9:U$66)</f>
        <v>146388.55000000002</v>
      </c>
      <c r="U38" s="48">
        <f t="shared" ref="U38:U41" si="17">SUM(P38:T38)</f>
        <v>292777.10000000003</v>
      </c>
    </row>
    <row r="39" spans="1:26">
      <c r="E39" s="39" t="str">
        <f>'1.1 Input'!A22</f>
        <v>Easements</v>
      </c>
      <c r="F39" s="42">
        <f>SUMIF('2.2 Capex Nominal Dollars'!$C$9:$C$67,$E39,'2.2 Capex Nominal Dollars'!E$9:E$67)</f>
        <v>0</v>
      </c>
      <c r="G39" s="42">
        <f>SUMIF('2.2 Capex Nominal Dollars'!$C$9:$C$67,$E39,'2.2 Capex Nominal Dollars'!F$9:F$67)</f>
        <v>0</v>
      </c>
      <c r="H39" s="42">
        <f>SUMIF('2.2 Capex Nominal Dollars'!$C$9:$C$67,$E39,'2.2 Capex Nominal Dollars'!G$9:G$67)</f>
        <v>7945.03</v>
      </c>
      <c r="I39" s="42">
        <f>SUMIF('2.2 Capex Nominal Dollars'!$C$9:$C$67,$E39,'2.2 Capex Nominal Dollars'!H$9:H$67)</f>
        <v>340780</v>
      </c>
      <c r="J39" s="42">
        <f>SUMIF('2.2 Capex Nominal Dollars'!$C$9:$C$67,$E39,'2.2 Capex Nominal Dollars'!I$9:I$67)</f>
        <v>282015.62057963602</v>
      </c>
      <c r="K39" s="48">
        <f t="shared" si="16"/>
        <v>630740.65057963599</v>
      </c>
      <c r="O39" s="39" t="str">
        <f>'1.1 Input'!C22</f>
        <v>Easements</v>
      </c>
      <c r="P39" s="42">
        <f>SUMIF('2.1 Capex Real Dollars'!$N$9:$N$66,$O39,'2.1 Capex Real Dollars'!Q$9:Q$66)</f>
        <v>179367.98</v>
      </c>
      <c r="Q39" s="42">
        <f>SUMIF('2.1 Capex Real Dollars'!$N$9:$N$66,$O39,'2.1 Capex Real Dollars'!R$9:R$66)</f>
        <v>0</v>
      </c>
      <c r="R39" s="42">
        <f>SUMIF('2.1 Capex Real Dollars'!$N$9:$N$66,$O39,'2.1 Capex Real Dollars'!S$9:S$66)</f>
        <v>0</v>
      </c>
      <c r="S39" s="42">
        <f>SUMIF('2.1 Capex Real Dollars'!$N$9:$N$66,$O39,'2.1 Capex Real Dollars'!T$9:T$66)</f>
        <v>0</v>
      </c>
      <c r="T39" s="42">
        <f>SUMIF('2.1 Capex Real Dollars'!$N$9:$N$66,$O39,'2.1 Capex Real Dollars'!U$9:U$66)</f>
        <v>0</v>
      </c>
      <c r="U39" s="48">
        <f t="shared" si="17"/>
        <v>179367.98</v>
      </c>
    </row>
    <row r="40" spans="1:26">
      <c r="E40" s="39" t="str">
        <f>'1.1 Input'!A23</f>
        <v>Land</v>
      </c>
      <c r="F40" s="42">
        <f>SUMIF('2.2 Capex Nominal Dollars'!$C$9:$C$67,$E40,'2.2 Capex Nominal Dollars'!E$9:E$67)</f>
        <v>0</v>
      </c>
      <c r="G40" s="42">
        <f>SUMIF('2.2 Capex Nominal Dollars'!$C$9:$C$67,$E40,'2.2 Capex Nominal Dollars'!F$9:F$67)</f>
        <v>0</v>
      </c>
      <c r="H40" s="42">
        <f>SUMIF('2.2 Capex Nominal Dollars'!$C$9:$C$67,$E40,'2.2 Capex Nominal Dollars'!G$9:G$67)</f>
        <v>0</v>
      </c>
      <c r="I40" s="42">
        <f>SUMIF('2.2 Capex Nominal Dollars'!$C$9:$C$67,$E40,'2.2 Capex Nominal Dollars'!H$9:H$67)</f>
        <v>0</v>
      </c>
      <c r="J40" s="42">
        <f>SUMIF('2.2 Capex Nominal Dollars'!$C$9:$C$67,$E40,'2.2 Capex Nominal Dollars'!I$9:I$67)</f>
        <v>0</v>
      </c>
      <c r="K40" s="48">
        <f t="shared" si="16"/>
        <v>0</v>
      </c>
      <c r="O40" s="39" t="str">
        <f>'1.1 Input'!C23</f>
        <v>Land</v>
      </c>
      <c r="P40" s="42">
        <f>SUMIF('2.1 Capex Real Dollars'!$N$9:$N$66,$O40,'2.1 Capex Real Dollars'!Q$9:Q$66)</f>
        <v>0</v>
      </c>
      <c r="Q40" s="42">
        <f>SUMIF('2.1 Capex Real Dollars'!$N$9:$N$66,$O40,'2.1 Capex Real Dollars'!R$9:R$66)</f>
        <v>0</v>
      </c>
      <c r="R40" s="42">
        <f>SUMIF('2.1 Capex Real Dollars'!$N$9:$N$66,$O40,'2.1 Capex Real Dollars'!S$9:S$66)</f>
        <v>0</v>
      </c>
      <c r="S40" s="42">
        <f>SUMIF('2.1 Capex Real Dollars'!$N$9:$N$66,$O40,'2.1 Capex Real Dollars'!T$9:T$66)</f>
        <v>0</v>
      </c>
      <c r="T40" s="42">
        <f>SUMIF('2.1 Capex Real Dollars'!$N$9:$N$66,$O40,'2.1 Capex Real Dollars'!U$9:U$66)</f>
        <v>0</v>
      </c>
      <c r="U40" s="48">
        <f t="shared" si="17"/>
        <v>0</v>
      </c>
    </row>
    <row r="41" spans="1:26" ht="15.75" thickBot="1">
      <c r="E41" s="39" t="str">
        <f>'1.1 Input'!A24</f>
        <v>Buildings</v>
      </c>
      <c r="F41" s="42">
        <f>SUMIF('2.2 Capex Nominal Dollars'!$C$9:$C$67,$E41,'2.2 Capex Nominal Dollars'!E$9:E$67)</f>
        <v>0</v>
      </c>
      <c r="G41" s="42">
        <f>SUMIF('2.2 Capex Nominal Dollars'!$C$9:$C$67,$E41,'2.2 Capex Nominal Dollars'!F$9:F$67)</f>
        <v>0</v>
      </c>
      <c r="H41" s="42">
        <f>SUMIF('2.2 Capex Nominal Dollars'!$C$9:$C$67,$E41,'2.2 Capex Nominal Dollars'!G$9:G$67)</f>
        <v>117671.23000000001</v>
      </c>
      <c r="I41" s="42">
        <f>SUMIF('2.2 Capex Nominal Dollars'!$C$9:$C$67,$E41,'2.2 Capex Nominal Dollars'!H$9:H$67)</f>
        <v>0</v>
      </c>
      <c r="J41" s="42">
        <f>SUMIF('2.2 Capex Nominal Dollars'!$C$9:$C$67,$E41,'2.2 Capex Nominal Dollars'!I$9:I$67)</f>
        <v>1455244.0571077801</v>
      </c>
      <c r="K41" s="48">
        <f t="shared" si="16"/>
        <v>1572915.2871077801</v>
      </c>
      <c r="O41" s="39" t="str">
        <f>'1.1 Input'!C24</f>
        <v>Buildings</v>
      </c>
      <c r="P41" s="42">
        <f>SUMIF('2.1 Capex Real Dollars'!$N$9:$N$66,$O41,'2.1 Capex Real Dollars'!Q$9:Q$66)</f>
        <v>2622481.8562401561</v>
      </c>
      <c r="Q41" s="42">
        <f>SUMIF('2.1 Capex Real Dollars'!$N$9:$N$66,$O41,'2.1 Capex Real Dollars'!R$9:R$66)</f>
        <v>1124725.9674787314</v>
      </c>
      <c r="R41" s="42">
        <f>SUMIF('2.1 Capex Real Dollars'!$N$9:$N$66,$O41,'2.1 Capex Real Dollars'!S$9:S$66)</f>
        <v>148868.78417257598</v>
      </c>
      <c r="S41" s="42">
        <f>SUMIF('2.1 Capex Real Dollars'!$N$9:$N$66,$O41,'2.1 Capex Real Dollars'!T$9:T$66)</f>
        <v>988043.04668013402</v>
      </c>
      <c r="T41" s="42">
        <f>SUMIF('2.1 Capex Real Dollars'!$N$9:$N$66,$O41,'2.1 Capex Real Dollars'!U$9:U$66)</f>
        <v>0</v>
      </c>
      <c r="U41" s="48">
        <f t="shared" si="17"/>
        <v>4884119.6545715975</v>
      </c>
    </row>
    <row r="42" spans="1:26" ht="16.5" thickTop="1" thickBot="1">
      <c r="E42" s="49" t="s">
        <v>16</v>
      </c>
      <c r="F42" s="50">
        <f t="shared" ref="F42:J42" si="18">SUM(F37:F41)</f>
        <v>2048316.7239999999</v>
      </c>
      <c r="G42" s="50">
        <f t="shared" si="18"/>
        <v>2568620.5099999998</v>
      </c>
      <c r="H42" s="50">
        <f t="shared" si="18"/>
        <v>7553220.5400000019</v>
      </c>
      <c r="I42" s="50">
        <f t="shared" si="18"/>
        <v>12120114.600000001</v>
      </c>
      <c r="J42" s="50">
        <f t="shared" si="18"/>
        <v>4779443.3493066747</v>
      </c>
      <c r="K42" s="50">
        <f>SUM(K37:K41)</f>
        <v>29069715.723306675</v>
      </c>
      <c r="L42" s="52"/>
      <c r="M42" s="13" t="b">
        <f>K42=K24</f>
        <v>1</v>
      </c>
      <c r="O42" s="49" t="s">
        <v>16</v>
      </c>
      <c r="P42" s="50">
        <f t="shared" ref="P42:U42" si="19">SUM(P37:P41)</f>
        <v>13805901.505692478</v>
      </c>
      <c r="Q42" s="50">
        <f t="shared" si="19"/>
        <v>4533638.6964198416</v>
      </c>
      <c r="R42" s="50">
        <f t="shared" si="19"/>
        <v>4200392.4382463237</v>
      </c>
      <c r="S42" s="50">
        <f t="shared" si="19"/>
        <v>3898390.3966009794</v>
      </c>
      <c r="T42" s="50">
        <f t="shared" si="19"/>
        <v>7363448.1841897136</v>
      </c>
      <c r="U42" s="50">
        <f t="shared" si="19"/>
        <v>33801771.22114934</v>
      </c>
      <c r="W42" s="46">
        <f>U42-U29</f>
        <v>0</v>
      </c>
    </row>
    <row r="43" spans="1:26" ht="16.5" thickTop="1" thickBot="1"/>
    <row r="44" spans="1:26" ht="16.5" thickTop="1" thickBot="1">
      <c r="E44" s="13" t="s">
        <v>178</v>
      </c>
      <c r="F44" s="38">
        <f>'2.2 Capex Nominal Dollars'!E5-'3.0 Outputs'!F42</f>
        <v>0</v>
      </c>
      <c r="G44" s="38">
        <f>'2.2 Capex Nominal Dollars'!F5-'3.0 Outputs'!G42</f>
        <v>0</v>
      </c>
      <c r="H44" s="38">
        <f>'2.2 Capex Nominal Dollars'!G5-'3.0 Outputs'!H42</f>
        <v>0</v>
      </c>
      <c r="I44" s="38">
        <f>'2.2 Capex Nominal Dollars'!H5-'3.0 Outputs'!I42</f>
        <v>0</v>
      </c>
      <c r="J44" s="38">
        <f>'2.2 Capex Nominal Dollars'!I5-'3.0 Outputs'!J42</f>
        <v>0</v>
      </c>
      <c r="K44" s="38">
        <f>'2.2 Capex Nominal Dollars'!J5-'3.0 Outputs'!K42</f>
        <v>0</v>
      </c>
      <c r="O44" s="13" t="s">
        <v>178</v>
      </c>
      <c r="P44" s="38">
        <f t="shared" ref="P44:U44" si="20">P29-P42</f>
        <v>0</v>
      </c>
      <c r="Q44" s="38">
        <f t="shared" si="20"/>
        <v>0</v>
      </c>
      <c r="R44" s="38">
        <f t="shared" si="20"/>
        <v>0</v>
      </c>
      <c r="S44" s="38">
        <f t="shared" si="20"/>
        <v>0</v>
      </c>
      <c r="T44" s="38">
        <f t="shared" si="20"/>
        <v>0</v>
      </c>
      <c r="U44" s="38">
        <f t="shared" si="20"/>
        <v>0</v>
      </c>
    </row>
    <row r="45" spans="1:26" ht="15.75" thickTop="1">
      <c r="O45" s="15"/>
      <c r="P45" s="16"/>
      <c r="Q45" s="16"/>
      <c r="R45" s="16"/>
      <c r="S45" s="16"/>
      <c r="T45" s="16"/>
      <c r="U45" s="16"/>
    </row>
    <row r="46" spans="1:26">
      <c r="A46" s="3" t="s">
        <v>211</v>
      </c>
      <c r="B46" s="3"/>
      <c r="C46" s="3"/>
      <c r="D46" s="3"/>
      <c r="E46" s="3"/>
      <c r="F46" s="3"/>
      <c r="G46" s="3"/>
      <c r="H46" s="3"/>
      <c r="I46" s="3"/>
      <c r="J46" s="3"/>
      <c r="K46" s="3"/>
      <c r="L46" s="3"/>
      <c r="M46" s="3"/>
      <c r="N46" s="3" t="s">
        <v>211</v>
      </c>
      <c r="O46" s="3"/>
      <c r="P46" s="3"/>
      <c r="Q46" s="3"/>
      <c r="R46" s="3"/>
      <c r="S46" s="3"/>
      <c r="T46" s="3"/>
      <c r="U46" s="3"/>
      <c r="V46" s="3"/>
      <c r="W46" s="3"/>
      <c r="X46" s="3"/>
      <c r="Y46" s="3"/>
      <c r="Z46" s="3"/>
    </row>
    <row r="47" spans="1:26" ht="15.75" thickBot="1">
      <c r="P47" s="10">
        <v>1</v>
      </c>
      <c r="Q47" s="10">
        <v>2</v>
      </c>
      <c r="R47" s="10">
        <v>3</v>
      </c>
      <c r="S47" s="10">
        <v>4</v>
      </c>
      <c r="T47" s="10">
        <v>5</v>
      </c>
    </row>
    <row r="48" spans="1:26" ht="15.75" thickBot="1">
      <c r="E48" s="40" t="s">
        <v>210</v>
      </c>
      <c r="F48" s="40" t="str">
        <f t="shared" ref="F48:K48" si="21">F$8</f>
        <v>2020/21</v>
      </c>
      <c r="G48" s="40" t="str">
        <f t="shared" si="21"/>
        <v>2021/22</v>
      </c>
      <c r="H48" s="40" t="str">
        <f t="shared" si="21"/>
        <v>2022/23</v>
      </c>
      <c r="I48" s="40" t="str">
        <f t="shared" si="21"/>
        <v>2023/24</v>
      </c>
      <c r="J48" s="40" t="str">
        <f t="shared" si="21"/>
        <v>2024/25</v>
      </c>
      <c r="K48" s="40" t="str">
        <f t="shared" si="21"/>
        <v>Total</v>
      </c>
      <c r="O48" s="40" t="str">
        <f>O36</f>
        <v>Asset Class</v>
      </c>
      <c r="P48" s="40" t="str">
        <f t="shared" ref="P48:U48" si="22">P$8</f>
        <v>2025/26</v>
      </c>
      <c r="Q48" s="40" t="str">
        <f t="shared" si="22"/>
        <v>2026/27</v>
      </c>
      <c r="R48" s="40" t="str">
        <f t="shared" si="22"/>
        <v>2027/28</v>
      </c>
      <c r="S48" s="40" t="str">
        <f t="shared" si="22"/>
        <v>2028/29</v>
      </c>
      <c r="T48" s="40" t="str">
        <f t="shared" si="22"/>
        <v>2029/30</v>
      </c>
      <c r="U48" s="40" t="str">
        <f t="shared" si="22"/>
        <v>Total</v>
      </c>
    </row>
    <row r="49" spans="1:26" ht="16.5" thickTop="1" thickBot="1">
      <c r="E49" s="39" t="str">
        <f>'1.1 Input'!A20</f>
        <v>Transmission Assets</v>
      </c>
      <c r="F49" s="42">
        <f>F37</f>
        <v>2048316.7239999999</v>
      </c>
      <c r="G49" s="42">
        <f t="shared" ref="G49:J49" si="23">G37</f>
        <v>2568620.5099999998</v>
      </c>
      <c r="H49" s="42">
        <f t="shared" si="23"/>
        <v>7427604.2800000012</v>
      </c>
      <c r="I49" s="42">
        <f t="shared" si="23"/>
        <v>11779334.600000001</v>
      </c>
      <c r="J49" s="42">
        <f t="shared" si="23"/>
        <v>3042183.6716192584</v>
      </c>
      <c r="K49" s="45">
        <f>SUM(F49:J49)</f>
        <v>26866059.785619259</v>
      </c>
      <c r="O49" s="39" t="str">
        <f>'1.1 Input'!C20</f>
        <v>Transmission Assets</v>
      </c>
      <c r="P49" s="42">
        <f ca="1">SUMIF('2.1 Capex Real Dollars'!$N$128:$N$183,$O49,'2.1 Capex Real Dollars'!Q$128:Q$182)</f>
        <v>8894938.8885123227</v>
      </c>
      <c r="Q49" s="42">
        <f ca="1">SUMIF('2.1 Capex Real Dollars'!$N$128:$N$183,$O49,'2.1 Capex Real Dollars'!R$128:R$182)</f>
        <v>2465341.4988011098</v>
      </c>
      <c r="R49" s="42">
        <f ca="1">SUMIF('2.1 Capex Real Dollars'!$N$128:$N$183,$O49,'2.1 Capex Real Dollars'!S$128:S$182)</f>
        <v>2353012.2731337473</v>
      </c>
      <c r="S49" s="42">
        <f ca="1">SUMIF('2.1 Capex Real Dollars'!$N$128:$N$183,$O49,'2.1 Capex Real Dollars'!T$128:T$182)</f>
        <v>1215584.2189808455</v>
      </c>
      <c r="T49" s="42">
        <f ca="1">SUMIF('2.1 Capex Real Dollars'!$N$128:$N$183,$O49,'2.1 Capex Real Dollars'!U$128:U$182)</f>
        <v>13516629.607149716</v>
      </c>
      <c r="U49" s="47">
        <f t="shared" ref="U49:U53" ca="1" si="24">SUM(P49:T49)</f>
        <v>28445506.486577742</v>
      </c>
      <c r="W49" s="46">
        <f t="shared" ref="W49:W53" ca="1" si="25">U49-U37</f>
        <v>0</v>
      </c>
    </row>
    <row r="50" spans="1:26" ht="16.5" thickTop="1" thickBot="1">
      <c r="E50" s="39" t="str">
        <f>'1.1 Input'!A21</f>
        <v>Transmission Determination Costs</v>
      </c>
      <c r="F50" s="42">
        <f t="shared" ref="F50:J50" si="26">F38</f>
        <v>0</v>
      </c>
      <c r="G50" s="42">
        <f t="shared" si="26"/>
        <v>0</v>
      </c>
      <c r="H50" s="42">
        <f t="shared" si="26"/>
        <v>0</v>
      </c>
      <c r="I50" s="42">
        <f t="shared" si="26"/>
        <v>0</v>
      </c>
      <c r="J50" s="42">
        <f t="shared" si="26"/>
        <v>0</v>
      </c>
      <c r="K50" s="45">
        <f t="shared" ref="K50" si="27">SUM(F50:J50)</f>
        <v>0</v>
      </c>
      <c r="O50" s="39" t="str">
        <f>'1.1 Input'!C21</f>
        <v>Transmission Determination Costs</v>
      </c>
      <c r="P50" s="42">
        <f>SUMIF('2.1 Capex Real Dollars'!$N$128:$N$183,$O50,'2.1 Capex Real Dollars'!Q$128:Q$183)</f>
        <v>0</v>
      </c>
      <c r="Q50" s="42">
        <f>SUMIF('2.1 Capex Real Dollars'!$N$128:$N$183,$O50,'2.1 Capex Real Dollars'!R$128:R$183)</f>
        <v>0</v>
      </c>
      <c r="R50" s="42">
        <f>SUMIF('2.1 Capex Real Dollars'!$N$128:$N$183,$O50,'2.1 Capex Real Dollars'!S$128:S$183)</f>
        <v>0</v>
      </c>
      <c r="S50" s="42">
        <f>SUMIF('2.1 Capex Real Dollars'!$N$128:$N$183,$O50,'2.1 Capex Real Dollars'!T$128:T$183)</f>
        <v>146388.55000000002</v>
      </c>
      <c r="T50" s="42">
        <f>SUMIF('2.1 Capex Real Dollars'!$N$128:$N$183,$O50,'2.1 Capex Real Dollars'!U$128:U$183)</f>
        <v>146388.55000000002</v>
      </c>
      <c r="U50" s="47">
        <f t="shared" si="24"/>
        <v>292777.10000000003</v>
      </c>
      <c r="W50" s="46">
        <f t="shared" si="25"/>
        <v>0</v>
      </c>
    </row>
    <row r="51" spans="1:26" ht="16.5" thickTop="1" thickBot="1">
      <c r="E51" s="39" t="str">
        <f>'1.1 Input'!A22</f>
        <v>Easements</v>
      </c>
      <c r="F51" s="42">
        <f t="shared" ref="F51:J51" si="28">F39</f>
        <v>0</v>
      </c>
      <c r="G51" s="42">
        <f t="shared" si="28"/>
        <v>0</v>
      </c>
      <c r="H51" s="42">
        <f t="shared" si="28"/>
        <v>7945.03</v>
      </c>
      <c r="I51" s="42">
        <f t="shared" si="28"/>
        <v>340780</v>
      </c>
      <c r="J51" s="42">
        <f t="shared" si="28"/>
        <v>282015.62057963602</v>
      </c>
      <c r="K51" s="45">
        <f>SUM(F51:J51)</f>
        <v>630740.65057963599</v>
      </c>
      <c r="O51" s="39" t="str">
        <f>'1.1 Input'!C22</f>
        <v>Easements</v>
      </c>
      <c r="P51" s="42">
        <f>SUMIF('2.1 Capex Real Dollars'!$N$128:$N$183,$O51,'2.1 Capex Real Dollars'!Q$128:Q$183)</f>
        <v>179367.98</v>
      </c>
      <c r="Q51" s="42">
        <f>SUMIF('2.1 Capex Real Dollars'!$N$128:$N$183,$O51,'2.1 Capex Real Dollars'!R$128:R$183)</f>
        <v>0</v>
      </c>
      <c r="R51" s="42">
        <f>SUMIF('2.1 Capex Real Dollars'!$N$128:$N$183,$O51,'2.1 Capex Real Dollars'!S$128:S$183)</f>
        <v>0</v>
      </c>
      <c r="S51" s="42">
        <f>SUMIF('2.1 Capex Real Dollars'!$N$128:$N$183,$O51,'2.1 Capex Real Dollars'!T$128:T$183)</f>
        <v>0</v>
      </c>
      <c r="T51" s="42">
        <f>SUMIF('2.1 Capex Real Dollars'!$N$128:$N$183,$O51,'2.1 Capex Real Dollars'!U$128:U$183)</f>
        <v>0</v>
      </c>
      <c r="U51" s="47">
        <f t="shared" si="24"/>
        <v>179367.98</v>
      </c>
      <c r="W51" s="46">
        <f t="shared" si="25"/>
        <v>0</v>
      </c>
    </row>
    <row r="52" spans="1:26" ht="16.5" thickTop="1" thickBot="1">
      <c r="E52" s="39" t="str">
        <f>'1.1 Input'!A23</f>
        <v>Land</v>
      </c>
      <c r="F52" s="42">
        <f t="shared" ref="F52:J52" si="29">F40</f>
        <v>0</v>
      </c>
      <c r="G52" s="42">
        <f t="shared" si="29"/>
        <v>0</v>
      </c>
      <c r="H52" s="42">
        <f t="shared" si="29"/>
        <v>0</v>
      </c>
      <c r="I52" s="42">
        <f t="shared" si="29"/>
        <v>0</v>
      </c>
      <c r="J52" s="42">
        <f t="shared" si="29"/>
        <v>0</v>
      </c>
      <c r="K52" s="45">
        <f>SUM(F52:J52)</f>
        <v>0</v>
      </c>
      <c r="O52" s="39" t="str">
        <f>'1.1 Input'!C23</f>
        <v>Land</v>
      </c>
      <c r="P52" s="42">
        <f>SUMIF('2.1 Capex Real Dollars'!$N$128:$N$183,$O52,'2.1 Capex Real Dollars'!Q$128:Q$183)</f>
        <v>0</v>
      </c>
      <c r="Q52" s="42">
        <f>SUMIF('2.1 Capex Real Dollars'!$N$128:$N$183,$O52,'2.1 Capex Real Dollars'!R$128:R$183)</f>
        <v>0</v>
      </c>
      <c r="R52" s="42">
        <f>SUMIF('2.1 Capex Real Dollars'!$N$128:$N$183,$O52,'2.1 Capex Real Dollars'!S$128:S$183)</f>
        <v>0</v>
      </c>
      <c r="S52" s="42">
        <f>SUMIF('2.1 Capex Real Dollars'!$N$128:$N$183,$O52,'2.1 Capex Real Dollars'!T$128:T$183)</f>
        <v>0</v>
      </c>
      <c r="T52" s="42">
        <f>SUMIF('2.1 Capex Real Dollars'!$N$128:$N$183,$O52,'2.1 Capex Real Dollars'!U$128:U$183)</f>
        <v>0</v>
      </c>
      <c r="U52" s="47">
        <f t="shared" si="24"/>
        <v>0</v>
      </c>
      <c r="W52" s="46">
        <f t="shared" si="25"/>
        <v>0</v>
      </c>
    </row>
    <row r="53" spans="1:26" ht="16.5" thickTop="1" thickBot="1">
      <c r="E53" s="39" t="str">
        <f>'1.1 Input'!A24</f>
        <v>Buildings</v>
      </c>
      <c r="F53" s="42">
        <f t="shared" ref="F53:J53" si="30">F41</f>
        <v>0</v>
      </c>
      <c r="G53" s="42">
        <f t="shared" si="30"/>
        <v>0</v>
      </c>
      <c r="H53" s="42">
        <f t="shared" si="30"/>
        <v>117671.23000000001</v>
      </c>
      <c r="I53" s="42">
        <f t="shared" si="30"/>
        <v>0</v>
      </c>
      <c r="J53" s="42">
        <f t="shared" si="30"/>
        <v>1455244.0571077801</v>
      </c>
      <c r="K53" s="45">
        <f>SUM(F53:J53)</f>
        <v>1572915.2871077801</v>
      </c>
      <c r="O53" s="39" t="str">
        <f>'1.1 Input'!C24</f>
        <v>Buildings</v>
      </c>
      <c r="P53" s="42">
        <f>SUMIF('2.1 Capex Real Dollars'!$N$128:$N$183,$O53,'2.1 Capex Real Dollars'!Q$128:Q$183)</f>
        <v>495880.35353999998</v>
      </c>
      <c r="Q53" s="42">
        <f>SUMIF('2.1 Capex Real Dollars'!$N$128:$N$183,$O53,'2.1 Capex Real Dollars'!R$128:R$183)</f>
        <v>2223631.2738228049</v>
      </c>
      <c r="R53" s="42">
        <f>SUMIF('2.1 Capex Real Dollars'!$N$128:$N$183,$O53,'2.1 Capex Real Dollars'!S$128:S$183)</f>
        <v>1176564.9805286587</v>
      </c>
      <c r="S53" s="42">
        <f>SUMIF('2.1 Capex Real Dollars'!$N$128:$N$183,$O53,'2.1 Capex Real Dollars'!T$128:T$183)</f>
        <v>988043.04668013402</v>
      </c>
      <c r="T53" s="42">
        <f>SUMIF('2.1 Capex Real Dollars'!$N$128:$N$183,$O53,'2.1 Capex Real Dollars'!U$128:U$183)</f>
        <v>0</v>
      </c>
      <c r="U53" s="47">
        <f t="shared" si="24"/>
        <v>4884119.6545715975</v>
      </c>
      <c r="W53" s="46">
        <f t="shared" si="25"/>
        <v>0</v>
      </c>
    </row>
    <row r="54" spans="1:26" ht="16.5" thickTop="1" thickBot="1">
      <c r="E54" s="49" t="s">
        <v>16</v>
      </c>
      <c r="F54" s="50">
        <f t="shared" ref="F54:J54" si="31">SUM(F49:F53)</f>
        <v>2048316.7239999999</v>
      </c>
      <c r="G54" s="50">
        <f t="shared" si="31"/>
        <v>2568620.5099999998</v>
      </c>
      <c r="H54" s="50">
        <f t="shared" si="31"/>
        <v>7553220.5400000019</v>
      </c>
      <c r="I54" s="50">
        <f t="shared" si="31"/>
        <v>12120114.600000001</v>
      </c>
      <c r="J54" s="50">
        <f t="shared" si="31"/>
        <v>4779443.3493066747</v>
      </c>
      <c r="K54" s="50">
        <f>SUM(K49:K53)</f>
        <v>29069715.723306675</v>
      </c>
      <c r="L54" s="52">
        <f>K54-K42</f>
        <v>0</v>
      </c>
      <c r="M54" s="13" t="b">
        <f>K54=K42</f>
        <v>1</v>
      </c>
      <c r="O54" s="49" t="s">
        <v>16</v>
      </c>
      <c r="P54" s="50">
        <f t="shared" ref="P54:U54" ca="1" si="32">SUM(P49:P53)</f>
        <v>9570187.2220523227</v>
      </c>
      <c r="Q54" s="50">
        <f t="shared" ca="1" si="32"/>
        <v>4688972.7726239152</v>
      </c>
      <c r="R54" s="50">
        <f t="shared" ca="1" si="32"/>
        <v>3529577.253662406</v>
      </c>
      <c r="S54" s="50">
        <f t="shared" ca="1" si="32"/>
        <v>2350015.8156609796</v>
      </c>
      <c r="T54" s="50">
        <f t="shared" ca="1" si="32"/>
        <v>13663018.157149717</v>
      </c>
      <c r="U54" s="50">
        <f t="shared" ca="1" si="32"/>
        <v>33801771.22114934</v>
      </c>
      <c r="W54" s="46">
        <f ca="1">U54-U42</f>
        <v>0</v>
      </c>
    </row>
    <row r="55" spans="1:26" ht="15.75" thickTop="1">
      <c r="F55" s="52"/>
      <c r="G55" s="52"/>
      <c r="H55" s="52"/>
      <c r="I55" s="52"/>
      <c r="J55" s="52"/>
    </row>
    <row r="59" spans="1:26">
      <c r="A59" s="3" t="s">
        <v>212</v>
      </c>
      <c r="B59" s="3"/>
      <c r="C59" s="3"/>
      <c r="D59" s="3"/>
      <c r="E59" s="3"/>
      <c r="F59" s="3"/>
      <c r="G59" s="3"/>
      <c r="H59" s="3"/>
      <c r="I59" s="3"/>
      <c r="J59" s="3"/>
      <c r="K59" s="3"/>
      <c r="L59" s="3"/>
      <c r="M59" s="3"/>
      <c r="N59" s="3"/>
      <c r="O59" s="3"/>
      <c r="P59" s="3"/>
      <c r="Q59" s="3"/>
      <c r="R59" s="3"/>
      <c r="S59" s="3"/>
      <c r="T59" s="3"/>
      <c r="U59" s="3"/>
      <c r="V59" s="3"/>
      <c r="W59" s="3"/>
      <c r="X59" s="3"/>
      <c r="Y59" s="3"/>
      <c r="Z59" s="3"/>
    </row>
    <row r="60" spans="1:26" ht="15.75" thickBot="1"/>
    <row r="61" spans="1:26" ht="15.75" thickBot="1">
      <c r="E61" s="40"/>
      <c r="F61" s="40" t="str">
        <f t="shared" ref="F61:K61" si="33">F$8</f>
        <v>2020/21</v>
      </c>
      <c r="G61" s="40" t="str">
        <f t="shared" si="33"/>
        <v>2021/22</v>
      </c>
      <c r="H61" s="40" t="str">
        <f t="shared" si="33"/>
        <v>2022/23</v>
      </c>
      <c r="I61" s="40" t="str">
        <f t="shared" si="33"/>
        <v>2023/24</v>
      </c>
      <c r="J61" s="40" t="str">
        <f t="shared" si="33"/>
        <v>2024/25</v>
      </c>
      <c r="K61" s="40" t="str">
        <f t="shared" si="33"/>
        <v>Total</v>
      </c>
    </row>
    <row r="62" spans="1:26" ht="15.75" thickBot="1">
      <c r="E62" s="189" t="s">
        <v>202</v>
      </c>
      <c r="F62" s="190"/>
      <c r="G62" s="190"/>
      <c r="H62" s="190"/>
      <c r="I62" s="190"/>
      <c r="J62" s="190"/>
      <c r="K62" s="191"/>
    </row>
    <row r="63" spans="1:26">
      <c r="E63" s="39" t="str">
        <f>'1.1 Input'!B22</f>
        <v>Augmentation Expenditure</v>
      </c>
      <c r="F63" s="42">
        <f>'2.2 Capex Nominal Dollars'!E121</f>
        <v>0</v>
      </c>
      <c r="G63" s="42">
        <f>'2.2 Capex Nominal Dollars'!F121</f>
        <v>0</v>
      </c>
      <c r="H63" s="42">
        <f>'2.2 Capex Nominal Dollars'!G121</f>
        <v>0</v>
      </c>
      <c r="I63" s="42">
        <f>'2.2 Capex Nominal Dollars'!H121</f>
        <v>0</v>
      </c>
      <c r="J63" s="42">
        <f>'2.2 Capex Nominal Dollars'!I121</f>
        <v>0</v>
      </c>
      <c r="K63" s="48">
        <f>SUM(F63:J63)</f>
        <v>0</v>
      </c>
    </row>
    <row r="64" spans="1:26">
      <c r="E64" s="39" t="str">
        <f>'1.1 Input'!B20</f>
        <v>Replacement expenditure</v>
      </c>
      <c r="F64" s="42">
        <f>'2.2 Capex Nominal Dollars'!E119</f>
        <v>2048316.7239999999</v>
      </c>
      <c r="G64" s="42">
        <f>'2.2 Capex Nominal Dollars'!F119</f>
        <v>2568620.5099999998</v>
      </c>
      <c r="H64" s="42">
        <f>'2.2 Capex Nominal Dollars'!G119</f>
        <v>7553220.540000001</v>
      </c>
      <c r="I64" s="42">
        <f>'2.2 Capex Nominal Dollars'!H119</f>
        <v>12120114.600000001</v>
      </c>
      <c r="J64" s="42">
        <f>'2.2 Capex Nominal Dollars'!I119</f>
        <v>4779443.3493066747</v>
      </c>
      <c r="K64" s="48">
        <f>SUM(F64:J64)</f>
        <v>29069715.723306678</v>
      </c>
      <c r="P64" s="12"/>
      <c r="Q64" s="12"/>
      <c r="R64" s="12"/>
      <c r="S64" s="12"/>
      <c r="T64" s="12"/>
      <c r="U64" s="12"/>
    </row>
    <row r="65" spans="1:26" ht="15.75" thickBot="1">
      <c r="E65" s="39" t="str">
        <f>'1.1 Input'!B23</f>
        <v>Non-network</v>
      </c>
      <c r="F65" s="42">
        <f>'2.2 Capex Nominal Dollars'!E122</f>
        <v>0</v>
      </c>
      <c r="G65" s="42">
        <f>'2.2 Capex Nominal Dollars'!F122</f>
        <v>0</v>
      </c>
      <c r="H65" s="42">
        <f>'2.2 Capex Nominal Dollars'!G122</f>
        <v>0</v>
      </c>
      <c r="I65" s="42">
        <f>'2.2 Capex Nominal Dollars'!H122</f>
        <v>0</v>
      </c>
      <c r="J65" s="42">
        <f>'2.2 Capex Nominal Dollars'!I122</f>
        <v>0</v>
      </c>
      <c r="K65" s="48">
        <f>SUM(F65:J65)</f>
        <v>0</v>
      </c>
      <c r="P65" s="12"/>
      <c r="Q65" s="12"/>
      <c r="R65" s="12"/>
      <c r="S65" s="12"/>
      <c r="T65" s="12"/>
      <c r="U65" s="12"/>
    </row>
    <row r="66" spans="1:26" ht="16.5" thickTop="1" thickBot="1">
      <c r="E66" s="49" t="s">
        <v>16</v>
      </c>
      <c r="F66" s="50">
        <f>SUM(F63:F65)</f>
        <v>2048316.7239999999</v>
      </c>
      <c r="G66" s="50">
        <f t="shared" ref="G66:J66" si="34">SUM(G63:G65)</f>
        <v>2568620.5099999998</v>
      </c>
      <c r="H66" s="50">
        <f t="shared" si="34"/>
        <v>7553220.540000001</v>
      </c>
      <c r="I66" s="50">
        <f t="shared" si="34"/>
        <v>12120114.600000001</v>
      </c>
      <c r="J66" s="50">
        <f t="shared" si="34"/>
        <v>4779443.3493066747</v>
      </c>
      <c r="K66" s="50">
        <f>SUM(F66:J66)</f>
        <v>29069715.723306678</v>
      </c>
      <c r="M66" s="13" t="b">
        <f>K66=K42</f>
        <v>1</v>
      </c>
    </row>
    <row r="67" spans="1:26" ht="16.5" thickTop="1" thickBot="1">
      <c r="E67" s="189" t="s">
        <v>213</v>
      </c>
      <c r="F67" s="190"/>
      <c r="G67" s="190"/>
      <c r="H67" s="190"/>
      <c r="I67" s="190"/>
      <c r="J67" s="190"/>
      <c r="K67" s="191"/>
    </row>
    <row r="68" spans="1:26">
      <c r="E68" s="39" t="str">
        <f>E63</f>
        <v>Augmentation Expenditure</v>
      </c>
      <c r="F68" s="42">
        <f>SUMIF('1.2 AER Forecast'!$D$24:$D$24,$E68,'1.2 AER Forecast'!G$24:G$24)</f>
        <v>0</v>
      </c>
      <c r="G68" s="42">
        <f>SUMIF('1.2 AER Forecast'!$D$24:$D$24,$E68,'1.2 AER Forecast'!H$24:H$24)</f>
        <v>0</v>
      </c>
      <c r="H68" s="42">
        <f>SUMIF('1.2 AER Forecast'!$D$24:$D$24,$E68,'1.2 AER Forecast'!I$24:I$24)</f>
        <v>0</v>
      </c>
      <c r="I68" s="42">
        <f>SUMIF('1.2 AER Forecast'!$D$24:$D$24,$E68,'1.2 AER Forecast'!J$24:J$24)</f>
        <v>0</v>
      </c>
      <c r="J68" s="42">
        <f>SUMIF('1.2 AER Forecast'!$D$24:$D$24,$E68,'1.2 AER Forecast'!K$24:K$24)</f>
        <v>0</v>
      </c>
      <c r="K68" s="48">
        <f>SUM(F68:J68)</f>
        <v>0</v>
      </c>
    </row>
    <row r="69" spans="1:26">
      <c r="E69" s="39" t="str">
        <f>E64</f>
        <v>Replacement expenditure</v>
      </c>
      <c r="F69" s="42">
        <f>'1.2 AER Forecast'!G24*1000000</f>
        <v>6018219.3384217648</v>
      </c>
      <c r="G69" s="42">
        <f>'1.2 AER Forecast'!H24*1000000</f>
        <v>7904031.0983719025</v>
      </c>
      <c r="H69" s="42">
        <f>'1.2 AER Forecast'!I24*1000000</f>
        <v>6530113.7654385036</v>
      </c>
      <c r="I69" s="42">
        <f>'1.2 AER Forecast'!J24*1000000</f>
        <v>5964698.465973584</v>
      </c>
      <c r="J69" s="42">
        <f>'1.2 AER Forecast'!K24*1000000</f>
        <v>4685199.6036321325</v>
      </c>
      <c r="K69" s="48">
        <f>SUM(F69:J69)</f>
        <v>31102262.271837886</v>
      </c>
    </row>
    <row r="70" spans="1:26" ht="15.75" thickBot="1">
      <c r="E70" s="39" t="str">
        <f>E65</f>
        <v>Non-network</v>
      </c>
      <c r="F70" s="42">
        <f>SUMIF('1.2 AER Forecast'!$D$24:$D$24,$E70,'1.2 AER Forecast'!G$24:G$24)</f>
        <v>0</v>
      </c>
      <c r="G70" s="42">
        <f>SUMIF('1.2 AER Forecast'!$D$24:$D$24,$E70,'1.2 AER Forecast'!H$24:H$24)</f>
        <v>0</v>
      </c>
      <c r="H70" s="42">
        <f>SUMIF('1.2 AER Forecast'!$D$24:$D$24,$E70,'1.2 AER Forecast'!I$24:I$24)</f>
        <v>0</v>
      </c>
      <c r="I70" s="42">
        <f>SUMIF('1.2 AER Forecast'!$D$24:$D$24,$E70,'1.2 AER Forecast'!J$24:J$24)</f>
        <v>0</v>
      </c>
      <c r="J70" s="42">
        <f>SUMIF('1.2 AER Forecast'!$D$24:$D$24,$E70,'1.2 AER Forecast'!K$24:K$24)</f>
        <v>0</v>
      </c>
      <c r="K70" s="48">
        <f>SUM(F70:J70)</f>
        <v>0</v>
      </c>
    </row>
    <row r="71" spans="1:26" ht="16.5" thickTop="1" thickBot="1">
      <c r="E71" s="49" t="s">
        <v>16</v>
      </c>
      <c r="F71" s="50">
        <f>SUM(F68:F70)</f>
        <v>6018219.3384217648</v>
      </c>
      <c r="G71" s="50">
        <f>SUM(G68:G70)</f>
        <v>7904031.0983719025</v>
      </c>
      <c r="H71" s="50">
        <f>SUM(H68:H70)</f>
        <v>6530113.7654385036</v>
      </c>
      <c r="I71" s="50">
        <f>SUM(I68:I70)</f>
        <v>5964698.465973584</v>
      </c>
      <c r="J71" s="50">
        <f>SUM(J68:J70)</f>
        <v>4685199.6036321325</v>
      </c>
      <c r="K71" s="50">
        <f>SUM(F71:J71)</f>
        <v>31102262.271837886</v>
      </c>
    </row>
    <row r="72" spans="1:26" ht="15.75" thickBot="1">
      <c r="E72" s="189" t="s">
        <v>201</v>
      </c>
      <c r="F72" s="190"/>
      <c r="G72" s="190"/>
      <c r="H72" s="190"/>
      <c r="I72" s="190"/>
      <c r="J72" s="190"/>
      <c r="K72" s="191"/>
    </row>
    <row r="73" spans="1:26">
      <c r="E73" s="39" t="str">
        <f>E68</f>
        <v>Augmentation Expenditure</v>
      </c>
      <c r="F73" s="42">
        <f t="shared" ref="F73:J75" si="35">F63-F68</f>
        <v>0</v>
      </c>
      <c r="G73" s="42">
        <f t="shared" si="35"/>
        <v>0</v>
      </c>
      <c r="H73" s="42">
        <f t="shared" si="35"/>
        <v>0</v>
      </c>
      <c r="I73" s="42">
        <f t="shared" si="35"/>
        <v>0</v>
      </c>
      <c r="J73" s="42">
        <f t="shared" si="35"/>
        <v>0</v>
      </c>
      <c r="K73" s="48">
        <f>SUM(F73:J73)</f>
        <v>0</v>
      </c>
    </row>
    <row r="74" spans="1:26">
      <c r="E74" s="39" t="str">
        <f>E69</f>
        <v>Replacement expenditure</v>
      </c>
      <c r="F74" s="42">
        <f t="shared" si="35"/>
        <v>-3969902.6144217649</v>
      </c>
      <c r="G74" s="42">
        <f t="shared" si="35"/>
        <v>-5335410.5883719027</v>
      </c>
      <c r="H74" s="42">
        <f t="shared" si="35"/>
        <v>1023106.7745614974</v>
      </c>
      <c r="I74" s="42">
        <f t="shared" si="35"/>
        <v>6155416.1340264175</v>
      </c>
      <c r="J74" s="42">
        <f t="shared" si="35"/>
        <v>94243.745674542151</v>
      </c>
      <c r="K74" s="48">
        <f>SUM(F74:J74)</f>
        <v>-2032546.54853121</v>
      </c>
    </row>
    <row r="75" spans="1:26" ht="15.75" thickBot="1">
      <c r="E75" s="39" t="str">
        <f>E70</f>
        <v>Non-network</v>
      </c>
      <c r="F75" s="42">
        <f t="shared" si="35"/>
        <v>0</v>
      </c>
      <c r="G75" s="42">
        <f t="shared" si="35"/>
        <v>0</v>
      </c>
      <c r="H75" s="42">
        <f t="shared" si="35"/>
        <v>0</v>
      </c>
      <c r="I75" s="42">
        <f t="shared" si="35"/>
        <v>0</v>
      </c>
      <c r="J75" s="42">
        <f t="shared" si="35"/>
        <v>0</v>
      </c>
      <c r="K75" s="48">
        <f>SUM(F75:J75)</f>
        <v>0</v>
      </c>
    </row>
    <row r="76" spans="1:26" ht="15.75" thickTop="1">
      <c r="E76" s="49" t="s">
        <v>16</v>
      </c>
      <c r="F76" s="50">
        <f>SUM(F73:F75)</f>
        <v>-3969902.6144217649</v>
      </c>
      <c r="G76" s="50">
        <f>SUM(G73:G75)</f>
        <v>-5335410.5883719027</v>
      </c>
      <c r="H76" s="50">
        <f>SUM(H73:H75)</f>
        <v>1023106.7745614974</v>
      </c>
      <c r="I76" s="50">
        <f>SUM(I73:I75)</f>
        <v>6155416.1340264175</v>
      </c>
      <c r="J76" s="50">
        <f>SUM(J73:J75)</f>
        <v>94243.745674542151</v>
      </c>
      <c r="K76" s="50">
        <f>SUM(F76:J76)</f>
        <v>-2032546.54853121</v>
      </c>
    </row>
    <row r="78" spans="1:26">
      <c r="A78" s="3" t="s">
        <v>214</v>
      </c>
      <c r="B78" s="3"/>
      <c r="C78" s="3"/>
      <c r="D78" s="3"/>
      <c r="E78" s="3"/>
      <c r="F78" s="3"/>
      <c r="G78" s="3"/>
      <c r="H78" s="3"/>
      <c r="I78" s="3"/>
      <c r="J78" s="3"/>
      <c r="K78" s="3"/>
      <c r="L78" s="3"/>
      <c r="M78" s="3"/>
      <c r="N78" s="3"/>
      <c r="O78" s="3"/>
      <c r="P78" s="3"/>
      <c r="Q78" s="3"/>
      <c r="R78" s="3"/>
      <c r="S78" s="3"/>
      <c r="T78" s="3"/>
      <c r="U78" s="3"/>
      <c r="V78" s="3"/>
      <c r="W78" s="3"/>
      <c r="X78" s="3"/>
      <c r="Y78" s="3"/>
      <c r="Z78" s="3"/>
    </row>
    <row r="79" spans="1:26" ht="15.75" thickBot="1"/>
    <row r="80" spans="1:26" ht="15.75" thickBot="1">
      <c r="E80" s="40" t="s">
        <v>215</v>
      </c>
      <c r="F80" s="40" t="str">
        <f>F61</f>
        <v>2020/21</v>
      </c>
      <c r="G80" s="40" t="str">
        <f>G61</f>
        <v>2021/22</v>
      </c>
      <c r="H80" s="40" t="str">
        <f>H61</f>
        <v>2022/23</v>
      </c>
      <c r="I80" s="40" t="str">
        <f>I61</f>
        <v>2023/24</v>
      </c>
      <c r="J80" s="40" t="str">
        <f>J61</f>
        <v>2024/25</v>
      </c>
      <c r="K80" s="40" t="str">
        <f>K$8</f>
        <v>Total</v>
      </c>
    </row>
    <row r="81" spans="1:26" ht="16.5" thickTop="1" thickBot="1">
      <c r="E81" s="39" t="s">
        <v>216</v>
      </c>
      <c r="F81" s="44">
        <f>'2.1 Capex Real Dollars'!E5/1000000</f>
        <v>2.4630061766451199</v>
      </c>
      <c r="G81" s="44">
        <f>'2.1 Capex Real Dollars'!F5/1000000</f>
        <v>2.9842496172906441</v>
      </c>
      <c r="H81" s="44">
        <f>'2.1 Capex Real Dollars'!G5/1000000</f>
        <v>8.1380512999711208</v>
      </c>
      <c r="I81" s="44">
        <f>'2.1 Capex Real Dollars'!H5/1000000</f>
        <v>12.532198496400001</v>
      </c>
      <c r="J81" s="44">
        <f>'2.1 Capex Real Dollars'!I5/1000000</f>
        <v>4.7794433493066748</v>
      </c>
      <c r="K81" s="56">
        <f>SUM(F81:J81)</f>
        <v>30.896948939613559</v>
      </c>
      <c r="M81" s="13" t="b">
        <f>K81*1000000='2.1 Capex Real Dollars'!J5</f>
        <v>1</v>
      </c>
    </row>
    <row r="82" spans="1:26" ht="16.5" thickTop="1" thickBot="1">
      <c r="E82" s="39" t="s">
        <v>213</v>
      </c>
      <c r="F82" s="44">
        <f>'1.2 AER Forecast'!G24</f>
        <v>6.0182193384217646</v>
      </c>
      <c r="G82" s="44">
        <f>'1.2 AER Forecast'!H24</f>
        <v>7.9040310983719024</v>
      </c>
      <c r="H82" s="44">
        <f>'1.2 AER Forecast'!I24</f>
        <v>6.5301137654385037</v>
      </c>
      <c r="I82" s="44">
        <f>'1.2 AER Forecast'!J24</f>
        <v>5.9646984659735844</v>
      </c>
      <c r="J82" s="44">
        <f>'1.2 AER Forecast'!K24</f>
        <v>4.6851996036321326</v>
      </c>
      <c r="K82" s="56">
        <f>SUM(F82:J82)</f>
        <v>31.102262271837887</v>
      </c>
    </row>
    <row r="83" spans="1:26" ht="15.75" thickTop="1">
      <c r="E83" s="49" t="s">
        <v>201</v>
      </c>
      <c r="F83" s="55">
        <f>F81-F82</f>
        <v>-3.5552131617766447</v>
      </c>
      <c r="G83" s="55">
        <f>G81-G82</f>
        <v>-4.9197814810812588</v>
      </c>
      <c r="H83" s="55">
        <f>H81-H82</f>
        <v>1.607937534532617</v>
      </c>
      <c r="I83" s="55">
        <f>I81-I82</f>
        <v>6.5675000304264168</v>
      </c>
      <c r="J83" s="55">
        <f>J81-J82</f>
        <v>9.424374567454219E-2</v>
      </c>
      <c r="K83" s="55">
        <f>SUM(F83:J83)</f>
        <v>-0.20531333222432835</v>
      </c>
    </row>
    <row r="86" spans="1:26" ht="16.5">
      <c r="A86" s="4" t="s">
        <v>217</v>
      </c>
      <c r="B86" s="4"/>
      <c r="C86" s="4"/>
      <c r="D86" s="4"/>
      <c r="E86" s="4"/>
      <c r="F86" s="4"/>
      <c r="G86" s="4"/>
      <c r="H86" s="4"/>
      <c r="I86" s="4"/>
      <c r="J86" s="4"/>
      <c r="K86" s="4"/>
      <c r="L86" s="4"/>
      <c r="M86" s="3"/>
      <c r="N86" s="3"/>
      <c r="O86" s="3"/>
      <c r="P86" s="3"/>
      <c r="Q86" s="3"/>
      <c r="R86" s="3"/>
      <c r="S86" s="3"/>
      <c r="T86" s="3"/>
      <c r="U86" s="3"/>
      <c r="V86" s="3"/>
      <c r="W86" s="3"/>
      <c r="X86" s="3"/>
      <c r="Y86" s="3"/>
      <c r="Z86" s="3"/>
    </row>
    <row r="87" spans="1:26" ht="15.75" thickBot="1"/>
    <row r="88" spans="1:26" ht="15.75" thickBot="1">
      <c r="E88" s="40" t="s">
        <v>215</v>
      </c>
      <c r="F88" s="40" t="str">
        <f>'1.0 Data'!G8</f>
        <v>2018/19</v>
      </c>
      <c r="G88" s="40" t="str">
        <f>'1.0 Data'!H8</f>
        <v>2019/20</v>
      </c>
      <c r="H88" s="40" t="str">
        <f>'1.0 Data'!I8</f>
        <v>2020/21</v>
      </c>
      <c r="I88" s="40" t="str">
        <f>'1.0 Data'!J8</f>
        <v>2021/22</v>
      </c>
      <c r="J88" s="40" t="str">
        <f>'1.0 Data'!K8</f>
        <v>2022/23</v>
      </c>
      <c r="K88" s="40" t="str">
        <f>K$8</f>
        <v>Total</v>
      </c>
    </row>
    <row r="89" spans="1:26">
      <c r="E89" s="39" t="s">
        <v>202</v>
      </c>
      <c r="F89" s="44">
        <f>'1.0 Data'!G5/1000000*'1.1 Input'!C13</f>
        <v>7.7180536258322094</v>
      </c>
      <c r="G89" s="44">
        <f>'1.0 Data'!H5/1000000*'1.1 Input'!D13</f>
        <v>9.4660091101355555</v>
      </c>
      <c r="H89" s="44">
        <f>'1.0 Data'!I5/1000000*'1.1 Input'!E13</f>
        <v>2.4630061766451199</v>
      </c>
      <c r="I89" s="44">
        <f>'1.0 Data'!J5/1000000*'1.1 Input'!F13</f>
        <v>2.9842496172906436</v>
      </c>
      <c r="J89" s="44">
        <f>'1.0 Data'!K5/1000000*'1.1 Input'!G13</f>
        <v>8.1380512999711208</v>
      </c>
      <c r="K89" s="56">
        <f>SUM(F89:J89)</f>
        <v>30.769369829874648</v>
      </c>
    </row>
    <row r="90" spans="1:26" ht="15.75" thickBot="1">
      <c r="E90" s="39" t="s">
        <v>213</v>
      </c>
      <c r="F90" s="44">
        <f>'1.2 AER Forecast'!E24</f>
        <v>3.334833238212096</v>
      </c>
      <c r="G90" s="44">
        <f>'1.2 AER Forecast'!F24</f>
        <v>16.921190875372485</v>
      </c>
      <c r="H90" s="44">
        <f>'1.2 AER Forecast'!G24</f>
        <v>6.0182193384217646</v>
      </c>
      <c r="I90" s="44">
        <f>'1.2 AER Forecast'!H24</f>
        <v>7.9040310983719024</v>
      </c>
      <c r="J90" s="44">
        <f>'1.2 AER Forecast'!I24</f>
        <v>6.5301137654385037</v>
      </c>
      <c r="K90" s="56">
        <f>SUM(F90:J90)</f>
        <v>40.708388315816748</v>
      </c>
    </row>
    <row r="91" spans="1:26" ht="15.75" thickTop="1">
      <c r="E91" s="54" t="s">
        <v>201</v>
      </c>
      <c r="F91" s="55">
        <f>F89-F90</f>
        <v>4.3832203876201135</v>
      </c>
      <c r="G91" s="55">
        <f>G89-G90</f>
        <v>-7.4551817652369294</v>
      </c>
      <c r="H91" s="55">
        <f>H89-H90</f>
        <v>-3.5552131617766447</v>
      </c>
      <c r="I91" s="55">
        <f>I89-I90</f>
        <v>-4.9197814810812588</v>
      </c>
      <c r="J91" s="55">
        <f>J89-J90</f>
        <v>1.607937534532617</v>
      </c>
      <c r="K91" s="55">
        <f>SUM(F91:J91)</f>
        <v>-9.9390184859421034</v>
      </c>
    </row>
    <row r="93" spans="1:26" ht="16.5">
      <c r="A93" s="4" t="s">
        <v>218</v>
      </c>
      <c r="B93" s="4"/>
      <c r="C93" s="4"/>
      <c r="D93" s="4"/>
      <c r="E93" s="4"/>
      <c r="F93" s="4"/>
      <c r="G93" s="4"/>
      <c r="H93" s="4"/>
      <c r="I93" s="4"/>
      <c r="J93" s="4"/>
      <c r="K93" s="4"/>
      <c r="L93" s="4"/>
      <c r="M93" s="4"/>
      <c r="N93" s="4"/>
      <c r="O93" s="4" t="s">
        <v>219</v>
      </c>
      <c r="P93" s="4"/>
      <c r="Q93" s="4"/>
      <c r="R93" s="4"/>
      <c r="S93" s="4"/>
      <c r="T93" s="4"/>
      <c r="U93" s="4"/>
      <c r="V93" s="4"/>
      <c r="W93" s="4"/>
      <c r="X93" s="4"/>
      <c r="Y93" s="4"/>
      <c r="Z93" s="4"/>
    </row>
    <row r="94" spans="1:26" ht="15.75" thickBot="1">
      <c r="O94" s="74">
        <v>0</v>
      </c>
    </row>
    <row r="95" spans="1:26" ht="15.75" thickBot="1">
      <c r="O95" s="40" t="s">
        <v>8</v>
      </c>
      <c r="P95" s="40" t="str">
        <f t="shared" ref="P95:U95" si="36">P$8</f>
        <v>2025/26</v>
      </c>
      <c r="Q95" s="40" t="str">
        <f t="shared" si="36"/>
        <v>2026/27</v>
      </c>
      <c r="R95" s="40" t="str">
        <f t="shared" si="36"/>
        <v>2027/28</v>
      </c>
      <c r="S95" s="40" t="str">
        <f t="shared" si="36"/>
        <v>2028/29</v>
      </c>
      <c r="T95" s="40" t="str">
        <f t="shared" si="36"/>
        <v>2029/30</v>
      </c>
      <c r="U95" s="40" t="str">
        <f t="shared" si="36"/>
        <v>Total</v>
      </c>
    </row>
    <row r="96" spans="1:26">
      <c r="O96" s="39" t="str" cm="1">
        <f t="array" ref="O96">_xlfn.IFNA(INDEX('1.0 Data'!$S$9:$S$66,MATCH(0,COUNTIF($O$93:O95,'1.0 Data'!$S$9:$S$66),0),0),"")</f>
        <v>Safety and Protection</v>
      </c>
      <c r="P96" s="44">
        <f>SUMIF('2.1 Capex Real Dollars'!$P$9:$P$66,$O96,'2.1 Capex Real Dollars'!Q$9:Q$66)/1000000</f>
        <v>3.7248260508401567</v>
      </c>
      <c r="Q96" s="44">
        <f>SUMIF('2.1 Capex Real Dollars'!$P$9:$P$66,$O96,'2.1 Capex Real Dollars'!R$9:R$66)/1000000</f>
        <v>1.0919688474787315</v>
      </c>
      <c r="R96" s="44">
        <f>SUMIF('2.1 Capex Real Dollars'!$P$9:$P$66,$O96,'2.1 Capex Real Dollars'!S$9:S$66)/1000000</f>
        <v>0.21220524439257599</v>
      </c>
      <c r="S96" s="44">
        <f>SUMIF('2.1 Capex Real Dollars'!$P$9:$P$66,$O96,'2.1 Capex Real Dollars'!T$9:T$66)/1000000</f>
        <v>0</v>
      </c>
      <c r="T96" s="44">
        <f>SUMIF('2.1 Capex Real Dollars'!$P$9:$P$66,$O96,'2.1 Capex Real Dollars'!U$9:U$66)/1000000</f>
        <v>0</v>
      </c>
      <c r="U96" s="56">
        <f>SUM(P96:T96)</f>
        <v>5.0290001427114648</v>
      </c>
    </row>
    <row r="97" spans="15:23">
      <c r="O97" s="39" t="str" cm="1">
        <f t="array" ref="O97">_xlfn.IFNA(INDEX('1.0 Data'!$S$9:$S$66,MATCH(0,COUNTIF($O$93:O96,'1.0 Data'!$S$9:$S$66),0),0),"")</f>
        <v>Major Maintenance</v>
      </c>
      <c r="P97" s="44">
        <f>SUMIF('2.1 Capex Real Dollars'!$P$9:$P$66,$O97,'2.1 Capex Real Dollars'!Q$9:Q$66)/1000000</f>
        <v>1.4294638517123217</v>
      </c>
      <c r="Q97" s="44">
        <f>SUMIF('2.1 Capex Real Dollars'!$P$9:$P$66,$O97,'2.1 Capex Real Dollars'!R$9:R$66)/1000000</f>
        <v>1.9958227788011096</v>
      </c>
      <c r="R97" s="44">
        <f>SUMIF('2.1 Capex Real Dollars'!$P$9:$P$66,$O97,'2.1 Capex Real Dollars'!S$9:S$66)/1000000</f>
        <v>2.1968639729137474</v>
      </c>
      <c r="S97" s="44">
        <f>SUMIF('2.1 Capex Real Dollars'!$P$9:$P$66,$O97,'2.1 Capex Real Dollars'!T$9:T$66)/1000000</f>
        <v>2.1108154256609795</v>
      </c>
      <c r="T97" s="44">
        <f>SUMIF('2.1 Capex Real Dollars'!$P$9:$P$66,$O97,'2.1 Capex Real Dollars'!U$9:U$66)/1000000</f>
        <v>0.86874160714971205</v>
      </c>
      <c r="U97" s="56">
        <f t="shared" ref="U97:U103" si="37">SUM(P97:T97)</f>
        <v>8.6017076362378706</v>
      </c>
    </row>
    <row r="98" spans="15:23">
      <c r="O98" s="39" t="str" cm="1">
        <f t="array" ref="O98">_xlfn.IFNA(INDEX('1.0 Data'!$S$9:$S$66,MATCH(0,COUNTIF($O$93:O97,'1.0 Data'!$S$9:$S$66),0),0),"")</f>
        <v>Corrosion Management</v>
      </c>
      <c r="P98" s="44">
        <f>SUMIF('2.1 Capex Real Dollars'!$P$9:$P$66,$O98,'2.1 Capex Real Dollars'!Q$9:Q$66)/1000000</f>
        <v>0</v>
      </c>
      <c r="Q98" s="44">
        <f>SUMIF('2.1 Capex Real Dollars'!$P$9:$P$66,$O98,'2.1 Capex Real Dollars'!R$9:R$66)/1000000</f>
        <v>0</v>
      </c>
      <c r="R98" s="44">
        <f>SUMIF('2.1 Capex Real Dollars'!$P$9:$P$66,$O98,'2.1 Capex Real Dollars'!S$9:S$66)/1000000</f>
        <v>0</v>
      </c>
      <c r="S98" s="44">
        <f>SUMIF('2.1 Capex Real Dollars'!$P$9:$P$66,$O98,'2.1 Capex Real Dollars'!T$9:T$66)/1000000</f>
        <v>0</v>
      </c>
      <c r="T98" s="44">
        <f>SUMIF('2.1 Capex Real Dollars'!$P$9:$P$66,$O98,'2.1 Capex Real Dollars'!U$9:U$66)/1000000</f>
        <v>0</v>
      </c>
      <c r="U98" s="56">
        <f t="shared" si="37"/>
        <v>0</v>
      </c>
    </row>
    <row r="99" spans="15:23">
      <c r="O99" s="39" t="str" cm="1">
        <f t="array" ref="O99">_xlfn.IFNA(INDEX('1.0 Data'!$S$9:$S$66,MATCH(0,COUNTIF($O$93:O98,'1.0 Data'!$S$9:$S$66),0),0),"")</f>
        <v>Asset Monitoring</v>
      </c>
      <c r="P99" s="44">
        <f>SUMIF('2.1 Capex Real Dollars'!$P$9:$P$66,$O99,'2.1 Capex Real Dollars'!Q$9:Q$66)/1000000</f>
        <v>0.75732641599999995</v>
      </c>
      <c r="Q99" s="44">
        <f>SUMIF('2.1 Capex Real Dollars'!$P$9:$P$66,$O99,'2.1 Capex Real Dollars'!R$9:R$66)/1000000</f>
        <v>0.22929984</v>
      </c>
      <c r="R99" s="44">
        <f>SUMIF('2.1 Capex Real Dollars'!$P$9:$P$66,$O99,'2.1 Capex Real Dollars'!S$9:S$66)/1000000</f>
        <v>9.2811839999999993E-2</v>
      </c>
      <c r="S99" s="44">
        <f>SUMIF('2.1 Capex Real Dollars'!$P$9:$P$66,$O99,'2.1 Capex Real Dollars'!T$9:T$66)/1000000</f>
        <v>9.2811839999999993E-2</v>
      </c>
      <c r="T99" s="44">
        <f>SUMIF('2.1 Capex Real Dollars'!$P$9:$P$66,$O99,'2.1 Capex Real Dollars'!U$9:U$66)/1000000</f>
        <v>0.136488</v>
      </c>
      <c r="U99" s="56">
        <f>SUM(P99:T99)</f>
        <v>1.308737936</v>
      </c>
    </row>
    <row r="100" spans="15:23">
      <c r="O100" s="39" t="str" cm="1">
        <f t="array" ref="O100">_xlfn.IFNA(INDEX('1.0 Data'!$S$9:$S$66,MATCH(0,COUNTIF($O$93:O99,'1.0 Data'!$S$9:$S$66),0),0),"")</f>
        <v>Spares Management</v>
      </c>
      <c r="P100" s="44">
        <f>SUMIF('2.1 Capex Real Dollars'!$P$9:$P$66,$O100,'2.1 Capex Real Dollars'!Q$9:Q$66)/1000000</f>
        <v>1.8361367809400002</v>
      </c>
      <c r="Q100" s="44">
        <f>SUMIF('2.1 Capex Real Dollars'!$P$9:$P$66,$O100,'2.1 Capex Real Dollars'!R$9:R$66)/1000000</f>
        <v>1.2165472301400004</v>
      </c>
      <c r="R100" s="44">
        <f>SUMIF('2.1 Capex Real Dollars'!$P$9:$P$66,$O100,'2.1 Capex Real Dollars'!S$9:S$66)/1000000</f>
        <v>1.6985113809400003</v>
      </c>
      <c r="S100" s="44">
        <f>SUMIF('2.1 Capex Real Dollars'!$P$9:$P$66,$O100,'2.1 Capex Real Dollars'!T$9:T$66)/1000000</f>
        <v>1.5483745809400002</v>
      </c>
      <c r="T100" s="44">
        <f>SUMIF('2.1 Capex Real Dollars'!$P$9:$P$66,$O100,'2.1 Capex Real Dollars'!U$9:U$66)/1000000</f>
        <v>6.2118300270400022</v>
      </c>
      <c r="U100" s="56">
        <f>SUM(P100:T100)</f>
        <v>12.511400000000004</v>
      </c>
    </row>
    <row r="101" spans="15:23">
      <c r="O101" s="39" t="str" cm="1">
        <f t="array" ref="O101">_xlfn.IFNA(INDEX('1.0 Data'!$S$9:$S$66,MATCH(0,COUNTIF($O$93:O100,'1.0 Data'!$S$9:$S$66),0),0),"")</f>
        <v>IGBTs</v>
      </c>
      <c r="P101" s="44">
        <f>SUMIF('2.1 Capex Real Dollars'!$P$9:$P$66,$O101,'2.1 Capex Real Dollars'!Q$9:Q$66)/1000000</f>
        <v>6.0581484062000008</v>
      </c>
      <c r="Q101" s="44">
        <f>SUMIF('2.1 Capex Real Dollars'!$P$9:$P$66,$O101,'2.1 Capex Real Dollars'!R$9:R$66)/1000000</f>
        <v>0</v>
      </c>
      <c r="R101" s="44">
        <f>SUMIF('2.1 Capex Real Dollars'!$P$9:$P$66,$O101,'2.1 Capex Real Dollars'!S$9:S$66)/1000000</f>
        <v>0</v>
      </c>
      <c r="S101" s="44">
        <f>SUMIF('2.1 Capex Real Dollars'!$P$9:$P$66,$O101,'2.1 Capex Real Dollars'!T$9:T$66)/1000000</f>
        <v>0</v>
      </c>
      <c r="T101" s="44">
        <f>SUMIF('2.1 Capex Real Dollars'!$P$9:$P$66,$O101,'2.1 Capex Real Dollars'!U$9:U$66)/1000000</f>
        <v>0</v>
      </c>
      <c r="U101" s="56">
        <f t="shared" si="37"/>
        <v>6.0581484062000008</v>
      </c>
    </row>
    <row r="102" spans="15:23">
      <c r="O102" s="39" t="str" cm="1">
        <f t="array" ref="O102">_xlfn.IFNA(INDEX('1.0 Data'!$S$9:$S$66,MATCH(0,COUNTIF($O$93:O101,'1.0 Data'!$S$9:$S$66),0),0),"")</f>
        <v>Transmission Determination Costs</v>
      </c>
      <c r="P102" s="44">
        <f>SUMIF('2.1 Capex Real Dollars'!$P$9:$P$66,$O102,'2.1 Capex Real Dollars'!Q$9:Q$66)/1000000</f>
        <v>0</v>
      </c>
      <c r="Q102" s="44">
        <f>SUMIF('2.1 Capex Real Dollars'!$P$9:$P$66,$O102,'2.1 Capex Real Dollars'!R$9:R$66)/1000000</f>
        <v>0</v>
      </c>
      <c r="R102" s="44">
        <f>SUMIF('2.1 Capex Real Dollars'!$P$9:$P$66,$O102,'2.1 Capex Real Dollars'!S$9:S$66)/1000000</f>
        <v>0</v>
      </c>
      <c r="S102" s="44">
        <f>SUMIF('2.1 Capex Real Dollars'!$P$9:$P$66,$O102,'2.1 Capex Real Dollars'!T$9:T$66)/1000000</f>
        <v>0.14638855000000001</v>
      </c>
      <c r="T102" s="44">
        <f>SUMIF('2.1 Capex Real Dollars'!$P$9:$P$66,$O102,'2.1 Capex Real Dollars'!U$9:U$66)/1000000</f>
        <v>0.14638855000000001</v>
      </c>
      <c r="U102" s="56">
        <f t="shared" si="37"/>
        <v>0.29277710000000001</v>
      </c>
    </row>
    <row r="103" spans="15:23" ht="15.75" thickBot="1">
      <c r="O103" s="39" t="str" cm="1">
        <f t="array" ref="O103">_xlfn.IFNA(INDEX('1.0 Data'!$S$9:$S$66,MATCH(0,COUNTIF($O$93:O102,'1.0 Data'!$S$9:$S$66),0),0),"")</f>
        <v/>
      </c>
      <c r="P103" s="44">
        <f>SUMIF('2.1 Capex Real Dollars'!$P$9:$P$66,$O103,'2.1 Capex Real Dollars'!Q$9:Q$66)/1000000</f>
        <v>0</v>
      </c>
      <c r="Q103" s="44">
        <f ca="1">SUMIF('2.1 Capex Real Dollars'!$P$9:$P$66,$O103,'2.1 Capex Real Dollars'!R$9:R$66)/1000000</f>
        <v>0</v>
      </c>
      <c r="R103" s="44">
        <f ca="1">SUMIF('2.1 Capex Real Dollars'!$P$9:$P$66,$O103,'2.1 Capex Real Dollars'!S$9:S$66)/1000000</f>
        <v>0</v>
      </c>
      <c r="S103" s="44">
        <f ca="1">SUMIF('2.1 Capex Real Dollars'!$P$9:$P$66,$O103,'2.1 Capex Real Dollars'!T$9:T$66)/1000000</f>
        <v>0</v>
      </c>
      <c r="T103" s="44">
        <f ca="1">SUMIF('2.1 Capex Real Dollars'!$P$9:$P$66,$O103,'2.1 Capex Real Dollars'!U$9:U$66)/1000000</f>
        <v>0</v>
      </c>
      <c r="U103" s="56">
        <f t="shared" ca="1" si="37"/>
        <v>0</v>
      </c>
    </row>
    <row r="104" spans="15:23" ht="16.5" thickTop="1" thickBot="1">
      <c r="O104" s="49" t="s">
        <v>16</v>
      </c>
      <c r="P104" s="55">
        <f t="shared" ref="P104" si="38">SUM(P96:P103)</f>
        <v>13.805901505692479</v>
      </c>
      <c r="Q104" s="55">
        <f t="shared" ref="Q104:T104" ca="1" si="39">SUM(Q96:Q103)</f>
        <v>4.5336386964198416</v>
      </c>
      <c r="R104" s="55">
        <f t="shared" ca="1" si="39"/>
        <v>4.2003924382463236</v>
      </c>
      <c r="S104" s="55">
        <f t="shared" ca="1" si="39"/>
        <v>3.8983903966009796</v>
      </c>
      <c r="T104" s="55">
        <f t="shared" ca="1" si="39"/>
        <v>7.3634481841897141</v>
      </c>
      <c r="U104" s="55">
        <f ca="1">SUM(U96:U103)</f>
        <v>33.801771221149345</v>
      </c>
      <c r="W104" s="120">
        <f ca="1">U42/1000000-U104</f>
        <v>0</v>
      </c>
    </row>
    <row r="105" spans="15:23" ht="15.75" thickTop="1"/>
  </sheetData>
  <mergeCells count="3">
    <mergeCell ref="E62:K62"/>
    <mergeCell ref="E67:K67"/>
    <mergeCell ref="E72:K72"/>
  </mergeCells>
  <conditionalFormatting sqref="W29">
    <cfRule type="cellIs" dxfId="10" priority="11" operator="notEqual">
      <formula>0</formula>
    </cfRule>
  </conditionalFormatting>
  <conditionalFormatting sqref="W42">
    <cfRule type="cellIs" dxfId="9" priority="10" operator="notEqual">
      <formula>0</formula>
    </cfRule>
  </conditionalFormatting>
  <conditionalFormatting sqref="W49:W54">
    <cfRule type="cellIs" dxfId="8" priority="9" operator="notEqual">
      <formula>0</formula>
    </cfRule>
  </conditionalFormatting>
  <conditionalFormatting sqref="W104">
    <cfRule type="cellIs" dxfId="7" priority="8" operator="notEqual">
      <formula>0</formula>
    </cfRule>
  </conditionalFormatting>
  <conditionalFormatting sqref="M81">
    <cfRule type="cellIs" dxfId="6" priority="7" operator="notEqual">
      <formula>TRUE</formula>
    </cfRule>
  </conditionalFormatting>
  <conditionalFormatting sqref="M66">
    <cfRule type="cellIs" dxfId="5" priority="6" operator="notEqual">
      <formula>TRUE</formula>
    </cfRule>
  </conditionalFormatting>
  <conditionalFormatting sqref="M54">
    <cfRule type="cellIs" dxfId="4" priority="5" operator="notEqual">
      <formula>TRUE</formula>
    </cfRule>
  </conditionalFormatting>
  <conditionalFormatting sqref="M42">
    <cfRule type="cellIs" dxfId="3" priority="4" operator="notEqual">
      <formula>TRUE</formula>
    </cfRule>
  </conditionalFormatting>
  <conditionalFormatting sqref="M29">
    <cfRule type="cellIs" dxfId="2" priority="3" operator="notEqual">
      <formula>TRUE</formula>
    </cfRule>
  </conditionalFormatting>
  <conditionalFormatting sqref="M24">
    <cfRule type="cellIs" dxfId="1" priority="2" operator="notEqual">
      <formula>TRUE</formula>
    </cfRule>
  </conditionalFormatting>
  <conditionalFormatting sqref="M19">
    <cfRule type="cellIs" dxfId="0" priority="1" stopIfTrue="1" operator="notEqual">
      <formula>TRUE</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00000"/>
  </sheetPr>
  <dimension ref="A1:R82"/>
  <sheetViews>
    <sheetView workbookViewId="0">
      <selection activeCell="D15" sqref="D15"/>
    </sheetView>
  </sheetViews>
  <sheetFormatPr defaultRowHeight="15"/>
  <cols>
    <col min="1" max="16" width="17.25" customWidth="1"/>
    <col min="18" max="18" width="10.375" bestFit="1" customWidth="1"/>
  </cols>
  <sheetData>
    <row r="1" spans="1:13" ht="22.5">
      <c r="A1" s="1"/>
      <c r="B1" s="1"/>
      <c r="C1" s="1"/>
      <c r="D1" s="1"/>
      <c r="E1" s="1"/>
      <c r="F1" s="1"/>
      <c r="G1" s="1"/>
      <c r="H1" s="1"/>
      <c r="I1" s="1"/>
    </row>
    <row r="2" spans="1:13" ht="22.5">
      <c r="A2" s="1"/>
      <c r="B2" s="1"/>
      <c r="C2" s="1"/>
      <c r="D2" s="1"/>
      <c r="E2" s="1"/>
      <c r="F2" s="1"/>
      <c r="G2" s="1"/>
      <c r="H2" s="1"/>
      <c r="I2" s="1"/>
    </row>
    <row r="3" spans="1:13" ht="22.5">
      <c r="A3" s="1"/>
      <c r="B3" s="1"/>
      <c r="C3" s="1"/>
      <c r="D3" s="1"/>
      <c r="E3" s="1"/>
      <c r="F3" s="1"/>
      <c r="G3" s="1"/>
      <c r="H3" s="1"/>
      <c r="I3" s="1"/>
    </row>
    <row r="4" spans="1:13" ht="22.5">
      <c r="A4" s="1"/>
      <c r="B4" s="1"/>
      <c r="C4" s="1"/>
      <c r="D4" s="1"/>
      <c r="E4" s="1"/>
      <c r="F4" s="1"/>
      <c r="G4" s="1"/>
      <c r="H4" s="1"/>
      <c r="I4" s="1"/>
    </row>
    <row r="5" spans="1:13" ht="22.5">
      <c r="A5" s="1" t="e">
        <f ca="1">RIGHT(CELL("filename",A1),LEN(CELL("filename",A1))-FIND("]",CELL("filename",A1)))</f>
        <v>#VALUE!</v>
      </c>
      <c r="B5" s="1"/>
      <c r="C5" s="1"/>
      <c r="D5" s="1"/>
      <c r="E5" s="1"/>
      <c r="F5" s="1"/>
      <c r="G5" s="1"/>
      <c r="H5" s="1"/>
      <c r="I5" s="1"/>
    </row>
    <row r="6" spans="1:13" ht="19.5">
      <c r="A6" s="2" t="s">
        <v>166</v>
      </c>
      <c r="B6" s="2"/>
      <c r="C6" s="2"/>
      <c r="D6" s="2"/>
      <c r="E6" s="2"/>
      <c r="F6" s="2"/>
      <c r="G6" s="2"/>
      <c r="H6" s="2"/>
      <c r="I6" s="2"/>
    </row>
    <row r="7" spans="1:13" ht="16.5">
      <c r="A7" s="4"/>
      <c r="B7" s="4"/>
      <c r="C7" s="4"/>
      <c r="D7" s="4"/>
      <c r="E7" s="4"/>
      <c r="F7" s="4"/>
      <c r="G7" s="4"/>
      <c r="H7" s="4"/>
      <c r="I7" s="4"/>
    </row>
    <row r="8" spans="1:13">
      <c r="A8" s="3"/>
      <c r="B8" s="3"/>
      <c r="C8" s="3"/>
      <c r="D8" s="3"/>
      <c r="E8" s="3"/>
      <c r="F8" s="3"/>
      <c r="G8" s="3"/>
      <c r="H8" s="3"/>
      <c r="I8" s="3"/>
    </row>
    <row r="10" spans="1:13" ht="19.5">
      <c r="A10" s="2" t="s">
        <v>220</v>
      </c>
      <c r="B10" s="2"/>
      <c r="C10" s="2"/>
      <c r="D10" s="2"/>
      <c r="E10" s="2"/>
      <c r="F10" s="2"/>
      <c r="G10" s="2"/>
      <c r="H10" s="2"/>
      <c r="I10" s="2"/>
      <c r="J10" s="2"/>
      <c r="K10" s="2"/>
    </row>
    <row r="12" spans="1:13" ht="16.5">
      <c r="B12" s="4" t="s">
        <v>221</v>
      </c>
      <c r="C12" s="4"/>
      <c r="D12" s="4"/>
      <c r="E12" s="4"/>
      <c r="F12" s="4"/>
      <c r="G12" s="4"/>
      <c r="H12" s="4"/>
      <c r="I12" s="4"/>
      <c r="J12" s="4"/>
      <c r="K12" s="4"/>
    </row>
    <row r="13" spans="1:13">
      <c r="B13" s="3" t="s">
        <v>222</v>
      </c>
      <c r="C13" s="3"/>
      <c r="D13" s="3"/>
      <c r="E13" s="3" t="s">
        <v>223</v>
      </c>
      <c r="F13" s="3"/>
      <c r="G13" s="3"/>
      <c r="H13" s="3"/>
      <c r="I13" s="3"/>
      <c r="J13" s="3"/>
      <c r="K13" s="3"/>
    </row>
    <row r="14" spans="1:13">
      <c r="B14" s="23" t="s">
        <v>224</v>
      </c>
      <c r="C14" s="23" t="s">
        <v>225</v>
      </c>
      <c r="D14" s="23" t="s">
        <v>226</v>
      </c>
      <c r="E14" s="23" t="s">
        <v>227</v>
      </c>
      <c r="F14" s="23" t="s">
        <v>228</v>
      </c>
      <c r="G14" s="23" t="s">
        <v>229</v>
      </c>
      <c r="H14" s="23" t="s">
        <v>230</v>
      </c>
      <c r="I14" s="23" t="s">
        <v>231</v>
      </c>
      <c r="J14" s="23" t="s">
        <v>232</v>
      </c>
      <c r="K14" s="23" t="s">
        <v>233</v>
      </c>
      <c r="L14" s="23" t="s">
        <v>234</v>
      </c>
      <c r="M14" s="23" t="s">
        <v>235</v>
      </c>
    </row>
    <row r="15" spans="1:13">
      <c r="A15" t="s">
        <v>28</v>
      </c>
      <c r="B15" s="34"/>
      <c r="C15" s="34"/>
      <c r="D15" s="34">
        <f ca="1">ROUND(SUMIF('2.2 Capex Nominal Dollars'!$D$9:$D$48,$A15,'2.2 Capex Nominal Dollars'!E$9:E$40),2)*1000</f>
        <v>2048316720</v>
      </c>
      <c r="E15" s="34">
        <f ca="1">ROUND(SUMIF('2.2 Capex Nominal Dollars'!$D$9:$D$48,$A15,'2.2 Capex Nominal Dollars'!F$9:F$40),2)*1000</f>
        <v>2568620510</v>
      </c>
      <c r="F15" s="34">
        <f ca="1">ROUND(SUMIF('2.2 Capex Nominal Dollars'!$D$9:$D$48,$A15,'2.2 Capex Nominal Dollars'!G$9:G$40),2)*1000</f>
        <v>7553220540</v>
      </c>
      <c r="G15" s="34">
        <f ca="1">ROUND(SUMIF('2.1 Capex Real Dollars'!$D$9:$D$48,$A15,'2.1 Capex Real Dollars'!H$9:H$40),2)</f>
        <v>12532198.5</v>
      </c>
      <c r="H15" s="34">
        <f ca="1">ROUND(SUMIF('2.1 Capex Real Dollars'!$D$9:$D$48,$A15,'2.1 Capex Real Dollars'!I$9:I$40),2)</f>
        <v>4779443.3499999996</v>
      </c>
      <c r="I15" s="34">
        <f>SUMIF('2.1 Capex Real Dollars'!$O$9:$O$63,$A15,'2.1 Capex Real Dollars'!Q$9:Q$63)</f>
        <v>13805901.505692476</v>
      </c>
      <c r="J15" s="34">
        <f>SUMIF('2.1 Capex Real Dollars'!$O$9:$O$63,$A15,'2.1 Capex Real Dollars'!R$9:R$63)</f>
        <v>4533638.6964198416</v>
      </c>
      <c r="K15" s="34">
        <f>SUMIF('2.1 Capex Real Dollars'!$O$9:$O$63,$A15,'2.1 Capex Real Dollars'!S$9:S$63)</f>
        <v>4200392.4382463237</v>
      </c>
      <c r="L15" s="34">
        <f>SUMIF('2.1 Capex Real Dollars'!$O$9:$O$63,$A15,'2.1 Capex Real Dollars'!T$9:T$63)</f>
        <v>3898390.3966009794</v>
      </c>
      <c r="M15" s="34">
        <f>SUMIF('2.1 Capex Real Dollars'!$O$9:$O$63,$A15,'2.1 Capex Real Dollars'!U$9:U$63)</f>
        <v>7363448.1841897136</v>
      </c>
    </row>
    <row r="16" spans="1:13">
      <c r="A16" t="s">
        <v>140</v>
      </c>
      <c r="B16" s="34">
        <f ca="1">ROUND(SUMIF('2.2 Capex Nominal Dollars'!$D$9:$D$48,$A16,'2.2 Capex Nominal Dollars'!E$9:E$40),2)*1000</f>
        <v>0</v>
      </c>
      <c r="C16" s="34">
        <f>ROUND(SUMIF('2.2 Capex Nominal Dollars'!$D$9:$D$40,$A16,'2.2 Capex Nominal Dollars'!F$9:F$40),2)*1000</f>
        <v>0</v>
      </c>
      <c r="D16" s="34">
        <f>ROUND(SUMIF('2.2 Capex Nominal Dollars'!$D$9:$D$40,$A16,'2.2 Capex Nominal Dollars'!G$9:G$40),2)*1000</f>
        <v>0</v>
      </c>
      <c r="E16" s="34">
        <f>ROUND(SUMIF('2.1 Capex Real Dollars'!$D$9:$D$40,$A16,'2.1 Capex Real Dollars'!H$9:H$40),2)*1000</f>
        <v>0</v>
      </c>
      <c r="F16" s="34">
        <f>ROUND(SUMIF('2.1 Capex Real Dollars'!$D$9:$D$40,$A16,'2.1 Capex Real Dollars'!I$9:I$40),2)*1000</f>
        <v>0</v>
      </c>
      <c r="G16" s="34">
        <f>SUMIF('2.1 Capex Real Dollars'!$O$9:$O$25,$A16,'2.1 Capex Real Dollars'!Q$9:Q$25)*1000</f>
        <v>0</v>
      </c>
      <c r="H16" s="34">
        <f>SUMIF('2.1 Capex Real Dollars'!$O$9:$O$25,$A16,'2.1 Capex Real Dollars'!R$9:R$25)*1000</f>
        <v>0</v>
      </c>
      <c r="I16" s="34">
        <f>SUMIF('2.1 Capex Real Dollars'!$O$9:$O$25,$A16,'2.1 Capex Real Dollars'!S$9:S$25)*1000</f>
        <v>0</v>
      </c>
      <c r="J16" s="34">
        <f>SUMIF('2.1 Capex Real Dollars'!$O$9:$O$25,$A16,'2.1 Capex Real Dollars'!T$9:T$25)*1000</f>
        <v>0</v>
      </c>
      <c r="K16" s="34">
        <f>SUMIF('2.1 Capex Real Dollars'!$O$9:$O$25,$A16,'2.1 Capex Real Dollars'!U$9:U$25)*1000</f>
        <v>0</v>
      </c>
    </row>
    <row r="17" spans="1:18">
      <c r="A17" t="s">
        <v>141</v>
      </c>
      <c r="B17" s="34">
        <f ca="1">ROUND(SUMIF('2.2 Capex Nominal Dollars'!$D$9:$D$48,$A17,'2.2 Capex Nominal Dollars'!E$9:E$40),2)*1000</f>
        <v>0</v>
      </c>
      <c r="C17" s="34">
        <f>ROUND(SUMIF('2.2 Capex Nominal Dollars'!$D$9:$D$40,$A17,'2.2 Capex Nominal Dollars'!F$9:F$40),2)*1000</f>
        <v>0</v>
      </c>
      <c r="D17" s="34">
        <f>ROUND(SUMIF('2.2 Capex Nominal Dollars'!$D$9:$D$40,$A17,'2.2 Capex Nominal Dollars'!G$9:G$40),2)*1000</f>
        <v>0</v>
      </c>
      <c r="E17" s="34">
        <f>ROUND(SUMIF('2.1 Capex Real Dollars'!$D$9:$D$40,$A17,'2.1 Capex Real Dollars'!H$9:H$40),2)*1000</f>
        <v>0</v>
      </c>
      <c r="F17" s="34">
        <f>ROUND(SUMIF('2.1 Capex Real Dollars'!$D$9:$D$40,$A17,'2.1 Capex Real Dollars'!I$9:I$40),2)*1000</f>
        <v>0</v>
      </c>
      <c r="G17" s="34">
        <f>SUMIF('2.1 Capex Real Dollars'!$O$9:$O$25,$A17,'2.1 Capex Real Dollars'!Q$9:Q$25)*1000</f>
        <v>0</v>
      </c>
      <c r="H17" s="34">
        <f>SUMIF('2.1 Capex Real Dollars'!$O$9:$O$25,$A17,'2.1 Capex Real Dollars'!R$9:R$25)*1000</f>
        <v>0</v>
      </c>
      <c r="I17" s="34">
        <f>SUMIF('2.1 Capex Real Dollars'!$O$9:$O$25,$A17,'2.1 Capex Real Dollars'!S$9:S$25)*1000</f>
        <v>0</v>
      </c>
      <c r="J17" s="34">
        <f>SUMIF('2.1 Capex Real Dollars'!$O$9:$O$25,$A17,'2.1 Capex Real Dollars'!T$9:T$25)*1000</f>
        <v>0</v>
      </c>
      <c r="K17" s="34">
        <f>SUMIF('2.1 Capex Real Dollars'!$O$9:$O$25,$A17,'2.1 Capex Real Dollars'!U$9:U$25)*1000</f>
        <v>0</v>
      </c>
    </row>
    <row r="18" spans="1:18">
      <c r="A18" t="s">
        <v>143</v>
      </c>
      <c r="B18" s="34">
        <f ca="1">ROUND(SUMIF('2.2 Capex Nominal Dollars'!$D$9:$D$48,$A18,'2.2 Capex Nominal Dollars'!E$9:E$40),2)*1000</f>
        <v>0</v>
      </c>
      <c r="C18" s="34">
        <f>ROUND(SUMIF('2.2 Capex Nominal Dollars'!$D$9:$D$40,$A18,'2.2 Capex Nominal Dollars'!F$9:F$40),2)*1000</f>
        <v>0</v>
      </c>
      <c r="D18" s="34">
        <f>ROUND(SUMIF('2.2 Capex Nominal Dollars'!$D$9:$D$40,$A18,'2.2 Capex Nominal Dollars'!G$9:G$40),2)*1000</f>
        <v>0</v>
      </c>
      <c r="E18" s="34">
        <f>ROUND(SUMIF('2.1 Capex Real Dollars'!$D$9:$D$40,$A18,'2.1 Capex Real Dollars'!H$9:H$40),2)*1000</f>
        <v>0</v>
      </c>
      <c r="F18" s="34">
        <f>ROUND(SUMIF('2.1 Capex Real Dollars'!$D$9:$D$40,$A18,'2.1 Capex Real Dollars'!I$9:I$40),2)*1000</f>
        <v>0</v>
      </c>
      <c r="G18" s="34">
        <f>SUMIF('2.1 Capex Real Dollars'!$O$9:$O$25,$A18,'2.1 Capex Real Dollars'!Q$9:Q$25)*1000</f>
        <v>0</v>
      </c>
      <c r="H18" s="34">
        <f>SUMIF('2.1 Capex Real Dollars'!$O$9:$O$25,$A18,'2.1 Capex Real Dollars'!R$9:R$25)*1000</f>
        <v>0</v>
      </c>
      <c r="I18" s="34">
        <f>SUMIF('2.1 Capex Real Dollars'!$O$9:$O$25,$A18,'2.1 Capex Real Dollars'!S$9:S$25)*1000</f>
        <v>0</v>
      </c>
      <c r="J18" s="34">
        <f>SUMIF('2.1 Capex Real Dollars'!$O$9:$O$25,$A18,'2.1 Capex Real Dollars'!T$9:T$25)*1000</f>
        <v>0</v>
      </c>
      <c r="K18" s="34">
        <f>SUMIF('2.1 Capex Real Dollars'!$O$9:$O$25,$A18,'2.1 Capex Real Dollars'!U$9:U$25)*1000</f>
        <v>0</v>
      </c>
    </row>
    <row r="19" spans="1:18">
      <c r="A19" t="s">
        <v>236</v>
      </c>
      <c r="B19" s="34">
        <f ca="1">ROUND(SUMIF('2.2 Capex Nominal Dollars'!$D$9:$D$48,$A19,'2.2 Capex Nominal Dollars'!E$9:E$40),2)*1000</f>
        <v>0</v>
      </c>
      <c r="C19" s="34">
        <f>ROUND(SUMIF('2.2 Capex Nominal Dollars'!$D$9:$D$40,$A19,'2.2 Capex Nominal Dollars'!F$9:F$40),2)*1000</f>
        <v>0</v>
      </c>
      <c r="D19" s="34">
        <f>ROUND(SUMIF('2.2 Capex Nominal Dollars'!$D$9:$D$40,$A19,'2.2 Capex Nominal Dollars'!G$9:G$40),2)*1000</f>
        <v>0</v>
      </c>
      <c r="E19" s="34">
        <f>ROUND(SUMIF('2.1 Capex Real Dollars'!$D$9:$D$40,$A19,'2.1 Capex Real Dollars'!H$9:H$40),2)*1000</f>
        <v>0</v>
      </c>
      <c r="F19" s="34">
        <f>ROUND(SUMIF('2.1 Capex Real Dollars'!$D$9:$D$40,$A19,'2.1 Capex Real Dollars'!I$9:I$40),2)*1000</f>
        <v>0</v>
      </c>
      <c r="G19" s="34">
        <f>SUMIF('2.1 Capex Real Dollars'!$O$9:$O$25,$A19,'2.1 Capex Real Dollars'!Q$9:Q$25)*1000</f>
        <v>0</v>
      </c>
      <c r="H19" s="34">
        <f>SUMIF('2.1 Capex Real Dollars'!$O$9:$O$25,$A19,'2.1 Capex Real Dollars'!R$9:R$25)*1000</f>
        <v>0</v>
      </c>
      <c r="I19" s="34">
        <f>SUMIF('2.1 Capex Real Dollars'!$O$9:$O$25,$A19,'2.1 Capex Real Dollars'!S$9:S$25)*1000</f>
        <v>0</v>
      </c>
      <c r="J19" s="34">
        <f>SUMIF('2.1 Capex Real Dollars'!$O$9:$O$25,$A19,'2.1 Capex Real Dollars'!T$9:T$25)*1000</f>
        <v>0</v>
      </c>
      <c r="K19" s="34">
        <f>SUMIF('2.1 Capex Real Dollars'!$O$9:$O$25,$A19,'2.1 Capex Real Dollars'!U$9:U$25)*1000</f>
        <v>0</v>
      </c>
    </row>
    <row r="20" spans="1:18" ht="15.75" thickBot="1">
      <c r="A20" t="s">
        <v>237</v>
      </c>
      <c r="B20" s="34">
        <f ca="1">ROUND(SUMIF('2.2 Capex Nominal Dollars'!$D$9:$D$48,$A20,'2.2 Capex Nominal Dollars'!E$9:E$40),2)*1000</f>
        <v>0</v>
      </c>
      <c r="C20" s="34">
        <f>ROUND(SUMIF('2.2 Capex Nominal Dollars'!$D$9:$D$40,$A20,'2.2 Capex Nominal Dollars'!F$9:F$40),2)*1000</f>
        <v>0</v>
      </c>
      <c r="D20" s="34">
        <f>ROUND(SUMIF('2.2 Capex Nominal Dollars'!$D$9:$D$40,$A20,'2.2 Capex Nominal Dollars'!G$9:G$40),2)*1000</f>
        <v>0</v>
      </c>
      <c r="E20" s="34">
        <f>ROUND(SUMIF('2.1 Capex Real Dollars'!$D$9:$D$40,$A20,'2.1 Capex Real Dollars'!H$9:H$40),2)*1000</f>
        <v>0</v>
      </c>
      <c r="F20" s="34">
        <f>ROUND(SUMIF('2.1 Capex Real Dollars'!$D$9:$D$40,$A20,'2.1 Capex Real Dollars'!I$9:I$40),2)*1000</f>
        <v>0</v>
      </c>
      <c r="G20" s="34">
        <f>SUMIF('2.1 Capex Real Dollars'!$O$9:$O$25,$A20,'2.1 Capex Real Dollars'!Q$9:Q$25)*1000</f>
        <v>0</v>
      </c>
      <c r="H20" s="34">
        <f>SUMIF('2.1 Capex Real Dollars'!$O$9:$O$25,$A20,'2.1 Capex Real Dollars'!R$9:R$25)*1000</f>
        <v>0</v>
      </c>
      <c r="I20" s="34">
        <f>SUMIF('2.1 Capex Real Dollars'!$O$9:$O$25,$A20,'2.1 Capex Real Dollars'!S$9:S$25)*1000</f>
        <v>0</v>
      </c>
      <c r="J20" s="34">
        <f>SUMIF('2.1 Capex Real Dollars'!$O$9:$O$25,$A20,'2.1 Capex Real Dollars'!T$9:T$25)*1000</f>
        <v>0</v>
      </c>
      <c r="K20" s="34">
        <f>SUMIF('2.1 Capex Real Dollars'!$O$9:$O$25,$A20,'2.1 Capex Real Dollars'!U$9:U$25)*1000</f>
        <v>0</v>
      </c>
    </row>
    <row r="21" spans="1:18" ht="15.75" thickTop="1">
      <c r="A21" s="22" t="s">
        <v>238</v>
      </c>
      <c r="B21" s="22">
        <f ca="1">SUM(B15:B20)</f>
        <v>0</v>
      </c>
      <c r="C21" s="22">
        <f t="shared" ref="C21:M21" si="0">SUM(C15:C20)</f>
        <v>0</v>
      </c>
      <c r="D21" s="22">
        <f t="shared" ca="1" si="0"/>
        <v>2048316720</v>
      </c>
      <c r="E21" s="22">
        <f t="shared" ca="1" si="0"/>
        <v>2568620510</v>
      </c>
      <c r="F21" s="22">
        <f t="shared" ca="1" si="0"/>
        <v>7553220540</v>
      </c>
      <c r="G21" s="78">
        <f ca="1">SUM(G15:G20)</f>
        <v>12532198.5</v>
      </c>
      <c r="H21" s="22">
        <f ca="1">SUM(H15:H20)</f>
        <v>4779443.3499999996</v>
      </c>
      <c r="I21" s="22">
        <f t="shared" si="0"/>
        <v>13805901.505692476</v>
      </c>
      <c r="J21" s="22">
        <f t="shared" si="0"/>
        <v>4533638.6964198416</v>
      </c>
      <c r="K21" s="22">
        <f t="shared" si="0"/>
        <v>4200392.4382463237</v>
      </c>
      <c r="L21" s="22">
        <f t="shared" si="0"/>
        <v>3898390.3966009794</v>
      </c>
      <c r="M21" s="22">
        <f t="shared" si="0"/>
        <v>7363448.1841897136</v>
      </c>
    </row>
    <row r="22" spans="1:18" ht="15.75" thickBot="1"/>
    <row r="23" spans="1:18" ht="16.5" thickTop="1" thickBot="1">
      <c r="A23" s="13" t="s">
        <v>178</v>
      </c>
      <c r="D23" s="46">
        <f ca="1">B21/1000-'2.2 Capex Nominal Dollars'!E5</f>
        <v>-2048316.7239999999</v>
      </c>
      <c r="E23" s="46">
        <f>C21/1000-'2.2 Capex Nominal Dollars'!F5</f>
        <v>-2568620.5099999998</v>
      </c>
      <c r="F23" s="46">
        <f ca="1">D21/1000-'2.2 Capex Nominal Dollars'!G5</f>
        <v>-5504903.8200000012</v>
      </c>
      <c r="G23" s="46">
        <f ca="1">E21/1000-'2.1 Capex Real Dollars'!H5</f>
        <v>-9963577.9864000008</v>
      </c>
      <c r="H23" s="46">
        <f ca="1">F21/1000-'2.1 Capex Real Dollars'!I5</f>
        <v>2773777.1906933254</v>
      </c>
      <c r="I23" s="46">
        <f>I21-'2.1 Capex Real Dollars'!Q5</f>
        <v>0</v>
      </c>
      <c r="J23" s="46">
        <f ca="1">J21-'2.1 Capex Real Dollars'!R5</f>
        <v>0</v>
      </c>
      <c r="K23" s="46">
        <f ca="1">K21-'2.1 Capex Real Dollars'!S5</f>
        <v>0</v>
      </c>
      <c r="L23" s="46">
        <f ca="1">L21-'2.1 Capex Real Dollars'!T5</f>
        <v>0</v>
      </c>
      <c r="M23" s="46">
        <f ca="1">M21-'2.1 Capex Real Dollars'!U5</f>
        <v>0</v>
      </c>
    </row>
    <row r="24" spans="1:18" ht="15.75" thickTop="1"/>
    <row r="25" spans="1:18" ht="19.5">
      <c r="A25" s="2" t="s">
        <v>239</v>
      </c>
      <c r="B25" s="2"/>
      <c r="C25" s="2"/>
      <c r="D25" s="2"/>
      <c r="E25" s="2"/>
      <c r="F25" s="2"/>
      <c r="G25" s="2"/>
      <c r="H25" s="2"/>
      <c r="I25" s="2"/>
      <c r="J25" s="2"/>
      <c r="K25" s="2"/>
    </row>
    <row r="27" spans="1:18" ht="16.5">
      <c r="A27" s="4" t="s">
        <v>240</v>
      </c>
      <c r="B27" s="4"/>
      <c r="C27" s="4"/>
      <c r="D27" s="4"/>
      <c r="E27" s="4"/>
      <c r="F27" s="4"/>
      <c r="G27" s="4"/>
      <c r="H27" s="4"/>
      <c r="I27" s="4"/>
      <c r="J27" s="4"/>
      <c r="K27" s="4"/>
    </row>
    <row r="28" spans="1:18">
      <c r="A28" s="3" t="s">
        <v>241</v>
      </c>
      <c r="B28" s="3" t="s">
        <v>242</v>
      </c>
      <c r="C28" s="3" t="s">
        <v>243</v>
      </c>
      <c r="D28" s="3" t="s">
        <v>244</v>
      </c>
      <c r="E28" s="3" t="s">
        <v>245</v>
      </c>
      <c r="F28" s="3" t="s">
        <v>246</v>
      </c>
      <c r="G28" s="3" t="s">
        <v>247</v>
      </c>
      <c r="H28" s="3" t="s">
        <v>248</v>
      </c>
      <c r="I28" s="3" t="s">
        <v>249</v>
      </c>
      <c r="J28" s="3"/>
      <c r="K28" s="3" t="s">
        <v>250</v>
      </c>
      <c r="L28" s="3"/>
      <c r="M28" s="3"/>
      <c r="N28" s="3"/>
      <c r="O28" s="3"/>
      <c r="P28" s="3" t="s">
        <v>16</v>
      </c>
    </row>
    <row r="29" spans="1:18">
      <c r="A29" s="3"/>
      <c r="B29" s="3"/>
      <c r="C29" s="3"/>
      <c r="D29" s="3"/>
      <c r="E29" s="3"/>
      <c r="F29" s="3"/>
      <c r="G29" s="3"/>
      <c r="H29" s="3"/>
      <c r="I29" s="3"/>
      <c r="J29" s="3"/>
      <c r="K29" s="3" t="s">
        <v>229</v>
      </c>
      <c r="L29" s="3" t="s">
        <v>230</v>
      </c>
      <c r="M29" s="3" t="s">
        <v>231</v>
      </c>
      <c r="N29" s="3" t="s">
        <v>232</v>
      </c>
      <c r="O29" s="3" t="s">
        <v>233</v>
      </c>
      <c r="P29" s="3"/>
    </row>
    <row r="30" spans="1:18" ht="54" customHeight="1" thickBot="1">
      <c r="A30" s="30" t="s">
        <v>251</v>
      </c>
      <c r="B30" s="29"/>
      <c r="C30" s="29" t="s">
        <v>252</v>
      </c>
      <c r="D30" s="29" t="s">
        <v>253</v>
      </c>
      <c r="E30" s="29" t="s">
        <v>254</v>
      </c>
      <c r="F30" s="29" t="s">
        <v>255</v>
      </c>
      <c r="G30" s="29" t="s">
        <v>256</v>
      </c>
      <c r="H30" s="29" t="s">
        <v>257</v>
      </c>
      <c r="I30" s="29" t="s">
        <v>258</v>
      </c>
      <c r="J30" s="29"/>
      <c r="K30" s="30" t="s">
        <v>259</v>
      </c>
      <c r="L30" s="29"/>
      <c r="M30" s="29"/>
      <c r="N30" s="29"/>
      <c r="O30" s="29"/>
      <c r="P30" s="29"/>
    </row>
    <row r="31" spans="1:18" ht="15.75" thickBot="1">
      <c r="A31" s="5" t="s">
        <v>260</v>
      </c>
      <c r="B31" s="5" t="str" cm="1">
        <f t="array" aca="1" ref="B31" ca="1">INDEX('2.1 Capex Real Dollars'!$L$95:$L$99,$R31)</f>
        <v>Spares Management</v>
      </c>
      <c r="C31" s="24"/>
      <c r="D31" s="24"/>
      <c r="E31" s="24"/>
      <c r="F31" s="24"/>
      <c r="G31" s="24"/>
      <c r="H31" s="24"/>
      <c r="I31" s="24"/>
      <c r="J31" s="5" t="s">
        <v>261</v>
      </c>
      <c r="K31" s="24" cm="1">
        <f t="array" aca="1" ref="K31" ca="1">_xlfn.IFNA(INDEX('2.1 Capex Real Dollars'!Q$95:Q$99,MATCH($B31,'2.1 Capex Real Dollars'!$L$95:$L$99,0),0),0)</f>
        <v>1836136.7809400002</v>
      </c>
      <c r="L31" s="24" cm="1">
        <f t="array" aca="1" ref="L31" ca="1">_xlfn.IFNA(INDEX('2.1 Capex Real Dollars'!R$95:R$99,MATCH($B31,'2.1 Capex Real Dollars'!$L$95:$L$99,0),0),0)</f>
        <v>1216547.2301400003</v>
      </c>
      <c r="M31" s="24" cm="1">
        <f t="array" aca="1" ref="M31" ca="1">_xlfn.IFNA(INDEX('2.1 Capex Real Dollars'!S$95:S$99,MATCH($B31,'2.1 Capex Real Dollars'!$L$95:$L$99,0),0),0)</f>
        <v>1698511.3809400003</v>
      </c>
      <c r="N31" s="24" cm="1">
        <f t="array" aca="1" ref="N31" ca="1">_xlfn.IFNA(INDEX('2.1 Capex Real Dollars'!T$95:T$99,MATCH($B31,'2.1 Capex Real Dollars'!$L$95:$L$99,0),0),0)</f>
        <v>1548374.5809400002</v>
      </c>
      <c r="O31" s="24" cm="1">
        <f t="array" aca="1" ref="O31" ca="1">_xlfn.IFNA(INDEX('2.1 Capex Real Dollars'!U$95:U$99,MATCH($B31,'2.1 Capex Real Dollars'!$L$95:$L$99,0),0),0)</f>
        <v>6211830.0270400019</v>
      </c>
      <c r="P31" s="45">
        <f ca="1">SUM(K31:O31)</f>
        <v>12511400.000000004</v>
      </c>
      <c r="R31">
        <v>1</v>
      </c>
    </row>
    <row r="32" spans="1:18" ht="15.75" thickBot="1">
      <c r="A32" s="24"/>
      <c r="B32" s="24"/>
      <c r="C32" s="24"/>
      <c r="D32" s="24"/>
      <c r="E32" s="24"/>
      <c r="F32" s="24"/>
      <c r="G32" s="24"/>
      <c r="H32" s="24"/>
      <c r="I32" s="24"/>
      <c r="J32" s="5" t="s">
        <v>262</v>
      </c>
      <c r="K32" s="24"/>
      <c r="L32" s="24"/>
      <c r="M32" s="24"/>
      <c r="N32" s="24"/>
      <c r="O32" s="24"/>
      <c r="P32" s="45">
        <f t="shared" ref="P32:P49" si="1">SUM(K32:O32)</f>
        <v>0</v>
      </c>
    </row>
    <row r="33" spans="1:18" ht="15.75" thickBot="1">
      <c r="A33" s="24"/>
      <c r="B33" s="24"/>
      <c r="C33" s="24"/>
      <c r="D33" s="24"/>
      <c r="E33" s="24"/>
      <c r="F33" s="24"/>
      <c r="G33" s="24"/>
      <c r="H33" s="24"/>
      <c r="I33" s="24"/>
      <c r="J33" s="5" t="s">
        <v>263</v>
      </c>
      <c r="K33" s="24"/>
      <c r="L33" s="24"/>
      <c r="M33" s="24"/>
      <c r="N33" s="24"/>
      <c r="O33" s="24"/>
      <c r="P33" s="45">
        <f t="shared" si="1"/>
        <v>0</v>
      </c>
    </row>
    <row r="34" spans="1:18" ht="16.5" thickTop="1" thickBot="1">
      <c r="A34" s="24"/>
      <c r="B34" s="24"/>
      <c r="C34" s="24"/>
      <c r="D34" s="24"/>
      <c r="E34" s="24"/>
      <c r="F34" s="24"/>
      <c r="G34" s="24"/>
      <c r="H34" s="24"/>
      <c r="I34" s="24"/>
      <c r="J34" s="27" t="s">
        <v>16</v>
      </c>
      <c r="K34" s="27">
        <f ca="1">SUM(K31:K33)</f>
        <v>1836136.7809400002</v>
      </c>
      <c r="L34" s="27">
        <f ca="1">SUM(L31:L33)</f>
        <v>1216547.2301400003</v>
      </c>
      <c r="M34" s="27">
        <f ca="1">SUM(M31:M33)</f>
        <v>1698511.3809400003</v>
      </c>
      <c r="N34" s="27">
        <f ca="1">SUM(N31:N33)</f>
        <v>1548374.5809400002</v>
      </c>
      <c r="O34" s="27">
        <f ca="1">SUM(O31:O33)</f>
        <v>6211830.0270400019</v>
      </c>
      <c r="P34" s="27">
        <f t="shared" ca="1" si="1"/>
        <v>12511400.000000004</v>
      </c>
    </row>
    <row r="35" spans="1:18" ht="15.75" thickBot="1">
      <c r="A35" s="5" t="s">
        <v>264</v>
      </c>
      <c r="B35" s="5" t="str" cm="1">
        <f t="array" aca="1" ref="B35" ca="1">INDEX('2.1 Capex Real Dollars'!$L$95:$L$99,$R35)</f>
        <v>IGBT Generation 3 Upgrade</v>
      </c>
      <c r="C35" s="24"/>
      <c r="D35" s="24"/>
      <c r="E35" s="24"/>
      <c r="F35" s="24"/>
      <c r="G35" s="24"/>
      <c r="H35" s="24"/>
      <c r="I35" s="24"/>
      <c r="J35" s="5" t="s">
        <v>261</v>
      </c>
      <c r="K35" s="24" cm="1">
        <f t="array" aca="1" ref="K35" ca="1">_xlfn.IFNA(INDEX('2.1 Capex Real Dollars'!Q$95:Q$99,MATCH($B35,'2.1 Capex Real Dollars'!$L$95:$L$99,0),0),0)</f>
        <v>6058148.406200001</v>
      </c>
      <c r="L35" s="24" cm="1">
        <f t="array" aca="1" ref="L35" ca="1">_xlfn.IFNA(INDEX('2.1 Capex Real Dollars'!R$95:R$99,MATCH($B35,'2.1 Capex Real Dollars'!$L$95:$L$99,0),0),0)</f>
        <v>0</v>
      </c>
      <c r="M35" s="24" cm="1">
        <f t="array" aca="1" ref="M35" ca="1">_xlfn.IFNA(INDEX('2.1 Capex Real Dollars'!S$95:S$99,MATCH($B35,'2.1 Capex Real Dollars'!$L$95:$L$99,0),0),0)</f>
        <v>0</v>
      </c>
      <c r="N35" s="24" cm="1">
        <f t="array" aca="1" ref="N35" ca="1">_xlfn.IFNA(INDEX('2.1 Capex Real Dollars'!T$95:T$99,MATCH($B35,'2.1 Capex Real Dollars'!$L$95:$L$99,0),0),0)</f>
        <v>0</v>
      </c>
      <c r="O35" s="24" cm="1">
        <f t="array" aca="1" ref="O35" ca="1">_xlfn.IFNA(INDEX('2.1 Capex Real Dollars'!U$95:U$99,MATCH($B35,'2.1 Capex Real Dollars'!$L$95:$L$99,0),0),0)</f>
        <v>0</v>
      </c>
      <c r="P35" s="45">
        <f t="shared" ca="1" si="1"/>
        <v>6058148.406200001</v>
      </c>
      <c r="R35">
        <v>2</v>
      </c>
    </row>
    <row r="36" spans="1:18" ht="15.75" thickBot="1">
      <c r="A36" s="24"/>
      <c r="B36" s="24"/>
      <c r="C36" s="24"/>
      <c r="D36" s="24"/>
      <c r="E36" s="24"/>
      <c r="F36" s="24"/>
      <c r="G36" s="24"/>
      <c r="H36" s="24"/>
      <c r="I36" s="24"/>
      <c r="J36" s="5" t="s">
        <v>262</v>
      </c>
      <c r="K36" s="24"/>
      <c r="L36" s="24"/>
      <c r="M36" s="24"/>
      <c r="N36" s="24"/>
      <c r="O36" s="24"/>
      <c r="P36" s="45">
        <f t="shared" si="1"/>
        <v>0</v>
      </c>
    </row>
    <row r="37" spans="1:18" ht="15.75" thickBot="1">
      <c r="A37" s="24"/>
      <c r="B37" s="24"/>
      <c r="C37" s="24"/>
      <c r="D37" s="24"/>
      <c r="E37" s="24"/>
      <c r="F37" s="24"/>
      <c r="G37" s="24"/>
      <c r="H37" s="24"/>
      <c r="I37" s="24"/>
      <c r="J37" s="5" t="s">
        <v>263</v>
      </c>
      <c r="K37" s="24"/>
      <c r="L37" s="24"/>
      <c r="M37" s="24"/>
      <c r="N37" s="24"/>
      <c r="O37" s="24"/>
      <c r="P37" s="45">
        <f t="shared" si="1"/>
        <v>0</v>
      </c>
    </row>
    <row r="38" spans="1:18" ht="16.5" thickTop="1" thickBot="1">
      <c r="A38" s="24"/>
      <c r="B38" s="24"/>
      <c r="C38" s="24"/>
      <c r="D38" s="24"/>
      <c r="E38" s="24"/>
      <c r="F38" s="24"/>
      <c r="G38" s="24"/>
      <c r="H38" s="24"/>
      <c r="I38" s="24"/>
      <c r="J38" s="27" t="s">
        <v>16</v>
      </c>
      <c r="K38" s="27">
        <f ca="1">SUM(K35:K37)</f>
        <v>6058148.406200001</v>
      </c>
      <c r="L38" s="27">
        <f ca="1">SUM(L35:L37)</f>
        <v>0</v>
      </c>
      <c r="M38" s="27">
        <f ca="1">SUM(M35:M37)</f>
        <v>0</v>
      </c>
      <c r="N38" s="27">
        <f ca="1">SUM(N35:N37)</f>
        <v>0</v>
      </c>
      <c r="O38" s="27">
        <f ca="1">SUM(O35:O37)</f>
        <v>0</v>
      </c>
      <c r="P38" s="27">
        <f ca="1">SUM(K38:O38)</f>
        <v>6058148.406200001</v>
      </c>
    </row>
    <row r="39" spans="1:18" ht="15.75" thickBot="1">
      <c r="A39" s="5" t="s">
        <v>265</v>
      </c>
      <c r="B39" s="5" t="str" cm="1">
        <f t="array" aca="1" ref="B39" ca="1">INDEX('2.1 Capex Real Dollars'!$L$95:$L$99,$R39)</f>
        <v>Physical Site Security and Public Protection - Mullumbimby</v>
      </c>
      <c r="C39" s="24"/>
      <c r="D39" s="24"/>
      <c r="E39" s="24"/>
      <c r="F39" s="24"/>
      <c r="G39" s="24"/>
      <c r="H39" s="24"/>
      <c r="I39" s="24"/>
      <c r="J39" s="5" t="s">
        <v>261</v>
      </c>
      <c r="K39" s="24" cm="1">
        <f t="array" aca="1" ref="K39" ca="1">_xlfn.IFNA(INDEX('2.1 Capex Real Dollars'!Q$95:Q$99,MATCH($B39,'2.1 Capex Real Dollars'!$L$95:$L$99,0),0),0)</f>
        <v>1487257.8544152684</v>
      </c>
      <c r="L39" s="24" cm="1">
        <f t="array" aca="1" ref="L39" ca="1">_xlfn.IFNA(INDEX('2.1 Capex Real Dollars'!R$95:R$99,MATCH($B39,'2.1 Capex Real Dollars'!$L$95:$L$99,0),0),0)</f>
        <v>703616.2994075364</v>
      </c>
      <c r="M39" s="24" cm="1">
        <f t="array" aca="1" ref="M39" ca="1">_xlfn.IFNA(INDEX('2.1 Capex Real Dollars'!S$95:S$99,MATCH($B39,'2.1 Capex Real Dollars'!$L$95:$L$99,0),0),0)</f>
        <v>0</v>
      </c>
      <c r="N39" s="24" cm="1">
        <f t="array" aca="1" ref="N39" ca="1">_xlfn.IFNA(INDEX('2.1 Capex Real Dollars'!T$95:T$99,MATCH($B39,'2.1 Capex Real Dollars'!$L$95:$L$99,0),0),0)</f>
        <v>0</v>
      </c>
      <c r="O39" s="24" cm="1">
        <f t="array" aca="1" ref="O39" ca="1">_xlfn.IFNA(INDEX('2.1 Capex Real Dollars'!U$95:U$99,MATCH($B39,'2.1 Capex Real Dollars'!$L$95:$L$99,0),0),0)</f>
        <v>0</v>
      </c>
      <c r="P39" s="45">
        <f t="shared" ca="1" si="1"/>
        <v>2190874.1538228048</v>
      </c>
      <c r="R39">
        <v>3</v>
      </c>
    </row>
    <row r="40" spans="1:18" ht="15.75" thickBot="1">
      <c r="A40" s="24"/>
      <c r="B40" s="24"/>
      <c r="C40" s="24"/>
      <c r="D40" s="24"/>
      <c r="E40" s="24"/>
      <c r="F40" s="24"/>
      <c r="G40" s="24"/>
      <c r="H40" s="24"/>
      <c r="I40" s="24"/>
      <c r="J40" s="5" t="s">
        <v>262</v>
      </c>
      <c r="K40" s="24"/>
      <c r="L40" s="24"/>
      <c r="M40" s="24"/>
      <c r="N40" s="24"/>
      <c r="O40" s="24"/>
      <c r="P40" s="45">
        <f t="shared" si="1"/>
        <v>0</v>
      </c>
    </row>
    <row r="41" spans="1:18" ht="15.75" thickBot="1">
      <c r="A41" s="24"/>
      <c r="B41" s="24"/>
      <c r="C41" s="24"/>
      <c r="D41" s="24"/>
      <c r="E41" s="24"/>
      <c r="F41" s="24"/>
      <c r="G41" s="24"/>
      <c r="H41" s="24"/>
      <c r="I41" s="24"/>
      <c r="J41" s="5" t="s">
        <v>263</v>
      </c>
      <c r="K41" s="24"/>
      <c r="L41" s="24"/>
      <c r="M41" s="24"/>
      <c r="N41" s="24"/>
      <c r="O41" s="24"/>
      <c r="P41" s="45">
        <f t="shared" si="1"/>
        <v>0</v>
      </c>
    </row>
    <row r="42" spans="1:18" ht="16.5" thickTop="1" thickBot="1">
      <c r="A42" s="24"/>
      <c r="B42" s="24"/>
      <c r="C42" s="24"/>
      <c r="D42" s="24"/>
      <c r="E42" s="24"/>
      <c r="F42" s="24"/>
      <c r="G42" s="24"/>
      <c r="H42" s="24"/>
      <c r="I42" s="24"/>
      <c r="J42" s="27" t="s">
        <v>16</v>
      </c>
      <c r="K42" s="27">
        <f ca="1">SUM(K39:K41)</f>
        <v>1487257.8544152684</v>
      </c>
      <c r="L42" s="27">
        <f ca="1">SUM(L39:L41)</f>
        <v>703616.2994075364</v>
      </c>
      <c r="M42" s="27">
        <f ca="1">SUM(M39:M41)</f>
        <v>0</v>
      </c>
      <c r="N42" s="27">
        <f ca="1">SUM(N39:N41)</f>
        <v>0</v>
      </c>
      <c r="O42" s="27">
        <f ca="1">SUM(O39:O41)</f>
        <v>0</v>
      </c>
      <c r="P42" s="27">
        <f ca="1">SUM(K42:O42)</f>
        <v>2190874.1538228048</v>
      </c>
    </row>
    <row r="43" spans="1:18" ht="15.75" thickBot="1">
      <c r="A43" s="5" t="s">
        <v>266</v>
      </c>
      <c r="B43" s="43" t="str" cm="1">
        <f t="array" aca="1" ref="B43" ca="1">INDEX('2.1 Capex Real Dollars'!$L$95:$L$99,$R43)</f>
        <v>Reactor cooling enhancements</v>
      </c>
      <c r="C43" s="24"/>
      <c r="D43" s="24"/>
      <c r="E43" s="24"/>
      <c r="F43" s="24"/>
      <c r="G43" s="24"/>
      <c r="H43" s="24"/>
      <c r="I43" s="24"/>
      <c r="J43" s="5" t="s">
        <v>261</v>
      </c>
      <c r="K43" s="24" cm="1">
        <f t="array" aca="1" ref="K43" ca="1">_xlfn.IFNA(INDEX('2.1 Capex Real Dollars'!Q$95:Q$99,MATCH($B43,'2.1 Capex Real Dollars'!$L$95:$L$99,0),0),0)</f>
        <v>356233.68</v>
      </c>
      <c r="L43" s="24" cm="1">
        <f t="array" aca="1" ref="L43" ca="1">_xlfn.IFNA(INDEX('2.1 Capex Real Dollars'!R$95:R$99,MATCH($B43,'2.1 Capex Real Dollars'!$L$95:$L$99,0),0),0)</f>
        <v>853050.00000000012</v>
      </c>
      <c r="M43" s="24" cm="1">
        <f t="array" aca="1" ref="M43" ca="1">_xlfn.IFNA(INDEX('2.1 Capex Real Dollars'!S$95:S$99,MATCH($B43,'2.1 Capex Real Dollars'!$L$95:$L$99,0),0),0)</f>
        <v>853050.00000000012</v>
      </c>
      <c r="N43" s="24" cm="1">
        <f t="array" aca="1" ref="N43" ca="1">_xlfn.IFNA(INDEX('2.1 Capex Real Dollars'!T$95:T$99,MATCH($B43,'2.1 Capex Real Dollars'!$L$95:$L$99,0),0),0)</f>
        <v>0</v>
      </c>
      <c r="O43" s="24" cm="1">
        <f t="array" aca="1" ref="O43" ca="1">_xlfn.IFNA(INDEX('2.1 Capex Real Dollars'!U$95:U$99,MATCH($B43,'2.1 Capex Real Dollars'!$L$95:$L$99,0),0),0)</f>
        <v>0</v>
      </c>
      <c r="P43" s="45">
        <f t="shared" ca="1" si="1"/>
        <v>2062333.6800000002</v>
      </c>
      <c r="R43">
        <v>4</v>
      </c>
    </row>
    <row r="44" spans="1:18" ht="15.75" thickBot="1">
      <c r="A44" s="24"/>
      <c r="B44" s="24"/>
      <c r="C44" s="24"/>
      <c r="D44" s="24"/>
      <c r="E44" s="24"/>
      <c r="F44" s="24"/>
      <c r="G44" s="24"/>
      <c r="H44" s="24"/>
      <c r="I44" s="24"/>
      <c r="J44" s="5" t="s">
        <v>262</v>
      </c>
      <c r="K44" s="24"/>
      <c r="L44" s="24"/>
      <c r="M44" s="24"/>
      <c r="N44" s="24"/>
      <c r="O44" s="24"/>
      <c r="P44" s="45">
        <f t="shared" si="1"/>
        <v>0</v>
      </c>
    </row>
    <row r="45" spans="1:18" ht="15.75" thickBot="1">
      <c r="A45" s="24"/>
      <c r="B45" s="24"/>
      <c r="C45" s="24"/>
      <c r="D45" s="24"/>
      <c r="E45" s="24"/>
      <c r="F45" s="24"/>
      <c r="G45" s="24"/>
      <c r="H45" s="24"/>
      <c r="I45" s="24"/>
      <c r="J45" s="5" t="s">
        <v>263</v>
      </c>
      <c r="K45" s="24"/>
      <c r="L45" s="24"/>
      <c r="M45" s="24"/>
      <c r="N45" s="24"/>
      <c r="O45" s="24"/>
      <c r="P45" s="45">
        <f t="shared" si="1"/>
        <v>0</v>
      </c>
    </row>
    <row r="46" spans="1:18" ht="16.5" thickTop="1" thickBot="1">
      <c r="A46" s="24"/>
      <c r="B46" s="24"/>
      <c r="C46" s="24"/>
      <c r="D46" s="24"/>
      <c r="E46" s="24"/>
      <c r="F46" s="24"/>
      <c r="G46" s="24"/>
      <c r="H46" s="24"/>
      <c r="I46" s="24"/>
      <c r="J46" s="27" t="s">
        <v>16</v>
      </c>
      <c r="K46" s="27">
        <f ca="1">SUM(K43:K45)</f>
        <v>356233.68</v>
      </c>
      <c r="L46" s="27">
        <f ca="1">SUM(L43:L45)</f>
        <v>853050.00000000012</v>
      </c>
      <c r="M46" s="27">
        <f ca="1">SUM(M43:M45)</f>
        <v>853050.00000000012</v>
      </c>
      <c r="N46" s="27">
        <f ca="1">SUM(N43:N45)</f>
        <v>0</v>
      </c>
      <c r="O46" s="27">
        <f ca="1">SUM(O43:O45)</f>
        <v>0</v>
      </c>
      <c r="P46" s="27">
        <f ca="1">SUM(K46:O46)</f>
        <v>2062333.6800000002</v>
      </c>
    </row>
    <row r="47" spans="1:18" ht="15.75" thickBot="1">
      <c r="A47" s="5" t="s">
        <v>267</v>
      </c>
      <c r="B47" s="43" t="str" cm="1">
        <f t="array" aca="1" ref="B47" ca="1">INDEX('2.1 Capex Real Dollars'!$L$95:$L$99,$R47)</f>
        <v/>
      </c>
      <c r="C47" s="24"/>
      <c r="D47" s="24"/>
      <c r="E47" s="24"/>
      <c r="F47" s="24"/>
      <c r="G47" s="24"/>
      <c r="H47" s="24"/>
      <c r="I47" s="24"/>
      <c r="J47" s="5" t="s">
        <v>261</v>
      </c>
      <c r="K47" s="24" t="str" cm="1">
        <f t="array" aca="1" ref="K47" ca="1">_xlfn.IFNA(INDEX('2.1 Capex Real Dollars'!Q$95:Q$99,MATCH($B47,'2.1 Capex Real Dollars'!$L$95:$L$99,0),0),0)</f>
        <v/>
      </c>
      <c r="L47" s="24" t="str" cm="1">
        <f t="array" aca="1" ref="L47" ca="1">_xlfn.IFNA(INDEX('2.1 Capex Real Dollars'!R$95:R$99,MATCH($B47,'2.1 Capex Real Dollars'!$L$95:$L$99,0),0),0)</f>
        <v/>
      </c>
      <c r="M47" s="24" t="str" cm="1">
        <f t="array" aca="1" ref="M47" ca="1">_xlfn.IFNA(INDEX('2.1 Capex Real Dollars'!S$95:S$99,MATCH($B47,'2.1 Capex Real Dollars'!$L$95:$L$99,0),0),0)</f>
        <v/>
      </c>
      <c r="N47" s="24" t="str" cm="1">
        <f t="array" aca="1" ref="N47" ca="1">_xlfn.IFNA(INDEX('2.1 Capex Real Dollars'!T$95:T$99,MATCH($B47,'2.1 Capex Real Dollars'!$L$95:$L$99,0),0),0)</f>
        <v/>
      </c>
      <c r="O47" s="24" t="str" cm="1">
        <f t="array" aca="1" ref="O47" ca="1">_xlfn.IFNA(INDEX('2.1 Capex Real Dollars'!U$95:U$99,MATCH($B47,'2.1 Capex Real Dollars'!$L$95:$L$99,0),0),0)</f>
        <v/>
      </c>
      <c r="P47" s="28">
        <f t="shared" ca="1" si="1"/>
        <v>0</v>
      </c>
      <c r="R47">
        <v>5</v>
      </c>
    </row>
    <row r="48" spans="1:18" ht="15.75" thickBot="1">
      <c r="A48" s="24"/>
      <c r="B48" s="43"/>
      <c r="C48" s="24"/>
      <c r="D48" s="24"/>
      <c r="E48" s="24"/>
      <c r="F48" s="24"/>
      <c r="G48" s="24"/>
      <c r="H48" s="24"/>
      <c r="I48" s="24"/>
      <c r="J48" s="5" t="s">
        <v>262</v>
      </c>
      <c r="K48" s="24"/>
      <c r="L48" s="24"/>
      <c r="M48" s="24"/>
      <c r="N48" s="24"/>
      <c r="O48" s="24"/>
      <c r="P48" s="28">
        <f t="shared" si="1"/>
        <v>0</v>
      </c>
    </row>
    <row r="49" spans="1:16" ht="15.75" thickBot="1">
      <c r="A49" s="24"/>
      <c r="B49" s="24"/>
      <c r="C49" s="24"/>
      <c r="D49" s="24"/>
      <c r="E49" s="24"/>
      <c r="F49" s="24"/>
      <c r="G49" s="24"/>
      <c r="H49" s="24"/>
      <c r="I49" s="24"/>
      <c r="J49" s="5" t="s">
        <v>263</v>
      </c>
      <c r="K49" s="24"/>
      <c r="L49" s="24"/>
      <c r="M49" s="24"/>
      <c r="N49" s="24"/>
      <c r="O49" s="24"/>
      <c r="P49" s="28">
        <f t="shared" si="1"/>
        <v>0</v>
      </c>
    </row>
    <row r="50" spans="1:16" ht="15.75" thickBot="1">
      <c r="A50" s="24"/>
      <c r="B50" s="24"/>
      <c r="C50" s="24"/>
      <c r="D50" s="24"/>
      <c r="E50" s="24"/>
      <c r="F50" s="24"/>
      <c r="G50" s="24"/>
      <c r="H50" s="24"/>
      <c r="I50" s="24"/>
      <c r="J50" s="28" t="s">
        <v>16</v>
      </c>
      <c r="K50" s="28">
        <f ca="1">SUM(K47:K49)</f>
        <v>0</v>
      </c>
      <c r="L50" s="28">
        <f ca="1">SUM(L47:L49)</f>
        <v>0</v>
      </c>
      <c r="M50" s="28">
        <f ca="1">SUM(M47:M49)</f>
        <v>0</v>
      </c>
      <c r="N50" s="28">
        <f ca="1">SUM(N47:N49)</f>
        <v>0</v>
      </c>
      <c r="O50" s="28">
        <f ca="1">SUM(O47:O49)</f>
        <v>0</v>
      </c>
      <c r="P50" s="28">
        <f ca="1">SUM(K50:O50)</f>
        <v>0</v>
      </c>
    </row>
    <row r="53" spans="1:16" ht="19.5">
      <c r="A53" s="2" t="s">
        <v>268</v>
      </c>
      <c r="B53" s="2"/>
      <c r="C53" s="2"/>
      <c r="D53" s="2"/>
      <c r="E53" s="2"/>
      <c r="F53" s="2"/>
      <c r="G53" s="2"/>
      <c r="H53" s="2"/>
      <c r="I53" s="2"/>
      <c r="J53" s="2"/>
      <c r="K53" s="2"/>
      <c r="L53" s="2"/>
      <c r="M53" s="2"/>
      <c r="N53" s="2"/>
      <c r="O53" s="2"/>
      <c r="P53" s="2"/>
    </row>
    <row r="54" spans="1:16" ht="16.5">
      <c r="C54" s="4" t="s">
        <v>221</v>
      </c>
      <c r="D54" s="4"/>
      <c r="E54" s="4"/>
      <c r="F54" s="4"/>
      <c r="G54" s="4"/>
      <c r="H54" s="4"/>
      <c r="I54" s="4"/>
      <c r="J54" s="4"/>
      <c r="K54" s="4"/>
      <c r="L54" s="4"/>
    </row>
    <row r="55" spans="1:16">
      <c r="C55" s="188" t="s">
        <v>222</v>
      </c>
      <c r="D55" s="188"/>
      <c r="E55" s="188"/>
      <c r="F55" s="188" t="s">
        <v>223</v>
      </c>
      <c r="G55" s="188"/>
      <c r="H55" s="188"/>
      <c r="I55" s="188"/>
      <c r="J55" s="188"/>
      <c r="K55" s="188"/>
      <c r="L55" s="188"/>
    </row>
    <row r="56" spans="1:16">
      <c r="C56" s="3" t="s">
        <v>224</v>
      </c>
      <c r="D56" s="3" t="s">
        <v>225</v>
      </c>
      <c r="E56" s="3" t="s">
        <v>226</v>
      </c>
      <c r="F56" s="3" t="s">
        <v>227</v>
      </c>
      <c r="G56" s="3" t="s">
        <v>228</v>
      </c>
      <c r="H56" s="3" t="s">
        <v>229</v>
      </c>
      <c r="I56" s="3" t="s">
        <v>230</v>
      </c>
      <c r="J56" s="3" t="s">
        <v>231</v>
      </c>
      <c r="K56" s="3" t="s">
        <v>232</v>
      </c>
      <c r="L56" s="3" t="s">
        <v>233</v>
      </c>
    </row>
    <row r="57" spans="1:16">
      <c r="A57" t="s">
        <v>269</v>
      </c>
    </row>
    <row r="58" spans="1:16">
      <c r="A58" t="s">
        <v>270</v>
      </c>
      <c r="B58" t="s">
        <v>271</v>
      </c>
    </row>
    <row r="59" spans="1:16">
      <c r="A59" t="s">
        <v>272</v>
      </c>
      <c r="B59" t="s">
        <v>273</v>
      </c>
    </row>
    <row r="60" spans="1:16">
      <c r="A60" t="s">
        <v>274</v>
      </c>
      <c r="B60" t="s">
        <v>275</v>
      </c>
    </row>
    <row r="61" spans="1:16">
      <c r="A61" t="s">
        <v>276</v>
      </c>
      <c r="B61" t="s">
        <v>277</v>
      </c>
    </row>
    <row r="62" spans="1:16" ht="15.75" thickBot="1">
      <c r="A62" s="23" t="s">
        <v>278</v>
      </c>
      <c r="B62" s="23"/>
      <c r="C62" s="23"/>
      <c r="D62" s="23"/>
      <c r="E62" s="23"/>
      <c r="F62" s="23"/>
      <c r="G62" s="23"/>
      <c r="H62" s="23"/>
      <c r="I62" s="23"/>
      <c r="J62" s="23"/>
      <c r="K62" s="23"/>
      <c r="L62" s="23"/>
      <c r="M62" s="23"/>
      <c r="N62" s="23"/>
      <c r="O62" s="23"/>
      <c r="P62" s="23"/>
    </row>
    <row r="63" spans="1:16" ht="15.75" thickBot="1">
      <c r="A63" t="s">
        <v>270</v>
      </c>
      <c r="B63" t="s">
        <v>271</v>
      </c>
      <c r="C63" s="24"/>
      <c r="D63" s="24"/>
      <c r="E63" s="24"/>
      <c r="F63" s="24"/>
      <c r="G63" s="24"/>
      <c r="H63" s="24"/>
      <c r="I63" s="24"/>
      <c r="J63" s="24"/>
      <c r="K63" s="24"/>
      <c r="L63" s="24"/>
    </row>
    <row r="64" spans="1:16" ht="15.75" thickBot="1">
      <c r="A64" t="s">
        <v>272</v>
      </c>
      <c r="B64" t="s">
        <v>273</v>
      </c>
      <c r="C64" s="24"/>
      <c r="D64" s="24"/>
      <c r="E64" s="24"/>
      <c r="F64" s="24"/>
      <c r="G64" s="24"/>
      <c r="H64" s="24"/>
      <c r="I64" s="24"/>
      <c r="J64" s="24"/>
      <c r="K64" s="24"/>
      <c r="L64" s="24"/>
    </row>
    <row r="65" spans="1:18" ht="15.75" thickBot="1">
      <c r="A65" t="s">
        <v>274</v>
      </c>
      <c r="B65" t="s">
        <v>275</v>
      </c>
      <c r="C65" s="24"/>
      <c r="D65" s="24"/>
      <c r="E65" s="24"/>
      <c r="F65" s="24"/>
      <c r="G65" s="24"/>
      <c r="H65" s="24"/>
      <c r="I65" s="24"/>
      <c r="J65" s="24"/>
      <c r="K65" s="24"/>
      <c r="L65" s="24"/>
    </row>
    <row r="66" spans="1:18" ht="15.75" thickBot="1">
      <c r="A66" t="s">
        <v>276</v>
      </c>
      <c r="B66" t="s">
        <v>277</v>
      </c>
      <c r="C66" s="24">
        <f>SUMIF('2.2 Capex Nominal Dollars'!$D$9:$D$27,$R$66,'2.2 Capex Nominal Dollars'!E$9:E$27)*1000</f>
        <v>0</v>
      </c>
      <c r="D66" s="24">
        <f>SUMIF('2.2 Capex Nominal Dollars'!$D$9:$D$27,$R$66,'2.2 Capex Nominal Dollars'!F$9:F$27)*1000</f>
        <v>0</v>
      </c>
      <c r="E66" s="24">
        <f>SUMIF('2.2 Capex Nominal Dollars'!$D$9:$D$27,$R$66,'2.2 Capex Nominal Dollars'!G$9:G$27)*1000</f>
        <v>0</v>
      </c>
      <c r="F66" s="24">
        <f>SUMIF('2.2 Capex Nominal Dollars'!$D$9:$D$27,$R$66,'2.2 Capex Nominal Dollars'!H$9:H$27)*1000</f>
        <v>0</v>
      </c>
      <c r="G66" s="24">
        <f>SUMIF('2.2 Capex Nominal Dollars'!$D$9:$D$27,$R$66,'2.2 Capex Nominal Dollars'!I$9:I$27)*1000</f>
        <v>0</v>
      </c>
      <c r="H66" s="24">
        <f>SUMIF('2.1 Capex Real Dollars'!$O$9:$O$25,R66,'2.1 Capex Real Dollars'!Q$9:Q$25)*1000</f>
        <v>0</v>
      </c>
      <c r="I66" s="24">
        <f>SUMIF('2.1 Capex Real Dollars'!$O$9:$O$25,S66,'2.1 Capex Real Dollars'!R$9:R$25)*1000</f>
        <v>0</v>
      </c>
      <c r="J66" s="24">
        <f>SUMIF('2.1 Capex Real Dollars'!$O$9:$O$25,T66,'2.1 Capex Real Dollars'!S$9:S$25)*1000</f>
        <v>0</v>
      </c>
      <c r="K66" s="24">
        <f>SUMIF('2.1 Capex Real Dollars'!$O$9:$O$25,U66,'2.1 Capex Real Dollars'!T$9:T$25)*1000</f>
        <v>0</v>
      </c>
      <c r="L66" s="24">
        <f>SUMIF('2.1 Capex Real Dollars'!$O$9:$O$25,V66,'2.1 Capex Real Dollars'!U$9:U$25)*1000</f>
        <v>0</v>
      </c>
      <c r="R66" s="5" t="str">
        <f>'1.1 Input'!B23</f>
        <v>Non-network</v>
      </c>
    </row>
    <row r="69" spans="1:18" ht="19.5">
      <c r="A69" s="2" t="s">
        <v>279</v>
      </c>
      <c r="B69" s="2"/>
      <c r="C69" s="2"/>
      <c r="D69" s="2"/>
      <c r="E69" s="2"/>
      <c r="F69" s="2"/>
      <c r="G69" s="2"/>
      <c r="H69" s="2"/>
      <c r="I69" s="2"/>
      <c r="J69" s="2"/>
      <c r="K69" s="2"/>
      <c r="L69" s="2"/>
      <c r="M69" s="2"/>
      <c r="N69" s="2"/>
      <c r="O69" s="2"/>
      <c r="P69" s="2"/>
    </row>
    <row r="70" spans="1:18" ht="16.5">
      <c r="A70" s="4" t="s">
        <v>280</v>
      </c>
      <c r="B70" s="4"/>
      <c r="C70" s="4"/>
      <c r="D70" s="4"/>
      <c r="E70" s="4"/>
      <c r="F70" s="4"/>
    </row>
    <row r="71" spans="1:18">
      <c r="A71" s="3"/>
      <c r="B71" s="3" t="s">
        <v>222</v>
      </c>
      <c r="C71" s="3"/>
      <c r="D71" s="3"/>
      <c r="E71" s="3" t="s">
        <v>223</v>
      </c>
      <c r="F71" s="3"/>
    </row>
    <row r="72" spans="1:18" ht="15.75" thickBot="1">
      <c r="A72" s="23" t="s">
        <v>210</v>
      </c>
      <c r="B72" s="23" t="s">
        <v>224</v>
      </c>
      <c r="C72" s="23" t="s">
        <v>225</v>
      </c>
      <c r="D72" s="23" t="s">
        <v>226</v>
      </c>
      <c r="E72" s="23" t="s">
        <v>227</v>
      </c>
      <c r="F72" s="23" t="s">
        <v>228</v>
      </c>
    </row>
    <row r="73" spans="1:18" ht="15.75" thickBot="1">
      <c r="A73" s="24"/>
      <c r="B73" s="24"/>
      <c r="C73" s="24"/>
      <c r="D73" s="24"/>
      <c r="E73" s="24"/>
      <c r="F73" s="24"/>
    </row>
    <row r="74" spans="1:18" ht="15.75" thickBot="1">
      <c r="A74" s="24"/>
      <c r="B74" s="24"/>
      <c r="C74" s="24"/>
      <c r="D74" s="24"/>
      <c r="E74" s="24"/>
      <c r="F74" s="24"/>
    </row>
    <row r="75" spans="1:18" ht="15.75" thickBot="1">
      <c r="A75" s="24"/>
      <c r="B75" s="24"/>
      <c r="C75" s="24"/>
      <c r="D75" s="24"/>
      <c r="E75" s="24"/>
      <c r="F75" s="24"/>
    </row>
    <row r="76" spans="1:18" ht="15.75" thickBot="1">
      <c r="A76" s="24"/>
      <c r="B76" s="24"/>
      <c r="C76" s="24"/>
      <c r="D76" s="24"/>
      <c r="E76" s="24"/>
      <c r="F76" s="24"/>
    </row>
    <row r="77" spans="1:18" ht="15.75" thickBot="1">
      <c r="A77" s="24"/>
      <c r="B77" s="24"/>
      <c r="C77" s="24"/>
      <c r="D77" s="24"/>
      <c r="E77" s="24"/>
      <c r="F77" s="24"/>
    </row>
    <row r="78" spans="1:18" ht="15.75" thickBot="1">
      <c r="A78" s="24"/>
      <c r="B78" s="24"/>
      <c r="C78" s="24"/>
      <c r="D78" s="24"/>
      <c r="E78" s="24"/>
      <c r="F78" s="24"/>
    </row>
    <row r="79" spans="1:18" ht="15.75" thickBot="1">
      <c r="A79" s="24"/>
      <c r="B79" s="24"/>
      <c r="C79" s="24"/>
      <c r="D79" s="24"/>
      <c r="E79" s="24"/>
      <c r="F79" s="24"/>
    </row>
    <row r="80" spans="1:18" ht="15.75" thickBot="1">
      <c r="A80" s="24"/>
      <c r="B80" s="24"/>
      <c r="C80" s="24"/>
      <c r="D80" s="24"/>
      <c r="E80" s="24"/>
      <c r="F80" s="24"/>
    </row>
    <row r="81" spans="1:6" ht="15.75" thickBot="1">
      <c r="A81" s="24"/>
      <c r="B81" s="24"/>
      <c r="C81" s="24"/>
      <c r="D81" s="24"/>
      <c r="E81" s="24"/>
      <c r="F81" s="24"/>
    </row>
    <row r="82" spans="1:6" ht="15.75" thickBot="1">
      <c r="A82" s="24"/>
      <c r="B82" s="24"/>
      <c r="C82" s="24"/>
      <c r="D82" s="24"/>
      <c r="E82" s="24"/>
      <c r="F82" s="24"/>
    </row>
  </sheetData>
  <mergeCells count="2">
    <mergeCell ref="C55:E55"/>
    <mergeCell ref="F55:L55"/>
  </mergeCells>
  <phoneticPr fontId="3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C00000"/>
  </sheetPr>
  <dimension ref="A1:Q112"/>
  <sheetViews>
    <sheetView workbookViewId="0">
      <selection activeCell="I19" sqref="I19"/>
    </sheetView>
  </sheetViews>
  <sheetFormatPr defaultRowHeight="15"/>
  <cols>
    <col min="1" max="1" width="37.875" customWidth="1"/>
    <col min="2" max="2" width="8.375" customWidth="1"/>
    <col min="3" max="3" width="9.875" customWidth="1"/>
    <col min="4" max="4" width="10" customWidth="1"/>
    <col min="5" max="5" width="9.875" customWidth="1"/>
    <col min="6" max="6" width="9" customWidth="1"/>
    <col min="7" max="7" width="10.375" customWidth="1"/>
    <col min="8" max="8" width="11.375" bestFit="1" customWidth="1"/>
    <col min="9" max="9" width="13.375" customWidth="1"/>
    <col min="10" max="10" width="33" customWidth="1"/>
    <col min="11" max="11" width="11" customWidth="1"/>
    <col min="12" max="14" width="10.375" customWidth="1"/>
    <col min="15" max="16" width="9.375" customWidth="1"/>
    <col min="17" max="17" width="10.625" customWidth="1"/>
  </cols>
  <sheetData>
    <row r="1" spans="1:17" ht="22.5">
      <c r="A1" s="1"/>
      <c r="B1" s="1"/>
      <c r="C1" s="1"/>
      <c r="D1" s="1"/>
      <c r="E1" s="1"/>
      <c r="F1" s="1"/>
      <c r="G1" s="1"/>
      <c r="H1" s="1"/>
      <c r="I1" s="1"/>
      <c r="J1" s="1"/>
      <c r="K1" s="1"/>
      <c r="L1" s="1"/>
      <c r="M1" s="1"/>
      <c r="N1" s="1"/>
      <c r="O1" s="1"/>
      <c r="P1" s="1"/>
      <c r="Q1" s="1"/>
    </row>
    <row r="2" spans="1:17" ht="22.5">
      <c r="A2" s="1"/>
      <c r="B2" s="1"/>
      <c r="C2" s="1"/>
      <c r="D2" s="1"/>
      <c r="E2" s="1"/>
      <c r="F2" s="1"/>
      <c r="G2" s="1"/>
      <c r="H2" s="1"/>
      <c r="I2" s="1"/>
      <c r="J2" s="1"/>
      <c r="K2" s="1"/>
      <c r="L2" s="1"/>
      <c r="M2" s="1"/>
      <c r="N2" s="1"/>
      <c r="O2" s="1"/>
      <c r="P2" s="1"/>
      <c r="Q2" s="1"/>
    </row>
    <row r="3" spans="1:17" ht="22.5">
      <c r="A3" s="1"/>
      <c r="B3" s="1"/>
      <c r="C3" s="1"/>
      <c r="D3" s="1"/>
      <c r="E3" s="1"/>
      <c r="F3" s="1"/>
      <c r="G3" s="1"/>
      <c r="H3" s="1"/>
      <c r="I3" s="1"/>
      <c r="J3" s="1"/>
      <c r="K3" s="1"/>
      <c r="L3" s="1"/>
      <c r="M3" s="1"/>
      <c r="N3" s="1"/>
      <c r="O3" s="1"/>
      <c r="P3" s="1"/>
      <c r="Q3" s="1"/>
    </row>
    <row r="4" spans="1:17" ht="22.5">
      <c r="A4" s="1"/>
      <c r="B4" s="1"/>
      <c r="C4" s="1"/>
      <c r="D4" s="1"/>
      <c r="E4" s="1"/>
      <c r="F4" s="1"/>
      <c r="G4" s="1"/>
      <c r="H4" s="1"/>
      <c r="I4" s="1"/>
      <c r="J4" s="1"/>
      <c r="K4" s="1"/>
      <c r="L4" s="1"/>
      <c r="M4" s="1"/>
      <c r="N4" s="1"/>
      <c r="O4" s="1"/>
      <c r="P4" s="1"/>
      <c r="Q4" s="1"/>
    </row>
    <row r="5" spans="1:17" ht="22.5">
      <c r="A5" s="1" t="e">
        <f ca="1">RIGHT(CELL("filename",A1),LEN(CELL("filename",A1))-FIND("]",CELL("filename",A1)))</f>
        <v>#VALUE!</v>
      </c>
      <c r="B5" s="1"/>
      <c r="C5" s="1"/>
      <c r="D5" s="1"/>
      <c r="E5" s="1"/>
      <c r="F5" s="1"/>
      <c r="G5" s="1"/>
      <c r="H5" s="1"/>
      <c r="I5" s="1"/>
      <c r="J5" s="1"/>
      <c r="K5" s="1"/>
      <c r="L5" s="1"/>
      <c r="M5" s="1"/>
      <c r="N5" s="1"/>
      <c r="O5" s="1"/>
      <c r="P5" s="1"/>
      <c r="Q5" s="1"/>
    </row>
    <row r="6" spans="1:17" ht="19.5">
      <c r="A6" s="2" t="s">
        <v>166</v>
      </c>
      <c r="B6" s="2"/>
      <c r="C6" s="2"/>
      <c r="D6" s="2"/>
      <c r="E6" s="2"/>
      <c r="F6" s="2"/>
      <c r="G6" s="2"/>
      <c r="H6" s="2"/>
      <c r="J6" s="2" t="s">
        <v>166</v>
      </c>
      <c r="K6" s="2"/>
      <c r="L6" s="2"/>
      <c r="M6" s="2"/>
      <c r="N6" s="2"/>
      <c r="O6" s="2"/>
      <c r="P6" s="2"/>
      <c r="Q6" s="2"/>
    </row>
    <row r="7" spans="1:17" ht="16.5">
      <c r="A7" s="4" t="s">
        <v>281</v>
      </c>
      <c r="B7" s="4"/>
      <c r="C7" s="4"/>
      <c r="D7" s="4"/>
      <c r="E7" s="4"/>
      <c r="F7" s="4"/>
      <c r="G7" s="4"/>
      <c r="H7" s="4"/>
      <c r="J7" s="4" t="s">
        <v>282</v>
      </c>
      <c r="K7" s="4"/>
      <c r="L7" s="4"/>
      <c r="M7" s="4"/>
      <c r="N7" s="4"/>
      <c r="O7" s="4"/>
      <c r="P7" s="4"/>
      <c r="Q7" s="4"/>
    </row>
    <row r="8" spans="1:17">
      <c r="A8" s="3" t="s">
        <v>3</v>
      </c>
      <c r="B8" s="3" t="str">
        <f>'1.0 Data'!B8</f>
        <v>$</v>
      </c>
      <c r="C8" s="3" t="str">
        <f>'1.2 AER Forecast'!G8</f>
        <v>2020/21</v>
      </c>
      <c r="D8" s="3" t="str">
        <f>'1.2 AER Forecast'!H8</f>
        <v>2021/22</v>
      </c>
      <c r="E8" s="3" t="str">
        <f>'1.2 AER Forecast'!I8</f>
        <v>2022/23</v>
      </c>
      <c r="F8" s="3" t="str">
        <f>'1.2 AER Forecast'!J8</f>
        <v>2023/24</v>
      </c>
      <c r="G8" s="3" t="str">
        <f>'1.2 AER Forecast'!K8</f>
        <v>2024/25</v>
      </c>
      <c r="H8" s="3" t="s">
        <v>16</v>
      </c>
      <c r="J8" s="3" t="s">
        <v>3</v>
      </c>
      <c r="K8" s="3" t="str">
        <f>B8</f>
        <v>$</v>
      </c>
      <c r="L8" s="3" t="str">
        <f t="shared" ref="L8:Q8" si="0">C8</f>
        <v>2020/21</v>
      </c>
      <c r="M8" s="3" t="str">
        <f t="shared" si="0"/>
        <v>2021/22</v>
      </c>
      <c r="N8" s="3" t="str">
        <f t="shared" si="0"/>
        <v>2022/23</v>
      </c>
      <c r="O8" s="3" t="str">
        <f t="shared" si="0"/>
        <v>2023/24</v>
      </c>
      <c r="P8" s="3" t="str">
        <f t="shared" si="0"/>
        <v>2024/25</v>
      </c>
      <c r="Q8" s="3" t="str">
        <f t="shared" si="0"/>
        <v>Total</v>
      </c>
    </row>
    <row r="9" spans="1:17">
      <c r="A9" s="39"/>
      <c r="B9" s="42"/>
      <c r="C9" s="42"/>
      <c r="D9" s="42"/>
      <c r="E9" s="42"/>
      <c r="F9" s="42"/>
      <c r="G9" s="42"/>
      <c r="H9" s="45"/>
      <c r="J9" s="39"/>
      <c r="K9" s="42"/>
      <c r="L9" s="42"/>
      <c r="M9" s="42"/>
      <c r="N9" s="42"/>
      <c r="O9" s="42"/>
      <c r="P9" s="42"/>
      <c r="Q9" s="45"/>
    </row>
    <row r="10" spans="1:17">
      <c r="A10" s="39"/>
      <c r="B10" s="42"/>
      <c r="C10" s="42"/>
      <c r="D10" s="42"/>
      <c r="E10" s="42"/>
      <c r="F10" s="42"/>
      <c r="G10" s="42"/>
      <c r="H10" s="45"/>
      <c r="J10" s="39"/>
      <c r="K10" s="42"/>
      <c r="L10" s="42"/>
      <c r="M10" s="42"/>
      <c r="N10" s="42"/>
      <c r="O10" s="42"/>
      <c r="P10" s="42"/>
      <c r="Q10" s="45"/>
    </row>
    <row r="11" spans="1:17">
      <c r="A11" s="39"/>
      <c r="B11" s="42"/>
      <c r="C11" s="42"/>
      <c r="D11" s="42"/>
      <c r="E11" s="42"/>
      <c r="F11" s="42"/>
      <c r="G11" s="42"/>
      <c r="H11" s="45"/>
      <c r="J11" s="39"/>
      <c r="K11" s="42"/>
      <c r="L11" s="42"/>
      <c r="M11" s="42"/>
      <c r="N11" s="42"/>
      <c r="O11" s="42"/>
      <c r="P11" s="42"/>
      <c r="Q11" s="45"/>
    </row>
    <row r="12" spans="1:17">
      <c r="A12" s="39"/>
      <c r="B12" s="42"/>
      <c r="C12" s="42"/>
      <c r="D12" s="42"/>
      <c r="E12" s="42"/>
      <c r="F12" s="42"/>
      <c r="G12" s="42"/>
      <c r="H12" s="45"/>
      <c r="J12" s="39"/>
      <c r="K12" s="42"/>
      <c r="L12" s="42"/>
      <c r="M12" s="42"/>
      <c r="N12" s="42"/>
      <c r="O12" s="42"/>
      <c r="P12" s="42"/>
      <c r="Q12" s="45"/>
    </row>
    <row r="13" spans="1:17">
      <c r="A13" s="39"/>
      <c r="B13" s="42"/>
      <c r="C13" s="42"/>
      <c r="D13" s="42"/>
      <c r="E13" s="42"/>
      <c r="F13" s="42"/>
      <c r="G13" s="42"/>
      <c r="H13" s="45"/>
      <c r="J13" s="39"/>
      <c r="K13" s="42"/>
      <c r="L13" s="42"/>
      <c r="M13" s="42"/>
      <c r="N13" s="42"/>
      <c r="O13" s="42"/>
      <c r="P13" s="42"/>
      <c r="Q13" s="45"/>
    </row>
    <row r="14" spans="1:17">
      <c r="A14" s="39"/>
      <c r="B14" s="42"/>
      <c r="C14" s="42"/>
      <c r="D14" s="42"/>
      <c r="E14" s="42"/>
      <c r="F14" s="42"/>
      <c r="G14" s="42"/>
      <c r="H14" s="45"/>
      <c r="J14" s="39"/>
      <c r="K14" s="42"/>
      <c r="L14" s="42"/>
      <c r="M14" s="42"/>
      <c r="N14" s="42"/>
      <c r="O14" s="42"/>
      <c r="P14" s="42"/>
      <c r="Q14" s="45"/>
    </row>
    <row r="15" spans="1:17">
      <c r="A15" s="39"/>
      <c r="B15" s="42"/>
      <c r="C15" s="42"/>
      <c r="D15" s="42"/>
      <c r="E15" s="42"/>
      <c r="F15" s="42"/>
      <c r="G15" s="42"/>
      <c r="H15" s="45"/>
      <c r="J15" s="39"/>
      <c r="K15" s="42"/>
      <c r="L15" s="42"/>
      <c r="M15" s="42"/>
      <c r="N15" s="42"/>
      <c r="O15" s="42"/>
      <c r="P15" s="42"/>
      <c r="Q15" s="45"/>
    </row>
    <row r="16" spans="1:17">
      <c r="A16" s="39"/>
      <c r="B16" s="42"/>
      <c r="C16" s="42"/>
      <c r="D16" s="42"/>
      <c r="E16" s="42"/>
      <c r="F16" s="42"/>
      <c r="G16" s="42"/>
      <c r="H16" s="45"/>
      <c r="J16" s="39"/>
      <c r="K16" s="42"/>
      <c r="L16" s="42"/>
      <c r="M16" s="42"/>
      <c r="N16" s="42"/>
      <c r="O16" s="42"/>
      <c r="P16" s="42"/>
      <c r="Q16" s="45"/>
    </row>
    <row r="17" spans="1:17">
      <c r="A17" s="39"/>
      <c r="B17" s="42"/>
      <c r="C17" s="42"/>
      <c r="D17" s="42"/>
      <c r="E17" s="42"/>
      <c r="F17" s="42"/>
      <c r="G17" s="42"/>
      <c r="H17" s="45"/>
      <c r="J17" s="39"/>
      <c r="K17" s="42"/>
      <c r="L17" s="42"/>
      <c r="M17" s="42"/>
      <c r="N17" s="42"/>
      <c r="O17" s="42"/>
      <c r="P17" s="42"/>
      <c r="Q17" s="45"/>
    </row>
    <row r="18" spans="1:17">
      <c r="A18" s="39"/>
      <c r="B18" s="42"/>
      <c r="C18" s="42"/>
      <c r="D18" s="42"/>
      <c r="E18" s="42"/>
      <c r="F18" s="42"/>
      <c r="G18" s="42"/>
      <c r="H18" s="45"/>
      <c r="J18" s="39"/>
      <c r="K18" s="42"/>
      <c r="L18" s="42"/>
      <c r="M18" s="42"/>
      <c r="N18" s="42"/>
      <c r="O18" s="42"/>
      <c r="P18" s="42"/>
      <c r="Q18" s="45"/>
    </row>
    <row r="19" spans="1:17" ht="15.75" thickBot="1">
      <c r="A19" s="39"/>
      <c r="B19" s="42"/>
      <c r="C19" s="42"/>
      <c r="D19" s="42"/>
      <c r="E19" s="42"/>
      <c r="F19" s="42"/>
      <c r="G19" s="42"/>
      <c r="H19" s="45"/>
      <c r="J19" s="39"/>
      <c r="K19" s="42"/>
      <c r="L19" s="42"/>
      <c r="M19" s="42"/>
      <c r="N19" s="42"/>
      <c r="O19" s="42"/>
      <c r="P19" s="42"/>
      <c r="Q19" s="45"/>
    </row>
    <row r="20" spans="1:17" ht="15.75" thickTop="1">
      <c r="A20" s="27" t="s">
        <v>16</v>
      </c>
      <c r="B20" s="27">
        <f>B19</f>
        <v>0</v>
      </c>
      <c r="C20" s="27">
        <f t="shared" ref="C20:H20" si="1">SUM(C9:C19)</f>
        <v>0</v>
      </c>
      <c r="D20" s="27">
        <f t="shared" si="1"/>
        <v>0</v>
      </c>
      <c r="E20" s="27">
        <f t="shared" si="1"/>
        <v>0</v>
      </c>
      <c r="F20" s="27">
        <f t="shared" si="1"/>
        <v>0</v>
      </c>
      <c r="G20" s="27">
        <f t="shared" si="1"/>
        <v>0</v>
      </c>
      <c r="H20" s="27">
        <f t="shared" si="1"/>
        <v>0</v>
      </c>
      <c r="J20" s="27" t="str">
        <f t="shared" ref="J20" si="2">A20</f>
        <v>Total</v>
      </c>
      <c r="K20" s="27"/>
      <c r="L20" s="27">
        <f t="shared" ref="L20:Q20" si="3">SUM(L9:L19)</f>
        <v>0</v>
      </c>
      <c r="M20" s="27">
        <f t="shared" si="3"/>
        <v>0</v>
      </c>
      <c r="N20" s="27">
        <f t="shared" si="3"/>
        <v>0</v>
      </c>
      <c r="O20" s="27">
        <f t="shared" si="3"/>
        <v>0</v>
      </c>
      <c r="P20" s="27">
        <f t="shared" si="3"/>
        <v>0</v>
      </c>
      <c r="Q20" s="27">
        <f t="shared" si="3"/>
        <v>0</v>
      </c>
    </row>
    <row r="21" spans="1:17">
      <c r="A21" s="19"/>
      <c r="B21" s="19"/>
    </row>
    <row r="22" spans="1:17" ht="19.5">
      <c r="A22" s="4" t="s">
        <v>283</v>
      </c>
      <c r="B22" s="4"/>
      <c r="C22" s="4"/>
      <c r="D22" s="4"/>
      <c r="E22" s="4"/>
      <c r="F22" s="4"/>
      <c r="G22" s="4"/>
      <c r="H22" s="4"/>
      <c r="J22" s="2"/>
      <c r="K22" s="2"/>
      <c r="L22" s="2"/>
      <c r="M22" s="2"/>
      <c r="N22" s="2"/>
      <c r="O22" s="2"/>
      <c r="P22" s="2"/>
      <c r="Q22" s="2"/>
    </row>
    <row r="23" spans="1:17" ht="16.5">
      <c r="A23" s="3" t="s">
        <v>3</v>
      </c>
      <c r="B23" s="3" t="str">
        <f t="shared" ref="B23:H23" si="4">B8</f>
        <v>$</v>
      </c>
      <c r="C23" s="3" t="str">
        <f t="shared" si="4"/>
        <v>2020/21</v>
      </c>
      <c r="D23" s="3" t="str">
        <f t="shared" si="4"/>
        <v>2021/22</v>
      </c>
      <c r="E23" s="3" t="str">
        <f t="shared" si="4"/>
        <v>2022/23</v>
      </c>
      <c r="F23" s="3" t="str">
        <f t="shared" si="4"/>
        <v>2023/24</v>
      </c>
      <c r="G23" s="3" t="str">
        <f t="shared" si="4"/>
        <v>2024/25</v>
      </c>
      <c r="H23" s="3" t="str">
        <f t="shared" si="4"/>
        <v>Total</v>
      </c>
      <c r="J23" s="4"/>
      <c r="K23" s="4"/>
      <c r="L23" s="4"/>
      <c r="M23" s="4"/>
      <c r="N23" s="4"/>
      <c r="O23" s="4"/>
      <c r="P23" s="4"/>
      <c r="Q23" s="4"/>
    </row>
    <row r="24" spans="1:17">
      <c r="A24" s="39" t="str">
        <f>'2.1 Capex Real Dollars'!A9</f>
        <v>Arc Flash Study and Mitigation</v>
      </c>
      <c r="B24" s="42" t="str">
        <f>'2.1 Capex Real Dollars'!B9</f>
        <v>2024/25</v>
      </c>
      <c r="C24" s="42">
        <f>'2.1 Capex Real Dollars'!E9</f>
        <v>0</v>
      </c>
      <c r="D24" s="42">
        <f>'2.1 Capex Real Dollars'!F9</f>
        <v>0</v>
      </c>
      <c r="E24" s="42">
        <f>'2.1 Capex Real Dollars'!G9</f>
        <v>0</v>
      </c>
      <c r="F24" s="42">
        <f>'2.1 Capex Real Dollars'!H9</f>
        <v>0</v>
      </c>
      <c r="G24" s="42">
        <f>'2.1 Capex Real Dollars'!I9</f>
        <v>47868.306851725865</v>
      </c>
      <c r="H24" s="36">
        <f>SUM(C24:G24)</f>
        <v>47868.306851725865</v>
      </c>
      <c r="J24" s="3"/>
      <c r="K24" s="3"/>
      <c r="L24" s="3"/>
      <c r="M24" s="3"/>
      <c r="N24" s="3"/>
      <c r="O24" s="3"/>
      <c r="P24" s="3"/>
      <c r="Q24" s="3"/>
    </row>
    <row r="25" spans="1:17">
      <c r="A25" s="39" t="str">
        <f>'2.1 Capex Real Dollars'!A10</f>
        <v>Asset Integration - AI3 (Placeholder)</v>
      </c>
      <c r="B25" s="42" t="str">
        <f>'2.1 Capex Real Dollars'!B10</f>
        <v>2024/25</v>
      </c>
      <c r="C25" s="42">
        <f>'2.1 Capex Real Dollars'!E10</f>
        <v>0</v>
      </c>
      <c r="D25" s="42">
        <f>'2.1 Capex Real Dollars'!F10</f>
        <v>0</v>
      </c>
      <c r="E25" s="42">
        <f>'2.1 Capex Real Dollars'!G10</f>
        <v>0</v>
      </c>
      <c r="F25" s="42">
        <f>'2.1 Capex Real Dollars'!H10</f>
        <v>39809</v>
      </c>
      <c r="G25" s="42">
        <f>'2.1 Capex Real Dollars'!I10</f>
        <v>66200.849901323003</v>
      </c>
      <c r="H25" s="36">
        <f t="shared" ref="H25:H42" si="5">SUM(C25:G25)</f>
        <v>106009.849901323</v>
      </c>
      <c r="J25" s="39"/>
      <c r="K25" s="42"/>
      <c r="L25" s="44"/>
      <c r="M25" s="44"/>
      <c r="N25" s="44"/>
      <c r="O25" s="44"/>
      <c r="P25" s="44"/>
      <c r="Q25" s="57"/>
    </row>
    <row r="26" spans="1:17" ht="30.75" thickBot="1">
      <c r="A26" s="39" t="str">
        <f>'2.1 Capex Real Dollars'!A11</f>
        <v>Asset Integration - CMMS Uplift (Placeholder)</v>
      </c>
      <c r="B26" s="42" t="str">
        <f>'2.1 Capex Real Dollars'!B11</f>
        <v>2024/25</v>
      </c>
      <c r="C26" s="42">
        <f>'2.1 Capex Real Dollars'!E11</f>
        <v>0</v>
      </c>
      <c r="D26" s="42">
        <f>'2.1 Capex Real Dollars'!F11</f>
        <v>0</v>
      </c>
      <c r="E26" s="42">
        <f>'2.1 Capex Real Dollars'!G11</f>
        <v>0</v>
      </c>
      <c r="F26" s="42">
        <f>'2.1 Capex Real Dollars'!H11</f>
        <v>0</v>
      </c>
      <c r="G26" s="42">
        <f>'2.1 Capex Real Dollars'!I11</f>
        <v>244433.90732796188</v>
      </c>
      <c r="H26" s="36">
        <f t="shared" si="5"/>
        <v>244433.90732796188</v>
      </c>
      <c r="J26" s="39"/>
      <c r="K26" s="42"/>
      <c r="L26" s="44"/>
      <c r="M26" s="44"/>
      <c r="N26" s="44"/>
      <c r="O26" s="44"/>
      <c r="P26" s="44"/>
      <c r="Q26" s="57"/>
    </row>
    <row r="27" spans="1:17" ht="30.75" thickTop="1">
      <c r="A27" s="39" t="str">
        <f>'2.1 Capex Real Dollars'!A12</f>
        <v>Asset Integration - Maintenance Strategy (Placeholder)</v>
      </c>
      <c r="B27" s="42" t="str">
        <f>'2.1 Capex Real Dollars'!B12</f>
        <v>2024/25</v>
      </c>
      <c r="C27" s="42">
        <f>'2.1 Capex Real Dollars'!E12</f>
        <v>0</v>
      </c>
      <c r="D27" s="42">
        <f>'2.1 Capex Real Dollars'!F12</f>
        <v>0</v>
      </c>
      <c r="E27" s="42">
        <f>'2.1 Capex Real Dollars'!G12</f>
        <v>0</v>
      </c>
      <c r="F27" s="42">
        <f>'2.1 Capex Real Dollars'!H12</f>
        <v>0</v>
      </c>
      <c r="G27" s="42">
        <f>'2.1 Capex Real Dollars'!I12</f>
        <v>42164.849014073421</v>
      </c>
      <c r="H27" s="36">
        <f t="shared" si="5"/>
        <v>42164.849014073421</v>
      </c>
      <c r="J27" s="27"/>
      <c r="K27" s="27"/>
      <c r="L27" s="58"/>
      <c r="M27" s="58"/>
      <c r="N27" s="58"/>
      <c r="O27" s="58"/>
      <c r="P27" s="58"/>
      <c r="Q27" s="58"/>
    </row>
    <row r="28" spans="1:17">
      <c r="A28" s="39" t="str">
        <f>'2.1 Capex Real Dollars'!A13</f>
        <v>Barn Door Replacement</v>
      </c>
      <c r="B28" s="42" t="str">
        <f>'2.1 Capex Real Dollars'!B13</f>
        <v>2024/25</v>
      </c>
      <c r="C28" s="42">
        <f>'2.1 Capex Real Dollars'!E13</f>
        <v>0</v>
      </c>
      <c r="D28" s="42">
        <f>'2.1 Capex Real Dollars'!F13</f>
        <v>0</v>
      </c>
      <c r="E28" s="42">
        <f>'2.1 Capex Real Dollars'!G13</f>
        <v>0</v>
      </c>
      <c r="F28" s="42">
        <f>'2.1 Capex Real Dollars'!H13</f>
        <v>0</v>
      </c>
      <c r="G28" s="42">
        <f>'2.1 Capex Real Dollars'!I13</f>
        <v>201657.97354556853</v>
      </c>
      <c r="H28" s="36">
        <f t="shared" si="5"/>
        <v>201657.97354556853</v>
      </c>
      <c r="L28" s="147"/>
    </row>
    <row r="29" spans="1:17">
      <c r="A29" s="39" t="str">
        <f>'2.1 Capex Real Dollars'!A14</f>
        <v>Cable Modification (Transitions) (21-25)</v>
      </c>
      <c r="B29" s="42" t="str">
        <f>'2.1 Capex Real Dollars'!B14</f>
        <v>2024/25</v>
      </c>
      <c r="C29" s="42">
        <f>'2.1 Capex Real Dollars'!E14</f>
        <v>0</v>
      </c>
      <c r="D29" s="42">
        <f>'2.1 Capex Real Dollars'!F14</f>
        <v>0</v>
      </c>
      <c r="E29" s="42">
        <f>'2.1 Capex Real Dollars'!G14</f>
        <v>0</v>
      </c>
      <c r="F29" s="42">
        <f>'2.1 Capex Real Dollars'!H14</f>
        <v>0</v>
      </c>
      <c r="G29" s="42">
        <f>'2.1 Capex Real Dollars'!I14</f>
        <v>407389.84554660309</v>
      </c>
      <c r="H29" s="36">
        <f t="shared" si="5"/>
        <v>407389.84554660309</v>
      </c>
    </row>
    <row r="30" spans="1:17" ht="30">
      <c r="A30" s="39" t="str">
        <f>'2.1 Capex Real Dollars'!A15</f>
        <v xml:space="preserve">Cable Modification Program
</v>
      </c>
      <c r="B30" s="42" t="str">
        <f>'2.1 Capex Real Dollars'!B15</f>
        <v>2024/25</v>
      </c>
      <c r="C30" s="42">
        <f>'2.1 Capex Real Dollars'!E15</f>
        <v>0</v>
      </c>
      <c r="D30" s="42">
        <f>'2.1 Capex Real Dollars'!F15</f>
        <v>56880.509987485973</v>
      </c>
      <c r="E30" s="42">
        <f>'2.1 Capex Real Dollars'!G15</f>
        <v>72040.984177800012</v>
      </c>
      <c r="F30" s="42">
        <f>'2.1 Capex Real Dollars'!H15</f>
        <v>0</v>
      </c>
      <c r="G30" s="42">
        <f>'2.1 Capex Real Dollars'!I15</f>
        <v>0</v>
      </c>
      <c r="H30" s="36">
        <f t="shared" si="5"/>
        <v>128921.49416528599</v>
      </c>
    </row>
    <row r="31" spans="1:17">
      <c r="A31" s="39" t="str">
        <f>'2.1 Capex Real Dollars'!A16</f>
        <v>Cable Route Risk Mitigation (Signs)</v>
      </c>
      <c r="B31" s="42" t="str">
        <f>'2.1 Capex Real Dollars'!B16</f>
        <v>2024/25</v>
      </c>
      <c r="C31" s="42">
        <f>'2.1 Capex Real Dollars'!E16</f>
        <v>50201.85589321352</v>
      </c>
      <c r="D31" s="42">
        <f>'2.1 Capex Real Dollars'!F16</f>
        <v>0</v>
      </c>
      <c r="E31" s="42">
        <f>'2.1 Capex Real Dollars'!G16</f>
        <v>22309.137973760004</v>
      </c>
      <c r="F31" s="42">
        <f>'2.1 Capex Real Dollars'!H16</f>
        <v>0</v>
      </c>
      <c r="G31" s="42">
        <f>'2.1 Capex Real Dollars'!I16</f>
        <v>0</v>
      </c>
      <c r="H31" s="36">
        <f t="shared" si="5"/>
        <v>72510.993866973527</v>
      </c>
    </row>
    <row r="32" spans="1:17">
      <c r="A32" s="39" t="str">
        <f>'2.1 Capex Real Dollars'!A17</f>
        <v xml:space="preserve">Capacitors </v>
      </c>
      <c r="B32" s="42" t="str">
        <f>'2.1 Capex Real Dollars'!B17</f>
        <v>2024/25</v>
      </c>
      <c r="C32" s="42">
        <f>'2.1 Capex Real Dollars'!E17</f>
        <v>161218.38741946433</v>
      </c>
      <c r="D32" s="42">
        <f>'2.1 Capex Real Dollars'!F17</f>
        <v>-4426.3111338072313</v>
      </c>
      <c r="E32" s="42">
        <f>'2.1 Capex Real Dollars'!G17</f>
        <v>0</v>
      </c>
      <c r="F32" s="42">
        <f>'2.1 Capex Real Dollars'!H17</f>
        <v>0</v>
      </c>
      <c r="G32" s="42">
        <f>'2.1 Capex Real Dollars'!I17</f>
        <v>0</v>
      </c>
      <c r="H32" s="36">
        <f t="shared" si="5"/>
        <v>156792.07628565709</v>
      </c>
    </row>
    <row r="33" spans="1:8" ht="30">
      <c r="A33" s="39" t="str">
        <f>'2.1 Capex Real Dollars'!A18</f>
        <v>Cooling tower sound enclosure panel replacement</v>
      </c>
      <c r="B33" s="42" t="str">
        <f>'2.1 Capex Real Dollars'!B18</f>
        <v>2024/25</v>
      </c>
      <c r="C33" s="42">
        <f>'2.1 Capex Real Dollars'!E18</f>
        <v>833309.67669352551</v>
      </c>
      <c r="D33" s="42">
        <f>'2.1 Capex Real Dollars'!F18</f>
        <v>186315.58165094384</v>
      </c>
      <c r="E33" s="42">
        <f>'2.1 Capex Real Dollars'!G18</f>
        <v>222735.64533484005</v>
      </c>
      <c r="F33" s="42">
        <f>'2.1 Capex Real Dollars'!H18</f>
        <v>0</v>
      </c>
      <c r="G33" s="42">
        <f>'2.1 Capex Real Dollars'!I18</f>
        <v>0</v>
      </c>
      <c r="H33" s="36">
        <f t="shared" si="5"/>
        <v>1242360.9036793094</v>
      </c>
    </row>
    <row r="34" spans="1:8" ht="30">
      <c r="A34" s="39" t="str">
        <f>'2.1 Capex Real Dollars'!A19</f>
        <v xml:space="preserve">Cyber Security 
</v>
      </c>
      <c r="B34" s="42" t="str">
        <f>'2.1 Capex Real Dollars'!B19</f>
        <v>2024/25</v>
      </c>
      <c r="C34" s="42">
        <f>'2.1 Capex Real Dollars'!E19</f>
        <v>97637.623196619112</v>
      </c>
      <c r="D34" s="42">
        <f>'2.1 Capex Real Dollars'!F19</f>
        <v>314217.14512118464</v>
      </c>
      <c r="E34" s="42">
        <f>'2.1 Capex Real Dollars'!G19</f>
        <v>0</v>
      </c>
      <c r="F34" s="42">
        <f>'2.1 Capex Real Dollars'!H19</f>
        <v>0</v>
      </c>
      <c r="G34" s="42">
        <f>'2.1 Capex Real Dollars'!I19</f>
        <v>0</v>
      </c>
      <c r="H34" s="36">
        <f t="shared" si="5"/>
        <v>411854.76831780374</v>
      </c>
    </row>
    <row r="35" spans="1:8">
      <c r="A35" s="39" t="str">
        <f>'2.1 Capex Real Dollars'!A20</f>
        <v>Directlink SCADA Upgrade</v>
      </c>
      <c r="B35" s="42" t="str">
        <f>'2.1 Capex Real Dollars'!B20</f>
        <v>2024/25</v>
      </c>
      <c r="C35" s="42">
        <f>'2.1 Capex Real Dollars'!E20</f>
        <v>0</v>
      </c>
      <c r="D35" s="42">
        <f>'2.1 Capex Real Dollars'!F20</f>
        <v>0</v>
      </c>
      <c r="E35" s="42">
        <f>'2.1 Capex Real Dollars'!G20</f>
        <v>306662.94450000004</v>
      </c>
      <c r="F35" s="42">
        <f>'2.1 Capex Real Dollars'!H20</f>
        <v>0</v>
      </c>
      <c r="G35" s="42">
        <f>'2.1 Capex Real Dollars'!I20</f>
        <v>0</v>
      </c>
      <c r="H35" s="36">
        <f t="shared" si="5"/>
        <v>306662.94450000004</v>
      </c>
    </row>
    <row r="36" spans="1:8">
      <c r="A36" s="39" t="str">
        <f>'2.1 Capex Real Dollars'!A21</f>
        <v>DL Mullumbimby Facilities Impr</v>
      </c>
      <c r="B36" s="42" t="str">
        <f>'2.1 Capex Real Dollars'!B21</f>
        <v>2024/25</v>
      </c>
      <c r="C36" s="42">
        <f>'2.1 Capex Real Dollars'!E21</f>
        <v>0</v>
      </c>
      <c r="D36" s="42">
        <f>'2.1 Capex Real Dollars'!F21</f>
        <v>0</v>
      </c>
      <c r="E36" s="42">
        <f>'2.1 Capex Real Dollars'!G21</f>
        <v>126782.27799644001</v>
      </c>
      <c r="F36" s="42">
        <f>'2.1 Capex Real Dollars'!H21</f>
        <v>0</v>
      </c>
      <c r="G36" s="42">
        <f>'2.1 Capex Real Dollars'!I21</f>
        <v>0</v>
      </c>
      <c r="H36" s="36">
        <f t="shared" si="5"/>
        <v>126782.27799644001</v>
      </c>
    </row>
    <row r="37" spans="1:8">
      <c r="A37" s="39" t="str">
        <f>'2.1 Capex Real Dollars'!A22</f>
        <v>DL Satellite/Microwave Upgrade</v>
      </c>
      <c r="B37" s="42" t="str">
        <f>'2.1 Capex Real Dollars'!B22</f>
        <v>2024/25</v>
      </c>
      <c r="C37" s="42">
        <f>'2.1 Capex Real Dollars'!E22</f>
        <v>0</v>
      </c>
      <c r="D37" s="42">
        <f>'2.1 Capex Real Dollars'!F22</f>
        <v>0</v>
      </c>
      <c r="E37" s="42">
        <f>'2.1 Capex Real Dollars'!G22</f>
        <v>94017.229222400012</v>
      </c>
      <c r="F37" s="42">
        <f>'2.1 Capex Real Dollars'!H22</f>
        <v>0</v>
      </c>
      <c r="G37" s="42">
        <f>'2.1 Capex Real Dollars'!I22</f>
        <v>0</v>
      </c>
      <c r="H37" s="36">
        <f t="shared" si="5"/>
        <v>94017.229222400012</v>
      </c>
    </row>
    <row r="38" spans="1:8">
      <c r="A38" s="39" t="str">
        <f>'2.1 Capex Real Dollars'!A23</f>
        <v>DL Sound Encl Panel Rep</v>
      </c>
      <c r="B38" s="42" t="str">
        <f>'2.1 Capex Real Dollars'!B23</f>
        <v>2024/25</v>
      </c>
      <c r="C38" s="42">
        <f>'2.1 Capex Real Dollars'!E23</f>
        <v>0</v>
      </c>
      <c r="D38" s="42">
        <f>'2.1 Capex Real Dollars'!F23</f>
        <v>0</v>
      </c>
      <c r="E38" s="42">
        <f>'2.1 Capex Real Dollars'!G23</f>
        <v>7788.6300434800005</v>
      </c>
      <c r="F38" s="42">
        <f>'2.1 Capex Real Dollars'!H23</f>
        <v>0</v>
      </c>
      <c r="G38" s="42">
        <f>'2.1 Capex Real Dollars'!I23</f>
        <v>0</v>
      </c>
      <c r="H38" s="36">
        <f t="shared" si="5"/>
        <v>7788.6300434800005</v>
      </c>
    </row>
    <row r="39" spans="1:8">
      <c r="A39" s="39" t="str">
        <f>'2.1 Capex Real Dollars'!A24</f>
        <v>DL_Landslip Remediation</v>
      </c>
      <c r="B39" s="42" t="str">
        <f>'2.1 Capex Real Dollars'!B24</f>
        <v>2024/25</v>
      </c>
      <c r="C39" s="42">
        <f>'2.1 Capex Real Dollars'!E24</f>
        <v>0</v>
      </c>
      <c r="D39" s="42">
        <f>'2.1 Capex Real Dollars'!F24</f>
        <v>0</v>
      </c>
      <c r="E39" s="42">
        <f>'2.1 Capex Real Dollars'!G24</f>
        <v>8560.1977828399995</v>
      </c>
      <c r="F39" s="42">
        <f>'2.1 Capex Real Dollars'!H24</f>
        <v>0</v>
      </c>
      <c r="G39" s="42">
        <f>'2.1 Capex Real Dollars'!I24</f>
        <v>0</v>
      </c>
      <c r="H39" s="36">
        <f t="shared" si="5"/>
        <v>8560.1977828399995</v>
      </c>
    </row>
    <row r="40" spans="1:8">
      <c r="A40" s="39" t="str">
        <f>'2.1 Capex Real Dollars'!A25</f>
        <v>DL_Security Audits Site Design</v>
      </c>
      <c r="B40" s="42" t="str">
        <f>'2.1 Capex Real Dollars'!B25</f>
        <v>2024/25</v>
      </c>
      <c r="C40" s="42">
        <f>'2.1 Capex Real Dollars'!E25</f>
        <v>0</v>
      </c>
      <c r="D40" s="42">
        <f>'2.1 Capex Real Dollars'!F25</f>
        <v>0</v>
      </c>
      <c r="E40" s="42">
        <f>'2.1 Capex Real Dollars'!G25</f>
        <v>26607.084460000002</v>
      </c>
      <c r="F40" s="42">
        <f>'2.1 Capex Real Dollars'!H25</f>
        <v>0</v>
      </c>
      <c r="G40" s="42">
        <f>'2.1 Capex Real Dollars'!I25</f>
        <v>0</v>
      </c>
      <c r="H40" s="36">
        <f t="shared" si="5"/>
        <v>26607.084460000002</v>
      </c>
    </row>
    <row r="41" spans="1:8">
      <c r="A41" s="39" t="str">
        <f>'2.1 Capex Real Dollars'!A26</f>
        <v>DL_Specialised testing equipme</v>
      </c>
      <c r="B41" s="42" t="str">
        <f>'2.1 Capex Real Dollars'!B26</f>
        <v>2024/25</v>
      </c>
      <c r="C41" s="42">
        <f>'2.1 Capex Real Dollars'!E26</f>
        <v>0</v>
      </c>
      <c r="D41" s="42">
        <f>'2.1 Capex Real Dollars'!F26</f>
        <v>0</v>
      </c>
      <c r="E41" s="42">
        <f>'2.1 Capex Real Dollars'!G26</f>
        <v>5165.68544888</v>
      </c>
      <c r="F41" s="42">
        <f>'2.1 Capex Real Dollars'!H26</f>
        <v>0</v>
      </c>
      <c r="G41" s="42">
        <f>'2.1 Capex Real Dollars'!I26</f>
        <v>0</v>
      </c>
      <c r="H41" s="36">
        <f t="shared" si="5"/>
        <v>5165.68544888</v>
      </c>
    </row>
    <row r="42" spans="1:8" ht="15.75" thickBot="1">
      <c r="A42" s="39" t="str">
        <f>'2.1 Capex Real Dollars'!A27</f>
        <v>Dlink UPS system upgrade work</v>
      </c>
      <c r="B42" s="42" t="str">
        <f>'2.1 Capex Real Dollars'!B27</f>
        <v>2024/25</v>
      </c>
      <c r="C42" s="42">
        <f>'2.1 Capex Real Dollars'!E27</f>
        <v>27627.12099608437</v>
      </c>
      <c r="D42" s="42">
        <f>'2.1 Capex Real Dollars'!F27</f>
        <v>156338.00772638881</v>
      </c>
      <c r="E42" s="42">
        <f>'2.1 Capex Real Dollars'!G27</f>
        <v>247816.3590958</v>
      </c>
      <c r="F42" s="42">
        <f>'2.1 Capex Real Dollars'!H27</f>
        <v>0</v>
      </c>
      <c r="G42" s="42">
        <f>'2.1 Capex Real Dollars'!I27</f>
        <v>0</v>
      </c>
      <c r="H42" s="36">
        <f t="shared" si="5"/>
        <v>431781.48781827313</v>
      </c>
    </row>
    <row r="43" spans="1:8" ht="15.75" thickTop="1">
      <c r="A43" s="22" t="s">
        <v>16</v>
      </c>
      <c r="B43" s="22"/>
      <c r="C43" s="35">
        <f t="shared" ref="C43:H43" si="6">SUM(C24:C42)</f>
        <v>1169994.6641989069</v>
      </c>
      <c r="D43" s="35">
        <f t="shared" si="6"/>
        <v>709324.93335219612</v>
      </c>
      <c r="E43" s="35">
        <f t="shared" si="6"/>
        <v>1140486.1760362401</v>
      </c>
      <c r="F43" s="35">
        <f t="shared" si="6"/>
        <v>39809</v>
      </c>
      <c r="G43" s="35">
        <f t="shared" si="6"/>
        <v>1009715.7321872559</v>
      </c>
      <c r="H43" s="35">
        <f t="shared" si="6"/>
        <v>4069330.505774599</v>
      </c>
    </row>
    <row r="45" spans="1:8" ht="16.5">
      <c r="A45" s="4" t="s">
        <v>284</v>
      </c>
      <c r="B45" s="4"/>
      <c r="C45" s="4"/>
      <c r="D45" s="4"/>
      <c r="E45" s="4"/>
      <c r="F45" s="4"/>
      <c r="G45" s="4"/>
      <c r="H45" s="4"/>
    </row>
    <row r="46" spans="1:8">
      <c r="A46" s="3" t="s">
        <v>3</v>
      </c>
      <c r="B46" s="3" t="str">
        <f t="shared" ref="B46:H46" si="7">B23</f>
        <v>$</v>
      </c>
      <c r="C46" s="3" t="str">
        <f t="shared" si="7"/>
        <v>2020/21</v>
      </c>
      <c r="D46" s="3" t="str">
        <f t="shared" si="7"/>
        <v>2021/22</v>
      </c>
      <c r="E46" s="3" t="str">
        <f t="shared" si="7"/>
        <v>2022/23</v>
      </c>
      <c r="F46" s="3" t="str">
        <f t="shared" si="7"/>
        <v>2023/24</v>
      </c>
      <c r="G46" s="3" t="str">
        <f t="shared" si="7"/>
        <v>2024/25</v>
      </c>
      <c r="H46" s="3" t="str">
        <f t="shared" si="7"/>
        <v>Total</v>
      </c>
    </row>
    <row r="47" spans="1:8">
      <c r="A47" s="39">
        <f t="shared" ref="A47:B58" si="8">A9</f>
        <v>0</v>
      </c>
      <c r="B47" s="42">
        <f t="shared" si="8"/>
        <v>0</v>
      </c>
      <c r="C47" s="42">
        <f t="shared" ref="C47:G57" si="9">SUMIF($A$24:$A$42,$A47,C$24:C$42)</f>
        <v>0</v>
      </c>
      <c r="D47" s="42">
        <f t="shared" si="9"/>
        <v>0</v>
      </c>
      <c r="E47" s="42">
        <f t="shared" si="9"/>
        <v>0</v>
      </c>
      <c r="F47" s="42">
        <f t="shared" si="9"/>
        <v>0</v>
      </c>
      <c r="G47" s="42">
        <f t="shared" si="9"/>
        <v>0</v>
      </c>
      <c r="H47" s="36">
        <f>SUM(C47:G47)</f>
        <v>0</v>
      </c>
    </row>
    <row r="48" spans="1:8">
      <c r="A48" s="39">
        <f t="shared" si="8"/>
        <v>0</v>
      </c>
      <c r="B48" s="42">
        <f t="shared" si="8"/>
        <v>0</v>
      </c>
      <c r="C48" s="42">
        <f t="shared" si="9"/>
        <v>0</v>
      </c>
      <c r="D48" s="42">
        <f t="shared" si="9"/>
        <v>0</v>
      </c>
      <c r="E48" s="42">
        <f t="shared" si="9"/>
        <v>0</v>
      </c>
      <c r="F48" s="42">
        <f t="shared" si="9"/>
        <v>0</v>
      </c>
      <c r="G48" s="42">
        <f t="shared" si="9"/>
        <v>0</v>
      </c>
      <c r="H48" s="36">
        <f t="shared" ref="H48:H57" si="10">SUM(C48:G48)</f>
        <v>0</v>
      </c>
    </row>
    <row r="49" spans="1:8">
      <c r="A49" s="39">
        <f t="shared" si="8"/>
        <v>0</v>
      </c>
      <c r="B49" s="42">
        <f t="shared" si="8"/>
        <v>0</v>
      </c>
      <c r="C49" s="42">
        <f t="shared" si="9"/>
        <v>0</v>
      </c>
      <c r="D49" s="42">
        <f t="shared" si="9"/>
        <v>0</v>
      </c>
      <c r="E49" s="42">
        <f t="shared" si="9"/>
        <v>0</v>
      </c>
      <c r="F49" s="42">
        <f t="shared" si="9"/>
        <v>0</v>
      </c>
      <c r="G49" s="42">
        <f t="shared" si="9"/>
        <v>0</v>
      </c>
      <c r="H49" s="36">
        <f t="shared" si="10"/>
        <v>0</v>
      </c>
    </row>
    <row r="50" spans="1:8">
      <c r="A50" s="39">
        <f t="shared" si="8"/>
        <v>0</v>
      </c>
      <c r="B50" s="42">
        <f t="shared" si="8"/>
        <v>0</v>
      </c>
      <c r="C50" s="42">
        <f t="shared" si="9"/>
        <v>0</v>
      </c>
      <c r="D50" s="42">
        <f t="shared" si="9"/>
        <v>0</v>
      </c>
      <c r="E50" s="42">
        <f t="shared" si="9"/>
        <v>0</v>
      </c>
      <c r="F50" s="42">
        <f t="shared" si="9"/>
        <v>0</v>
      </c>
      <c r="G50" s="42">
        <f t="shared" si="9"/>
        <v>0</v>
      </c>
      <c r="H50" s="36">
        <f t="shared" si="10"/>
        <v>0</v>
      </c>
    </row>
    <row r="51" spans="1:8">
      <c r="A51" s="39">
        <f t="shared" si="8"/>
        <v>0</v>
      </c>
      <c r="B51" s="42">
        <f t="shared" si="8"/>
        <v>0</v>
      </c>
      <c r="C51" s="42">
        <f t="shared" si="9"/>
        <v>0</v>
      </c>
      <c r="D51" s="42">
        <f t="shared" si="9"/>
        <v>0</v>
      </c>
      <c r="E51" s="42">
        <f t="shared" si="9"/>
        <v>0</v>
      </c>
      <c r="F51" s="42">
        <f t="shared" si="9"/>
        <v>0</v>
      </c>
      <c r="G51" s="42">
        <f t="shared" si="9"/>
        <v>0</v>
      </c>
      <c r="H51" s="36">
        <f t="shared" si="10"/>
        <v>0</v>
      </c>
    </row>
    <row r="52" spans="1:8">
      <c r="A52" s="39">
        <f t="shared" si="8"/>
        <v>0</v>
      </c>
      <c r="B52" s="42">
        <f t="shared" si="8"/>
        <v>0</v>
      </c>
      <c r="C52" s="42">
        <f t="shared" si="9"/>
        <v>0</v>
      </c>
      <c r="D52" s="42">
        <f t="shared" si="9"/>
        <v>0</v>
      </c>
      <c r="E52" s="42">
        <f t="shared" si="9"/>
        <v>0</v>
      </c>
      <c r="F52" s="42">
        <f t="shared" si="9"/>
        <v>0</v>
      </c>
      <c r="G52" s="42">
        <f t="shared" si="9"/>
        <v>0</v>
      </c>
      <c r="H52" s="36">
        <f t="shared" si="10"/>
        <v>0</v>
      </c>
    </row>
    <row r="53" spans="1:8">
      <c r="A53" s="39">
        <f t="shared" si="8"/>
        <v>0</v>
      </c>
      <c r="B53" s="42">
        <f t="shared" si="8"/>
        <v>0</v>
      </c>
      <c r="C53" s="42">
        <f t="shared" si="9"/>
        <v>0</v>
      </c>
      <c r="D53" s="42">
        <f t="shared" si="9"/>
        <v>0</v>
      </c>
      <c r="E53" s="42">
        <f t="shared" si="9"/>
        <v>0</v>
      </c>
      <c r="F53" s="42">
        <f t="shared" si="9"/>
        <v>0</v>
      </c>
      <c r="G53" s="42">
        <f t="shared" si="9"/>
        <v>0</v>
      </c>
      <c r="H53" s="36">
        <f t="shared" si="10"/>
        <v>0</v>
      </c>
    </row>
    <row r="54" spans="1:8">
      <c r="A54" s="39">
        <f t="shared" si="8"/>
        <v>0</v>
      </c>
      <c r="B54" s="42">
        <f t="shared" si="8"/>
        <v>0</v>
      </c>
      <c r="C54" s="42">
        <f t="shared" si="9"/>
        <v>0</v>
      </c>
      <c r="D54" s="42">
        <f t="shared" si="9"/>
        <v>0</v>
      </c>
      <c r="E54" s="42">
        <f t="shared" si="9"/>
        <v>0</v>
      </c>
      <c r="F54" s="42">
        <f t="shared" si="9"/>
        <v>0</v>
      </c>
      <c r="G54" s="42">
        <f t="shared" si="9"/>
        <v>0</v>
      </c>
      <c r="H54" s="36">
        <f t="shared" si="10"/>
        <v>0</v>
      </c>
    </row>
    <row r="55" spans="1:8">
      <c r="A55" s="39">
        <f t="shared" si="8"/>
        <v>0</v>
      </c>
      <c r="B55" s="42">
        <f t="shared" si="8"/>
        <v>0</v>
      </c>
      <c r="C55" s="42">
        <f t="shared" si="9"/>
        <v>0</v>
      </c>
      <c r="D55" s="42">
        <f t="shared" si="9"/>
        <v>0</v>
      </c>
      <c r="E55" s="42">
        <f t="shared" si="9"/>
        <v>0</v>
      </c>
      <c r="F55" s="42">
        <f t="shared" si="9"/>
        <v>0</v>
      </c>
      <c r="G55" s="42">
        <f t="shared" si="9"/>
        <v>0</v>
      </c>
      <c r="H55" s="36">
        <f t="shared" si="10"/>
        <v>0</v>
      </c>
    </row>
    <row r="56" spans="1:8">
      <c r="A56" s="39">
        <f t="shared" si="8"/>
        <v>0</v>
      </c>
      <c r="B56" s="42">
        <f t="shared" si="8"/>
        <v>0</v>
      </c>
      <c r="C56" s="42">
        <f t="shared" si="9"/>
        <v>0</v>
      </c>
      <c r="D56" s="42">
        <f t="shared" si="9"/>
        <v>0</v>
      </c>
      <c r="E56" s="42">
        <f t="shared" si="9"/>
        <v>0</v>
      </c>
      <c r="F56" s="42">
        <f t="shared" si="9"/>
        <v>0</v>
      </c>
      <c r="G56" s="42">
        <f t="shared" si="9"/>
        <v>0</v>
      </c>
      <c r="H56" s="36">
        <f t="shared" si="10"/>
        <v>0</v>
      </c>
    </row>
    <row r="57" spans="1:8" ht="15.75" thickBot="1">
      <c r="A57" s="39">
        <f t="shared" si="8"/>
        <v>0</v>
      </c>
      <c r="B57" s="42">
        <f t="shared" si="8"/>
        <v>0</v>
      </c>
      <c r="C57" s="42">
        <f t="shared" si="9"/>
        <v>0</v>
      </c>
      <c r="D57" s="42">
        <f t="shared" si="9"/>
        <v>0</v>
      </c>
      <c r="E57" s="42">
        <f t="shared" si="9"/>
        <v>0</v>
      </c>
      <c r="F57" s="42">
        <f t="shared" si="9"/>
        <v>0</v>
      </c>
      <c r="G57" s="42">
        <f t="shared" si="9"/>
        <v>0</v>
      </c>
      <c r="H57" s="36">
        <f t="shared" si="10"/>
        <v>0</v>
      </c>
    </row>
    <row r="58" spans="1:8" ht="15.75" thickTop="1">
      <c r="A58" s="22" t="str">
        <f t="shared" si="8"/>
        <v>Total</v>
      </c>
      <c r="B58" s="22">
        <f t="shared" si="8"/>
        <v>0</v>
      </c>
      <c r="C58" s="35">
        <f t="shared" ref="C58:H58" si="11">SUM(C47:C57)</f>
        <v>0</v>
      </c>
      <c r="D58" s="35">
        <f t="shared" si="11"/>
        <v>0</v>
      </c>
      <c r="E58" s="35">
        <f t="shared" si="11"/>
        <v>0</v>
      </c>
      <c r="F58" s="35">
        <f t="shared" si="11"/>
        <v>0</v>
      </c>
      <c r="G58" s="35">
        <f t="shared" si="11"/>
        <v>0</v>
      </c>
      <c r="H58" s="35">
        <f t="shared" si="11"/>
        <v>0</v>
      </c>
    </row>
    <row r="59" spans="1:8">
      <c r="A59" s="19"/>
      <c r="B59" s="19"/>
    </row>
    <row r="60" spans="1:8">
      <c r="A60" s="19">
        <v>0</v>
      </c>
      <c r="B60" s="19"/>
    </row>
    <row r="61" spans="1:8" ht="16.5">
      <c r="A61" s="4" t="s">
        <v>285</v>
      </c>
      <c r="B61" s="4"/>
      <c r="C61" s="4"/>
      <c r="D61" s="4"/>
      <c r="E61" s="4"/>
      <c r="F61" s="4"/>
      <c r="G61" s="4"/>
      <c r="H61" s="4"/>
    </row>
    <row r="62" spans="1:8">
      <c r="A62" s="3" t="str">
        <f t="shared" ref="A62:H62" si="12">A46</f>
        <v>Project</v>
      </c>
      <c r="B62" s="3" t="str">
        <f t="shared" si="12"/>
        <v>$</v>
      </c>
      <c r="C62" s="3" t="str">
        <f t="shared" si="12"/>
        <v>2020/21</v>
      </c>
      <c r="D62" s="3" t="str">
        <f t="shared" si="12"/>
        <v>2021/22</v>
      </c>
      <c r="E62" s="3" t="str">
        <f t="shared" si="12"/>
        <v>2022/23</v>
      </c>
      <c r="F62" s="3" t="str">
        <f t="shared" si="12"/>
        <v>2023/24</v>
      </c>
      <c r="G62" s="3" t="str">
        <f t="shared" si="12"/>
        <v>2024/25</v>
      </c>
      <c r="H62" s="3" t="str">
        <f t="shared" si="12"/>
        <v>Total</v>
      </c>
    </row>
    <row r="63" spans="1:8">
      <c r="A63" s="39" t="str" cm="1">
        <f t="array" ref="A63">_xlfn.IFNA(INDEX($A$23:$A$43,MATCH(0,COUNTIF($A$46:A62,$A$23:$A$43),0)),"")</f>
        <v>Arc Flash Study and Mitigation</v>
      </c>
      <c r="B63" s="42">
        <f t="shared" ref="B63:B78" si="13">IF(A63="","",$B$58)</f>
        <v>0</v>
      </c>
      <c r="C63" s="42" cm="1">
        <f t="array" ref="C63">INDEX(C$24:C$42,MATCH($A63,$A$24:$A$42,0),0)</f>
        <v>0</v>
      </c>
      <c r="D63" s="42" cm="1">
        <f t="array" ref="D63">INDEX(D$24:D$42,MATCH($A63,$A$24:$A$42,0),0)</f>
        <v>0</v>
      </c>
      <c r="E63" s="42" cm="1">
        <f t="array" ref="E63">INDEX(E$24:E$42,MATCH($A63,$A$24:$A$42,0),0)</f>
        <v>0</v>
      </c>
      <c r="F63" s="42" cm="1">
        <f t="array" ref="F63">INDEX(F$24:F$42,MATCH($A63,$A$24:$A$42,0),0)</f>
        <v>0</v>
      </c>
      <c r="G63" s="42" cm="1">
        <f t="array" ref="G63">INDEX(G$24:G$42,MATCH($A63,$A$24:$A$42,0),0)</f>
        <v>47868.306851725865</v>
      </c>
      <c r="H63" s="36">
        <f>SUM(C63:G63)</f>
        <v>47868.306851725865</v>
      </c>
    </row>
    <row r="64" spans="1:8">
      <c r="A64" s="39" t="str" cm="1">
        <f t="array" ref="A64">_xlfn.IFNA(INDEX($A$23:$A$43,MATCH(0,COUNTIF($A$46:A63,$A$23:$A$43),0)),"")</f>
        <v>Asset Integration - AI3 (Placeholder)</v>
      </c>
      <c r="B64" s="42">
        <f t="shared" si="13"/>
        <v>0</v>
      </c>
      <c r="C64" s="42" cm="1">
        <f t="array" ref="C64">INDEX(C$24:C$42,MATCH($A64,$A$24:$A$42,0),0)</f>
        <v>0</v>
      </c>
      <c r="D64" s="42" cm="1">
        <f t="array" ref="D64">INDEX(D$24:D$42,MATCH($A64,$A$24:$A$42,0),0)</f>
        <v>0</v>
      </c>
      <c r="E64" s="42" cm="1">
        <f t="array" ref="E64">INDEX(E$24:E$42,MATCH($A64,$A$24:$A$42,0),0)</f>
        <v>0</v>
      </c>
      <c r="F64" s="42" cm="1">
        <f t="array" ref="F64">INDEX(F$24:F$42,MATCH($A64,$A$24:$A$42,0),0)</f>
        <v>39809</v>
      </c>
      <c r="G64" s="42" cm="1">
        <f t="array" ref="G64">INDEX(G$24:G$42,MATCH($A64,$A$24:$A$42,0),0)</f>
        <v>66200.849901323003</v>
      </c>
      <c r="H64" s="36">
        <f t="shared" ref="H64:H73" si="14">SUM(C64:G64)</f>
        <v>106009.849901323</v>
      </c>
    </row>
    <row r="65" spans="1:8" ht="30">
      <c r="A65" s="39" t="str" cm="1">
        <f t="array" ref="A65">_xlfn.IFNA(INDEX($A$23:$A$43,MATCH(0,COUNTIF($A$46:A64,$A$23:$A$43),0)),"")</f>
        <v>Asset Integration - CMMS Uplift (Placeholder)</v>
      </c>
      <c r="B65" s="42">
        <f t="shared" si="13"/>
        <v>0</v>
      </c>
      <c r="C65" s="42" cm="1">
        <f t="array" ref="C65">INDEX(C$24:C$42,MATCH($A65,$A$24:$A$42,0),0)</f>
        <v>0</v>
      </c>
      <c r="D65" s="42" cm="1">
        <f t="array" ref="D65">INDEX(D$24:D$42,MATCH($A65,$A$24:$A$42,0),0)</f>
        <v>0</v>
      </c>
      <c r="E65" s="42" cm="1">
        <f t="array" ref="E65">INDEX(E$24:E$42,MATCH($A65,$A$24:$A$42,0),0)</f>
        <v>0</v>
      </c>
      <c r="F65" s="42" cm="1">
        <f t="array" ref="F65">INDEX(F$24:F$42,MATCH($A65,$A$24:$A$42,0),0)</f>
        <v>0</v>
      </c>
      <c r="G65" s="42" cm="1">
        <f t="array" ref="G65">INDEX(G$24:G$42,MATCH($A65,$A$24:$A$42,0),0)</f>
        <v>244433.90732796188</v>
      </c>
      <c r="H65" s="36">
        <f t="shared" si="14"/>
        <v>244433.90732796188</v>
      </c>
    </row>
    <row r="66" spans="1:8" ht="30">
      <c r="A66" s="39" t="str" cm="1">
        <f t="array" ref="A66">_xlfn.IFNA(INDEX($A$23:$A$43,MATCH(0,COUNTIF($A$46:A65,$A$23:$A$43),0)),"")</f>
        <v>Asset Integration - Maintenance Strategy (Placeholder)</v>
      </c>
      <c r="B66" s="42">
        <f t="shared" si="13"/>
        <v>0</v>
      </c>
      <c r="C66" s="42" cm="1">
        <f t="array" ref="C66">INDEX(C$24:C$42,MATCH($A66,$A$24:$A$42,0),0)</f>
        <v>0</v>
      </c>
      <c r="D66" s="42" cm="1">
        <f t="array" ref="D66">INDEX(D$24:D$42,MATCH($A66,$A$24:$A$42,0),0)</f>
        <v>0</v>
      </c>
      <c r="E66" s="42" cm="1">
        <f t="array" ref="E66">INDEX(E$24:E$42,MATCH($A66,$A$24:$A$42,0),0)</f>
        <v>0</v>
      </c>
      <c r="F66" s="42" cm="1">
        <f t="array" ref="F66">INDEX(F$24:F$42,MATCH($A66,$A$24:$A$42,0),0)</f>
        <v>0</v>
      </c>
      <c r="G66" s="42" cm="1">
        <f t="array" ref="G66">INDEX(G$24:G$42,MATCH($A66,$A$24:$A$42,0),0)</f>
        <v>42164.849014073421</v>
      </c>
      <c r="H66" s="36">
        <f t="shared" si="14"/>
        <v>42164.849014073421</v>
      </c>
    </row>
    <row r="67" spans="1:8">
      <c r="A67" s="39" t="str" cm="1">
        <f t="array" ref="A67">_xlfn.IFNA(INDEX($A$23:$A$43,MATCH(0,COUNTIF($A$46:A66,$A$23:$A$43),0)),"")</f>
        <v>Barn Door Replacement</v>
      </c>
      <c r="B67" s="42">
        <f t="shared" si="13"/>
        <v>0</v>
      </c>
      <c r="C67" s="42" cm="1">
        <f t="array" ref="C67">INDEX(C$24:C$42,MATCH($A67,$A$24:$A$42,0),0)</f>
        <v>0</v>
      </c>
      <c r="D67" s="42" cm="1">
        <f t="array" ref="D67">INDEX(D$24:D$42,MATCH($A67,$A$24:$A$42,0),0)</f>
        <v>0</v>
      </c>
      <c r="E67" s="42" cm="1">
        <f t="array" ref="E67">INDEX(E$24:E$42,MATCH($A67,$A$24:$A$42,0),0)</f>
        <v>0</v>
      </c>
      <c r="F67" s="42" cm="1">
        <f t="array" ref="F67">INDEX(F$24:F$42,MATCH($A67,$A$24:$A$42,0),0)</f>
        <v>0</v>
      </c>
      <c r="G67" s="42" cm="1">
        <f t="array" ref="G67">INDEX(G$24:G$42,MATCH($A67,$A$24:$A$42,0),0)</f>
        <v>201657.97354556853</v>
      </c>
      <c r="H67" s="36">
        <f t="shared" si="14"/>
        <v>201657.97354556853</v>
      </c>
    </row>
    <row r="68" spans="1:8">
      <c r="A68" s="39" t="str" cm="1">
        <f t="array" ref="A68">_xlfn.IFNA(INDEX($A$23:$A$43,MATCH(0,COUNTIF($A$46:A67,$A$23:$A$43),0)),"")</f>
        <v>Cable Modification (Transitions) (21-25)</v>
      </c>
      <c r="B68" s="42">
        <f t="shared" si="13"/>
        <v>0</v>
      </c>
      <c r="C68" s="42" cm="1">
        <f t="array" ref="C68">INDEX(C$24:C$42,MATCH($A68,$A$24:$A$42,0),0)</f>
        <v>0</v>
      </c>
      <c r="D68" s="42" cm="1">
        <f t="array" ref="D68">INDEX(D$24:D$42,MATCH($A68,$A$24:$A$42,0),0)</f>
        <v>0</v>
      </c>
      <c r="E68" s="42" cm="1">
        <f t="array" ref="E68">INDEX(E$24:E$42,MATCH($A68,$A$24:$A$42,0),0)</f>
        <v>0</v>
      </c>
      <c r="F68" s="42" cm="1">
        <f t="array" ref="F68">INDEX(F$24:F$42,MATCH($A68,$A$24:$A$42,0),0)</f>
        <v>0</v>
      </c>
      <c r="G68" s="42" cm="1">
        <f t="array" ref="G68">INDEX(G$24:G$42,MATCH($A68,$A$24:$A$42,0),0)</f>
        <v>407389.84554660309</v>
      </c>
      <c r="H68" s="36">
        <f t="shared" si="14"/>
        <v>407389.84554660309</v>
      </c>
    </row>
    <row r="69" spans="1:8" ht="30">
      <c r="A69" s="39" t="str" cm="1">
        <f t="array" ref="A69">_xlfn.IFNA(INDEX($A$23:$A$43,MATCH(0,COUNTIF($A$46:A68,$A$23:$A$43),0)),"")</f>
        <v xml:space="preserve">Cable Modification Program
</v>
      </c>
      <c r="B69" s="42">
        <f t="shared" si="13"/>
        <v>0</v>
      </c>
      <c r="C69" s="42" cm="1">
        <f t="array" ref="C69">INDEX(C$24:C$42,MATCH($A69,$A$24:$A$42,0),0)</f>
        <v>0</v>
      </c>
      <c r="D69" s="42" cm="1">
        <f t="array" ref="D69">INDEX(D$24:D$42,MATCH($A69,$A$24:$A$42,0),0)</f>
        <v>56880.509987485973</v>
      </c>
      <c r="E69" s="42" cm="1">
        <f t="array" ref="E69">INDEX(E$24:E$42,MATCH($A69,$A$24:$A$42,0),0)</f>
        <v>72040.984177800012</v>
      </c>
      <c r="F69" s="42" cm="1">
        <f t="array" ref="F69">INDEX(F$24:F$42,MATCH($A69,$A$24:$A$42,0),0)</f>
        <v>0</v>
      </c>
      <c r="G69" s="42" cm="1">
        <f t="array" ref="G69">INDEX(G$24:G$42,MATCH($A69,$A$24:$A$42,0),0)</f>
        <v>0</v>
      </c>
      <c r="H69" s="36">
        <f t="shared" si="14"/>
        <v>128921.49416528599</v>
      </c>
    </row>
    <row r="70" spans="1:8">
      <c r="A70" s="39" t="str" cm="1">
        <f t="array" ref="A70">_xlfn.IFNA(INDEX($A$23:$A$43,MATCH(0,COUNTIF($A$46:A69,$A$23:$A$43),0)),"")</f>
        <v>Cable Route Risk Mitigation (Signs)</v>
      </c>
      <c r="B70" s="42">
        <f t="shared" si="13"/>
        <v>0</v>
      </c>
      <c r="C70" s="42" cm="1">
        <f t="array" ref="C70">INDEX(C$24:C$42,MATCH($A70,$A$24:$A$42,0),0)</f>
        <v>50201.85589321352</v>
      </c>
      <c r="D70" s="42" cm="1">
        <f t="array" ref="D70">INDEX(D$24:D$42,MATCH($A70,$A$24:$A$42,0),0)</f>
        <v>0</v>
      </c>
      <c r="E70" s="42" cm="1">
        <f t="array" ref="E70">INDEX(E$24:E$42,MATCH($A70,$A$24:$A$42,0),0)</f>
        <v>22309.137973760004</v>
      </c>
      <c r="F70" s="42" cm="1">
        <f t="array" ref="F70">INDEX(F$24:F$42,MATCH($A70,$A$24:$A$42,0),0)</f>
        <v>0</v>
      </c>
      <c r="G70" s="42" cm="1">
        <f t="array" ref="G70">INDEX(G$24:G$42,MATCH($A70,$A$24:$A$42,0),0)</f>
        <v>0</v>
      </c>
      <c r="H70" s="36">
        <f t="shared" si="14"/>
        <v>72510.993866973527</v>
      </c>
    </row>
    <row r="71" spans="1:8">
      <c r="A71" s="39" t="str" cm="1">
        <f t="array" ref="A71">_xlfn.IFNA(INDEX($A$23:$A$43,MATCH(0,COUNTIF($A$46:A70,$A$23:$A$43),0)),"")</f>
        <v xml:space="preserve">Capacitors </v>
      </c>
      <c r="B71" s="42">
        <f t="shared" si="13"/>
        <v>0</v>
      </c>
      <c r="C71" s="42" cm="1">
        <f t="array" ref="C71">INDEX(C$24:C$42,MATCH($A71,$A$24:$A$42,0),0)</f>
        <v>161218.38741946433</v>
      </c>
      <c r="D71" s="42" cm="1">
        <f t="array" ref="D71">INDEX(D$24:D$42,MATCH($A71,$A$24:$A$42,0),0)</f>
        <v>-4426.3111338072313</v>
      </c>
      <c r="E71" s="42" cm="1">
        <f t="array" ref="E71">INDEX(E$24:E$42,MATCH($A71,$A$24:$A$42,0),0)</f>
        <v>0</v>
      </c>
      <c r="F71" s="42" cm="1">
        <f t="array" ref="F71">INDEX(F$24:F$42,MATCH($A71,$A$24:$A$42,0),0)</f>
        <v>0</v>
      </c>
      <c r="G71" s="42" cm="1">
        <f t="array" ref="G71">INDEX(G$24:G$42,MATCH($A71,$A$24:$A$42,0),0)</f>
        <v>0</v>
      </c>
      <c r="H71" s="36">
        <f t="shared" si="14"/>
        <v>156792.07628565709</v>
      </c>
    </row>
    <row r="72" spans="1:8" ht="30">
      <c r="A72" s="39" t="str" cm="1">
        <f t="array" ref="A72">_xlfn.IFNA(INDEX($A$23:$A$43,MATCH(0,COUNTIF($A$46:A71,$A$23:$A$43),0)),"")</f>
        <v>Cooling tower sound enclosure panel replacement</v>
      </c>
      <c r="B72" s="42">
        <f t="shared" si="13"/>
        <v>0</v>
      </c>
      <c r="C72" s="42" cm="1">
        <f t="array" ref="C72">INDEX(C$24:C$42,MATCH($A72,$A$24:$A$42,0),0)</f>
        <v>833309.67669352551</v>
      </c>
      <c r="D72" s="42" cm="1">
        <f t="array" ref="D72">INDEX(D$24:D$42,MATCH($A72,$A$24:$A$42,0),0)</f>
        <v>186315.58165094384</v>
      </c>
      <c r="E72" s="42" cm="1">
        <f t="array" ref="E72">INDEX(E$24:E$42,MATCH($A72,$A$24:$A$42,0),0)</f>
        <v>222735.64533484005</v>
      </c>
      <c r="F72" s="42" cm="1">
        <f t="array" ref="F72">INDEX(F$24:F$42,MATCH($A72,$A$24:$A$42,0),0)</f>
        <v>0</v>
      </c>
      <c r="G72" s="42" cm="1">
        <f t="array" ref="G72">INDEX(G$24:G$42,MATCH($A72,$A$24:$A$42,0),0)</f>
        <v>0</v>
      </c>
      <c r="H72" s="36">
        <f t="shared" si="14"/>
        <v>1242360.9036793094</v>
      </c>
    </row>
    <row r="73" spans="1:8" ht="30">
      <c r="A73" s="39" t="str" cm="1">
        <f t="array" ref="A73">_xlfn.IFNA(INDEX($A$23:$A$43,MATCH(0,COUNTIF($A$46:A72,$A$23:$A$43),0)),"")</f>
        <v xml:space="preserve">Cyber Security 
</v>
      </c>
      <c r="B73" s="42">
        <f t="shared" si="13"/>
        <v>0</v>
      </c>
      <c r="C73" s="42" cm="1">
        <f t="array" ref="C73">INDEX(C$24:C$42,MATCH($A73,$A$24:$A$42,0),0)</f>
        <v>97637.623196619112</v>
      </c>
      <c r="D73" s="42" cm="1">
        <f t="array" ref="D73">INDEX(D$24:D$42,MATCH($A73,$A$24:$A$42,0),0)</f>
        <v>314217.14512118464</v>
      </c>
      <c r="E73" s="42" cm="1">
        <f t="array" ref="E73">INDEX(E$24:E$42,MATCH($A73,$A$24:$A$42,0),0)</f>
        <v>0</v>
      </c>
      <c r="F73" s="42" cm="1">
        <f t="array" ref="F73">INDEX(F$24:F$42,MATCH($A73,$A$24:$A$42,0),0)</f>
        <v>0</v>
      </c>
      <c r="G73" s="42" cm="1">
        <f t="array" ref="G73">INDEX(G$24:G$42,MATCH($A73,$A$24:$A$42,0),0)</f>
        <v>0</v>
      </c>
      <c r="H73" s="36">
        <f t="shared" si="14"/>
        <v>411854.76831780374</v>
      </c>
    </row>
    <row r="74" spans="1:8">
      <c r="A74" s="39" t="str" cm="1">
        <f t="array" ref="A74">_xlfn.IFNA(INDEX($A$23:$A$43,MATCH(0,COUNTIF($A$46:A73,$A$23:$A$43),0)),"")</f>
        <v>Directlink SCADA Upgrade</v>
      </c>
      <c r="B74" s="42">
        <f t="shared" si="13"/>
        <v>0</v>
      </c>
      <c r="C74" s="42"/>
      <c r="D74" s="42"/>
      <c r="E74" s="42"/>
      <c r="F74" s="42"/>
      <c r="G74" s="42"/>
      <c r="H74" s="36"/>
    </row>
    <row r="75" spans="1:8">
      <c r="A75" s="39" t="str" cm="1">
        <f t="array" ref="A75">_xlfn.IFNA(INDEX($A$23:$A$43,MATCH(0,COUNTIF($A$46:A74,$A$23:$A$43),0)),"")</f>
        <v>DL Mullumbimby Facilities Impr</v>
      </c>
      <c r="B75" s="42">
        <f t="shared" si="13"/>
        <v>0</v>
      </c>
      <c r="C75" s="42"/>
      <c r="D75" s="42"/>
      <c r="E75" s="42"/>
      <c r="F75" s="42"/>
      <c r="G75" s="42"/>
      <c r="H75" s="36"/>
    </row>
    <row r="76" spans="1:8">
      <c r="A76" s="39" t="str" cm="1">
        <f t="array" ref="A76">_xlfn.IFNA(INDEX($A$23:$A$43,MATCH(0,COUNTIF($A$46:A75,$A$23:$A$43),0)),"")</f>
        <v>DL Satellite/Microwave Upgrade</v>
      </c>
      <c r="B76" s="42">
        <f t="shared" si="13"/>
        <v>0</v>
      </c>
      <c r="C76" s="42"/>
      <c r="D76" s="42"/>
      <c r="E76" s="42"/>
      <c r="F76" s="42"/>
      <c r="G76" s="42"/>
      <c r="H76" s="36"/>
    </row>
    <row r="77" spans="1:8" ht="15.75" thickBot="1">
      <c r="A77" s="39" t="str" cm="1">
        <f t="array" ref="A77">_xlfn.IFNA(INDEX($A$23:$A$43,MATCH(0,COUNTIF($A$46:A76,$A$23:$A$43),0)),"")</f>
        <v>DL Sound Encl Panel Rep</v>
      </c>
      <c r="B77" s="42">
        <f t="shared" si="13"/>
        <v>0</v>
      </c>
      <c r="C77" s="42"/>
      <c r="D77" s="42"/>
      <c r="E77" s="42"/>
      <c r="F77" s="42"/>
      <c r="G77" s="42"/>
      <c r="H77" s="36"/>
    </row>
    <row r="78" spans="1:8" ht="15.75" thickTop="1">
      <c r="A78" s="22" t="s">
        <v>16</v>
      </c>
      <c r="B78" s="22">
        <f t="shared" si="13"/>
        <v>0</v>
      </c>
      <c r="C78" s="35">
        <f t="shared" ref="C78:H78" si="15">SUM(C63:C77)</f>
        <v>1142367.5432028226</v>
      </c>
      <c r="D78" s="35">
        <f t="shared" si="15"/>
        <v>552986.92562580726</v>
      </c>
      <c r="E78" s="35">
        <f t="shared" si="15"/>
        <v>317085.76748640009</v>
      </c>
      <c r="F78" s="35">
        <f t="shared" si="15"/>
        <v>39809</v>
      </c>
      <c r="G78" s="35">
        <f t="shared" si="15"/>
        <v>1009715.7321872559</v>
      </c>
      <c r="H78" s="35">
        <f t="shared" si="15"/>
        <v>3061964.9685022854</v>
      </c>
    </row>
    <row r="81" spans="1:10" ht="16.5">
      <c r="A81" s="4" t="s">
        <v>285</v>
      </c>
      <c r="B81" s="4"/>
      <c r="C81" s="4"/>
      <c r="D81" s="4"/>
      <c r="E81" s="4"/>
      <c r="F81" s="4"/>
      <c r="G81" s="4"/>
      <c r="H81" s="4"/>
    </row>
    <row r="82" spans="1:10">
      <c r="A82" s="3" t="str">
        <f>A62</f>
        <v>Project</v>
      </c>
      <c r="B82" s="3" t="str">
        <f>B62</f>
        <v>$</v>
      </c>
      <c r="C82" s="3" t="str">
        <f t="shared" ref="C82:H82" si="16">C62</f>
        <v>2020/21</v>
      </c>
      <c r="D82" s="3" t="str">
        <f t="shared" si="16"/>
        <v>2021/22</v>
      </c>
      <c r="E82" s="3" t="str">
        <f t="shared" si="16"/>
        <v>2022/23</v>
      </c>
      <c r="F82" s="3" t="str">
        <f t="shared" si="16"/>
        <v>2023/24</v>
      </c>
      <c r="G82" s="3" t="str">
        <f t="shared" si="16"/>
        <v>2024/25</v>
      </c>
      <c r="H82" s="3" t="str">
        <f t="shared" si="16"/>
        <v>Total</v>
      </c>
    </row>
    <row r="83" spans="1:10" ht="30">
      <c r="A83" s="39" t="str" cm="1">
        <f t="array" ref="A83">INDEX($A$24:$A$42,MATCH(H83,$H$24:$H$42,0),0)</f>
        <v>Cooling tower sound enclosure panel replacement</v>
      </c>
      <c r="B83" s="42">
        <f t="shared" ref="B83:B102" si="17">IF(A83="","",$B$58)</f>
        <v>0</v>
      </c>
      <c r="C83" s="42" cm="1">
        <f t="array" ref="C83">INDEX(C$24:C$42,MATCH($A83,$A$24:$A$42,0),0)</f>
        <v>833309.67669352551</v>
      </c>
      <c r="D83" s="42" cm="1">
        <f t="array" ref="D83">INDEX(D$24:D$42,MATCH($A83,$A$24:$A$42,0),0)</f>
        <v>186315.58165094384</v>
      </c>
      <c r="E83" s="42" cm="1">
        <f t="array" ref="E83">INDEX(E$24:E$42,MATCH($A83,$A$24:$A$42,0),0)</f>
        <v>222735.64533484005</v>
      </c>
      <c r="F83" s="42" cm="1">
        <f t="array" ref="F83">INDEX(F$24:F$42,MATCH($A83,$A$24:$A$42,0),0)</f>
        <v>0</v>
      </c>
      <c r="G83" s="42" cm="1">
        <f t="array" ref="G83">INDEX(G$24:G$42,MATCH($A83,$A$24:$A$42,0),0)</f>
        <v>0</v>
      </c>
      <c r="H83" s="36">
        <f>LARGE($H$24:$H$42,ROW()-82)</f>
        <v>1242360.9036793094</v>
      </c>
      <c r="J83" s="6" t="str">
        <f>IF(H83&gt;2000,A83,"")</f>
        <v>Cooling tower sound enclosure panel replacement</v>
      </c>
    </row>
    <row r="84" spans="1:10">
      <c r="A84" s="39" t="str" cm="1">
        <f t="array" ref="A84">INDEX($A$24:$A$42,MATCH(H84,$H$24:$H$42,0),0)</f>
        <v>Dlink UPS system upgrade work</v>
      </c>
      <c r="B84" s="42">
        <f t="shared" si="17"/>
        <v>0</v>
      </c>
      <c r="C84" s="42" cm="1">
        <f t="array" ref="C84">INDEX(C$24:C$42,MATCH($A84,$A$24:$A$42,0),0)</f>
        <v>27627.12099608437</v>
      </c>
      <c r="D84" s="42" cm="1">
        <f t="array" ref="D84">INDEX(D$24:D$42,MATCH($A84,$A$24:$A$42,0),0)</f>
        <v>156338.00772638881</v>
      </c>
      <c r="E84" s="42" cm="1">
        <f t="array" ref="E84">INDEX(E$24:E$42,MATCH($A84,$A$24:$A$42,0),0)</f>
        <v>247816.3590958</v>
      </c>
      <c r="F84" s="42" cm="1">
        <f t="array" ref="F84">INDEX(F$24:F$42,MATCH($A84,$A$24:$A$42,0),0)</f>
        <v>0</v>
      </c>
      <c r="G84" s="42" cm="1">
        <f t="array" ref="G84">INDEX(G$24:G$42,MATCH($A84,$A$24:$A$42,0),0)</f>
        <v>0</v>
      </c>
      <c r="H84" s="36">
        <f t="shared" ref="H84:H101" si="18">LARGE($H$24:$H$42,ROW()-82)</f>
        <v>431781.48781827313</v>
      </c>
      <c r="J84" s="6" t="str">
        <f t="shared" ref="J84:J102" si="19">IF(H84&gt;2000,A84,"")</f>
        <v>Dlink UPS system upgrade work</v>
      </c>
    </row>
    <row r="85" spans="1:10" ht="30">
      <c r="A85" s="39" t="str" cm="1">
        <f t="array" ref="A85">INDEX($A$24:$A$42,MATCH(H85,$H$24:$H$42,0),0)</f>
        <v xml:space="preserve">Cyber Security 
</v>
      </c>
      <c r="B85" s="42">
        <f t="shared" si="17"/>
        <v>0</v>
      </c>
      <c r="C85" s="42" cm="1">
        <f t="array" ref="C85">INDEX(C$24:C$42,MATCH($A85,$A$24:$A$42,0),0)</f>
        <v>97637.623196619112</v>
      </c>
      <c r="D85" s="42" cm="1">
        <f t="array" ref="D85">INDEX(D$24:D$42,MATCH($A85,$A$24:$A$42,0),0)</f>
        <v>314217.14512118464</v>
      </c>
      <c r="E85" s="42" cm="1">
        <f t="array" ref="E85">INDEX(E$24:E$42,MATCH($A85,$A$24:$A$42,0),0)</f>
        <v>0</v>
      </c>
      <c r="F85" s="42" cm="1">
        <f t="array" ref="F85">INDEX(F$24:F$42,MATCH($A85,$A$24:$A$42,0),0)</f>
        <v>0</v>
      </c>
      <c r="G85" s="42" cm="1">
        <f t="array" ref="G85">INDEX(G$24:G$42,MATCH($A85,$A$24:$A$42,0),0)</f>
        <v>0</v>
      </c>
      <c r="H85" s="36">
        <f t="shared" si="18"/>
        <v>411854.76831780374</v>
      </c>
      <c r="J85" s="6" t="str">
        <f t="shared" si="19"/>
        <v xml:space="preserve">Cyber Security 
</v>
      </c>
    </row>
    <row r="86" spans="1:10">
      <c r="A86" s="39" t="str" cm="1">
        <f t="array" ref="A86">INDEX($A$24:$A$42,MATCH(H86,$H$24:$H$42,0),0)</f>
        <v>Cable Modification (Transitions) (21-25)</v>
      </c>
      <c r="B86" s="42">
        <f t="shared" si="17"/>
        <v>0</v>
      </c>
      <c r="C86" s="42" cm="1">
        <f t="array" ref="C86">INDEX(C$24:C$42,MATCH($A86,$A$24:$A$42,0),0)</f>
        <v>0</v>
      </c>
      <c r="D86" s="42" cm="1">
        <f t="array" ref="D86">INDEX(D$24:D$42,MATCH($A86,$A$24:$A$42,0),0)</f>
        <v>0</v>
      </c>
      <c r="E86" s="42" cm="1">
        <f t="array" ref="E86">INDEX(E$24:E$42,MATCH($A86,$A$24:$A$42,0),0)</f>
        <v>0</v>
      </c>
      <c r="F86" s="42" cm="1">
        <f t="array" ref="F86">INDEX(F$24:F$42,MATCH($A86,$A$24:$A$42,0),0)</f>
        <v>0</v>
      </c>
      <c r="G86" s="42" cm="1">
        <f t="array" ref="G86">INDEX(G$24:G$42,MATCH($A86,$A$24:$A$42,0),0)</f>
        <v>407389.84554660309</v>
      </c>
      <c r="H86" s="36">
        <f t="shared" si="18"/>
        <v>407389.84554660309</v>
      </c>
      <c r="J86" s="6" t="str">
        <f t="shared" si="19"/>
        <v>Cable Modification (Transitions) (21-25)</v>
      </c>
    </row>
    <row r="87" spans="1:10">
      <c r="A87" s="39" t="str" cm="1">
        <f t="array" ref="A87">INDEX($A$24:$A$42,MATCH(H87,$H$24:$H$42,0),0)</f>
        <v>Directlink SCADA Upgrade</v>
      </c>
      <c r="B87" s="42">
        <f t="shared" si="17"/>
        <v>0</v>
      </c>
      <c r="C87" s="42" cm="1">
        <f t="array" ref="C87">INDEX(C$24:C$42,MATCH($A87,$A$24:$A$42,0),0)</f>
        <v>0</v>
      </c>
      <c r="D87" s="42" cm="1">
        <f t="array" ref="D87">INDEX(D$24:D$42,MATCH($A87,$A$24:$A$42,0),0)</f>
        <v>0</v>
      </c>
      <c r="E87" s="42" cm="1">
        <f t="array" ref="E87">INDEX(E$24:E$42,MATCH($A87,$A$24:$A$42,0),0)</f>
        <v>306662.94450000004</v>
      </c>
      <c r="F87" s="42" cm="1">
        <f t="array" ref="F87">INDEX(F$24:F$42,MATCH($A87,$A$24:$A$42,0),0)</f>
        <v>0</v>
      </c>
      <c r="G87" s="42" cm="1">
        <f t="array" ref="G87">INDEX(G$24:G$42,MATCH($A87,$A$24:$A$42,0),0)</f>
        <v>0</v>
      </c>
      <c r="H87" s="36">
        <f t="shared" si="18"/>
        <v>306662.94450000004</v>
      </c>
      <c r="J87" s="6" t="str">
        <f t="shared" si="19"/>
        <v>Directlink SCADA Upgrade</v>
      </c>
    </row>
    <row r="88" spans="1:10" ht="30">
      <c r="A88" s="39" t="str" cm="1">
        <f t="array" ref="A88">INDEX($A$24:$A$42,MATCH(H88,$H$24:$H$42,0),0)</f>
        <v>Asset Integration - CMMS Uplift (Placeholder)</v>
      </c>
      <c r="B88" s="42">
        <f t="shared" si="17"/>
        <v>0</v>
      </c>
      <c r="C88" s="42" cm="1">
        <f t="array" ref="C88">INDEX(C$24:C$42,MATCH($A88,$A$24:$A$42,0),0)</f>
        <v>0</v>
      </c>
      <c r="D88" s="42" cm="1">
        <f t="array" ref="D88">INDEX(D$24:D$42,MATCH($A88,$A$24:$A$42,0),0)</f>
        <v>0</v>
      </c>
      <c r="E88" s="42" cm="1">
        <f t="array" ref="E88">INDEX(E$24:E$42,MATCH($A88,$A$24:$A$42,0),0)</f>
        <v>0</v>
      </c>
      <c r="F88" s="42" cm="1">
        <f t="array" ref="F88">INDEX(F$24:F$42,MATCH($A88,$A$24:$A$42,0),0)</f>
        <v>0</v>
      </c>
      <c r="G88" s="42" cm="1">
        <f t="array" ref="G88">INDEX(G$24:G$42,MATCH($A88,$A$24:$A$42,0),0)</f>
        <v>244433.90732796188</v>
      </c>
      <c r="H88" s="36">
        <f t="shared" si="18"/>
        <v>244433.90732796188</v>
      </c>
      <c r="J88" s="6" t="str">
        <f t="shared" si="19"/>
        <v>Asset Integration - CMMS Uplift (Placeholder)</v>
      </c>
    </row>
    <row r="89" spans="1:10">
      <c r="A89" s="39" t="str" cm="1">
        <f t="array" ref="A89">INDEX($A$24:$A$42,MATCH(H89,$H$24:$H$42,0),0)</f>
        <v>Barn Door Replacement</v>
      </c>
      <c r="B89" s="42">
        <f t="shared" si="17"/>
        <v>0</v>
      </c>
      <c r="C89" s="42" cm="1">
        <f t="array" ref="C89">INDEX(C$24:C$42,MATCH($A89,$A$24:$A$42,0),0)</f>
        <v>0</v>
      </c>
      <c r="D89" s="42" cm="1">
        <f t="array" ref="D89">INDEX(D$24:D$42,MATCH($A89,$A$24:$A$42,0),0)</f>
        <v>0</v>
      </c>
      <c r="E89" s="42" cm="1">
        <f t="array" ref="E89">INDEX(E$24:E$42,MATCH($A89,$A$24:$A$42,0),0)</f>
        <v>0</v>
      </c>
      <c r="F89" s="42" cm="1">
        <f t="array" ref="F89">INDEX(F$24:F$42,MATCH($A89,$A$24:$A$42,0),0)</f>
        <v>0</v>
      </c>
      <c r="G89" s="42" cm="1">
        <f t="array" ref="G89">INDEX(G$24:G$42,MATCH($A89,$A$24:$A$42,0),0)</f>
        <v>201657.97354556853</v>
      </c>
      <c r="H89" s="36">
        <f t="shared" si="18"/>
        <v>201657.97354556853</v>
      </c>
      <c r="J89" s="6" t="str">
        <f t="shared" si="19"/>
        <v>Barn Door Replacement</v>
      </c>
    </row>
    <row r="90" spans="1:10">
      <c r="A90" s="39" t="str" cm="1">
        <f t="array" ref="A90">INDEX($A$24:$A$42,MATCH(H90,$H$24:$H$42,0),0)</f>
        <v xml:space="preserve">Capacitors </v>
      </c>
      <c r="B90" s="42">
        <f t="shared" si="17"/>
        <v>0</v>
      </c>
      <c r="C90" s="42" cm="1">
        <f t="array" ref="C90">INDEX(C$24:C$42,MATCH($A90,$A$24:$A$42,0),0)</f>
        <v>161218.38741946433</v>
      </c>
      <c r="D90" s="42" cm="1">
        <f t="array" ref="D90">INDEX(D$24:D$42,MATCH($A90,$A$24:$A$42,0),0)</f>
        <v>-4426.3111338072313</v>
      </c>
      <c r="E90" s="42" cm="1">
        <f t="array" ref="E90">INDEX(E$24:E$42,MATCH($A90,$A$24:$A$42,0),0)</f>
        <v>0</v>
      </c>
      <c r="F90" s="42" cm="1">
        <f t="array" ref="F90">INDEX(F$24:F$42,MATCH($A90,$A$24:$A$42,0),0)</f>
        <v>0</v>
      </c>
      <c r="G90" s="42" cm="1">
        <f t="array" ref="G90">INDEX(G$24:G$42,MATCH($A90,$A$24:$A$42,0),0)</f>
        <v>0</v>
      </c>
      <c r="H90" s="36">
        <f t="shared" si="18"/>
        <v>156792.07628565709</v>
      </c>
      <c r="J90" s="6" t="str">
        <f t="shared" si="19"/>
        <v xml:space="preserve">Capacitors </v>
      </c>
    </row>
    <row r="91" spans="1:10" ht="30">
      <c r="A91" s="39" t="str" cm="1">
        <f t="array" ref="A91">INDEX($A$24:$A$42,MATCH(H91,$H$24:$H$42,0),0)</f>
        <v xml:space="preserve">Cable Modification Program
</v>
      </c>
      <c r="B91" s="42">
        <f t="shared" si="17"/>
        <v>0</v>
      </c>
      <c r="C91" s="42" cm="1">
        <f t="array" ref="C91">INDEX(C$24:C$42,MATCH($A91,$A$24:$A$42,0),0)</f>
        <v>0</v>
      </c>
      <c r="D91" s="42" cm="1">
        <f t="array" ref="D91">INDEX(D$24:D$42,MATCH($A91,$A$24:$A$42,0),0)</f>
        <v>56880.509987485973</v>
      </c>
      <c r="E91" s="42" cm="1">
        <f t="array" ref="E91">INDEX(E$24:E$42,MATCH($A91,$A$24:$A$42,0),0)</f>
        <v>72040.984177800012</v>
      </c>
      <c r="F91" s="42" cm="1">
        <f t="array" ref="F91">INDEX(F$24:F$42,MATCH($A91,$A$24:$A$42,0),0)</f>
        <v>0</v>
      </c>
      <c r="G91" s="42" cm="1">
        <f t="array" ref="G91">INDEX(G$24:G$42,MATCH($A91,$A$24:$A$42,0),0)</f>
        <v>0</v>
      </c>
      <c r="H91" s="36">
        <f t="shared" si="18"/>
        <v>128921.49416528599</v>
      </c>
      <c r="J91" s="6" t="str">
        <f t="shared" si="19"/>
        <v xml:space="preserve">Cable Modification Program
</v>
      </c>
    </row>
    <row r="92" spans="1:10">
      <c r="A92" s="39" t="str" cm="1">
        <f t="array" ref="A92">INDEX($A$24:$A$42,MATCH(H92,$H$24:$H$42,0),0)</f>
        <v>DL Mullumbimby Facilities Impr</v>
      </c>
      <c r="B92" s="42">
        <f t="shared" si="17"/>
        <v>0</v>
      </c>
      <c r="C92" s="42" cm="1">
        <f t="array" ref="C92">INDEX(C$24:C$42,MATCH($A92,$A$24:$A$42,0),0)</f>
        <v>0</v>
      </c>
      <c r="D92" s="42" cm="1">
        <f t="array" ref="D92">INDEX(D$24:D$42,MATCH($A92,$A$24:$A$42,0),0)</f>
        <v>0</v>
      </c>
      <c r="E92" s="42" cm="1">
        <f t="array" ref="E92">INDEX(E$24:E$42,MATCH($A92,$A$24:$A$42,0),0)</f>
        <v>126782.27799644001</v>
      </c>
      <c r="F92" s="42" cm="1">
        <f t="array" ref="F92">INDEX(F$24:F$42,MATCH($A92,$A$24:$A$42,0),0)</f>
        <v>0</v>
      </c>
      <c r="G92" s="42" cm="1">
        <f t="array" ref="G92">INDEX(G$24:G$42,MATCH($A92,$A$24:$A$42,0),0)</f>
        <v>0</v>
      </c>
      <c r="H92" s="36">
        <f t="shared" si="18"/>
        <v>126782.27799644001</v>
      </c>
      <c r="J92" s="6" t="str">
        <f t="shared" si="19"/>
        <v>DL Mullumbimby Facilities Impr</v>
      </c>
    </row>
    <row r="93" spans="1:10">
      <c r="A93" s="39" t="str" cm="1">
        <f t="array" ref="A93">INDEX($A$24:$A$42,MATCH(H93,$H$24:$H$42,0),0)</f>
        <v>Asset Integration - AI3 (Placeholder)</v>
      </c>
      <c r="B93" s="42">
        <f t="shared" si="17"/>
        <v>0</v>
      </c>
      <c r="C93" s="42" cm="1">
        <f t="array" ref="C93">INDEX(C$24:C$42,MATCH($A93,$A$24:$A$42,0),0)</f>
        <v>0</v>
      </c>
      <c r="D93" s="42" cm="1">
        <f t="array" ref="D93">INDEX(D$24:D$42,MATCH($A93,$A$24:$A$42,0),0)</f>
        <v>0</v>
      </c>
      <c r="E93" s="42" cm="1">
        <f t="array" ref="E93">INDEX(E$24:E$42,MATCH($A93,$A$24:$A$42,0),0)</f>
        <v>0</v>
      </c>
      <c r="F93" s="42" cm="1">
        <f t="array" ref="F93">INDEX(F$24:F$42,MATCH($A93,$A$24:$A$42,0),0)</f>
        <v>39809</v>
      </c>
      <c r="G93" s="42" cm="1">
        <f t="array" ref="G93">INDEX(G$24:G$42,MATCH($A93,$A$24:$A$42,0),0)</f>
        <v>66200.849901323003</v>
      </c>
      <c r="H93" s="36">
        <f t="shared" si="18"/>
        <v>106009.849901323</v>
      </c>
      <c r="J93" s="6" t="str">
        <f t="shared" si="19"/>
        <v>Asset Integration - AI3 (Placeholder)</v>
      </c>
    </row>
    <row r="94" spans="1:10">
      <c r="A94" s="39" t="str" cm="1">
        <f t="array" ref="A94">INDEX($A$24:$A$42,MATCH(H94,$H$24:$H$42,0),0)</f>
        <v>DL Satellite/Microwave Upgrade</v>
      </c>
      <c r="B94" s="42">
        <f t="shared" si="17"/>
        <v>0</v>
      </c>
      <c r="C94" s="42" cm="1">
        <f t="array" ref="C94">INDEX(C$24:C$42,MATCH($A94,$A$24:$A$42,0),0)</f>
        <v>0</v>
      </c>
      <c r="D94" s="42" cm="1">
        <f t="array" ref="D94">INDEX(D$24:D$42,MATCH($A94,$A$24:$A$42,0),0)</f>
        <v>0</v>
      </c>
      <c r="E94" s="42" cm="1">
        <f t="array" ref="E94">INDEX(E$24:E$42,MATCH($A94,$A$24:$A$42,0),0)</f>
        <v>94017.229222400012</v>
      </c>
      <c r="F94" s="42" cm="1">
        <f t="array" ref="F94">INDEX(F$24:F$42,MATCH($A94,$A$24:$A$42,0),0)</f>
        <v>0</v>
      </c>
      <c r="G94" s="42" cm="1">
        <f t="array" ref="G94">INDEX(G$24:G$42,MATCH($A94,$A$24:$A$42,0),0)</f>
        <v>0</v>
      </c>
      <c r="H94" s="36">
        <f t="shared" si="18"/>
        <v>94017.229222400012</v>
      </c>
      <c r="J94" s="6" t="str">
        <f t="shared" si="19"/>
        <v>DL Satellite/Microwave Upgrade</v>
      </c>
    </row>
    <row r="95" spans="1:10">
      <c r="A95" s="39" t="str" cm="1">
        <f t="array" ref="A95">INDEX($A$24:$A$42,MATCH(H95,$H$24:$H$42,0),0)</f>
        <v>Cable Route Risk Mitigation (Signs)</v>
      </c>
      <c r="B95" s="42">
        <f t="shared" si="17"/>
        <v>0</v>
      </c>
      <c r="C95" s="42" cm="1">
        <f t="array" ref="C95">INDEX(C$24:C$42,MATCH($A95,$A$24:$A$42,0),0)</f>
        <v>50201.85589321352</v>
      </c>
      <c r="D95" s="42" cm="1">
        <f t="array" ref="D95">INDEX(D$24:D$42,MATCH($A95,$A$24:$A$42,0),0)</f>
        <v>0</v>
      </c>
      <c r="E95" s="42" cm="1">
        <f t="array" ref="E95">INDEX(E$24:E$42,MATCH($A95,$A$24:$A$42,0),0)</f>
        <v>22309.137973760004</v>
      </c>
      <c r="F95" s="42" cm="1">
        <f t="array" ref="F95">INDEX(F$24:F$42,MATCH($A95,$A$24:$A$42,0),0)</f>
        <v>0</v>
      </c>
      <c r="G95" s="42" cm="1">
        <f t="array" ref="G95">INDEX(G$24:G$42,MATCH($A95,$A$24:$A$42,0),0)</f>
        <v>0</v>
      </c>
      <c r="H95" s="36">
        <f t="shared" si="18"/>
        <v>72510.993866973527</v>
      </c>
      <c r="J95" s="6" t="str">
        <f t="shared" si="19"/>
        <v>Cable Route Risk Mitigation (Signs)</v>
      </c>
    </row>
    <row r="96" spans="1:10">
      <c r="A96" s="39" t="str" cm="1">
        <f t="array" ref="A96">INDEX($A$24:$A$42,MATCH(H96,$H$24:$H$42,0),0)</f>
        <v>Arc Flash Study and Mitigation</v>
      </c>
      <c r="B96" s="42">
        <f t="shared" si="17"/>
        <v>0</v>
      </c>
      <c r="C96" s="42" cm="1">
        <f t="array" ref="C96">INDEX(C$24:C$42,MATCH($A96,$A$24:$A$42,0),0)</f>
        <v>0</v>
      </c>
      <c r="D96" s="42" cm="1">
        <f t="array" ref="D96">INDEX(D$24:D$42,MATCH($A96,$A$24:$A$42,0),0)</f>
        <v>0</v>
      </c>
      <c r="E96" s="42" cm="1">
        <f t="array" ref="E96">INDEX(E$24:E$42,MATCH($A96,$A$24:$A$42,0),0)</f>
        <v>0</v>
      </c>
      <c r="F96" s="42" cm="1">
        <f t="array" ref="F96">INDEX(F$24:F$42,MATCH($A96,$A$24:$A$42,0),0)</f>
        <v>0</v>
      </c>
      <c r="G96" s="42" cm="1">
        <f t="array" ref="G96">INDEX(G$24:G$42,MATCH($A96,$A$24:$A$42,0),0)</f>
        <v>47868.306851725865</v>
      </c>
      <c r="H96" s="36">
        <f t="shared" si="18"/>
        <v>47868.306851725865</v>
      </c>
      <c r="J96" s="6" t="str">
        <f t="shared" si="19"/>
        <v>Arc Flash Study and Mitigation</v>
      </c>
    </row>
    <row r="97" spans="1:10" ht="30">
      <c r="A97" s="39" t="str" cm="1">
        <f t="array" ref="A97">INDEX($A$24:$A$42,MATCH(H97,$H$24:$H$42,0),0)</f>
        <v>Asset Integration - Maintenance Strategy (Placeholder)</v>
      </c>
      <c r="B97" s="42">
        <f t="shared" si="17"/>
        <v>0</v>
      </c>
      <c r="C97" s="42" cm="1">
        <f t="array" ref="C97">INDEX(C$24:C$42,MATCH($A97,$A$24:$A$42,0),0)</f>
        <v>0</v>
      </c>
      <c r="D97" s="42" cm="1">
        <f t="array" ref="D97">INDEX(D$24:D$42,MATCH($A97,$A$24:$A$42,0),0)</f>
        <v>0</v>
      </c>
      <c r="E97" s="42" cm="1">
        <f t="array" ref="E97">INDEX(E$24:E$42,MATCH($A97,$A$24:$A$42,0),0)</f>
        <v>0</v>
      </c>
      <c r="F97" s="42" cm="1">
        <f t="array" ref="F97">INDEX(F$24:F$42,MATCH($A97,$A$24:$A$42,0),0)</f>
        <v>0</v>
      </c>
      <c r="G97" s="42" cm="1">
        <f t="array" ref="G97">INDEX(G$24:G$42,MATCH($A97,$A$24:$A$42,0),0)</f>
        <v>42164.849014073421</v>
      </c>
      <c r="H97" s="36">
        <f t="shared" si="18"/>
        <v>42164.849014073421</v>
      </c>
      <c r="J97" s="6" t="str">
        <f t="shared" si="19"/>
        <v>Asset Integration - Maintenance Strategy (Placeholder)</v>
      </c>
    </row>
    <row r="98" spans="1:10">
      <c r="A98" s="39" t="str" cm="1">
        <f t="array" ref="A98">INDEX($A$24:$A$42,MATCH(H98,$H$24:$H$42,0),0)</f>
        <v>DL_Security Audits Site Design</v>
      </c>
      <c r="B98" s="42">
        <f t="shared" si="17"/>
        <v>0</v>
      </c>
      <c r="C98" s="42" cm="1">
        <f t="array" ref="C98">INDEX(C$24:C$42,MATCH($A98,$A$24:$A$42,0),0)</f>
        <v>0</v>
      </c>
      <c r="D98" s="42" cm="1">
        <f t="array" ref="D98">INDEX(D$24:D$42,MATCH($A98,$A$24:$A$42,0),0)</f>
        <v>0</v>
      </c>
      <c r="E98" s="42" cm="1">
        <f t="array" ref="E98">INDEX(E$24:E$42,MATCH($A98,$A$24:$A$42,0),0)</f>
        <v>26607.084460000002</v>
      </c>
      <c r="F98" s="42" cm="1">
        <f t="array" ref="F98">INDEX(F$24:F$42,MATCH($A98,$A$24:$A$42,0),0)</f>
        <v>0</v>
      </c>
      <c r="G98" s="42" cm="1">
        <f t="array" ref="G98">INDEX(G$24:G$42,MATCH($A98,$A$24:$A$42,0),0)</f>
        <v>0</v>
      </c>
      <c r="H98" s="36">
        <f t="shared" si="18"/>
        <v>26607.084460000002</v>
      </c>
      <c r="J98" s="6" t="str">
        <f t="shared" si="19"/>
        <v>DL_Security Audits Site Design</v>
      </c>
    </row>
    <row r="99" spans="1:10">
      <c r="A99" s="39" t="str" cm="1">
        <f t="array" ref="A99">INDEX($A$24:$A$42,MATCH(H99,$H$24:$H$42,0),0)</f>
        <v>DL_Landslip Remediation</v>
      </c>
      <c r="B99" s="42">
        <f t="shared" si="17"/>
        <v>0</v>
      </c>
      <c r="C99" s="42" cm="1">
        <f t="array" ref="C99">INDEX(C$24:C$42,MATCH($A99,$A$24:$A$42,0),0)</f>
        <v>0</v>
      </c>
      <c r="D99" s="42" cm="1">
        <f t="array" ref="D99">INDEX(D$24:D$42,MATCH($A99,$A$24:$A$42,0),0)</f>
        <v>0</v>
      </c>
      <c r="E99" s="42" cm="1">
        <f t="array" ref="E99">INDEX(E$24:E$42,MATCH($A99,$A$24:$A$42,0),0)</f>
        <v>8560.1977828399995</v>
      </c>
      <c r="F99" s="42" cm="1">
        <f t="array" ref="F99">INDEX(F$24:F$42,MATCH($A99,$A$24:$A$42,0),0)</f>
        <v>0</v>
      </c>
      <c r="G99" s="42" cm="1">
        <f t="array" ref="G99">INDEX(G$24:G$42,MATCH($A99,$A$24:$A$42,0),0)</f>
        <v>0</v>
      </c>
      <c r="H99" s="36">
        <f t="shared" si="18"/>
        <v>8560.1977828399995</v>
      </c>
      <c r="J99" s="6" t="str">
        <f t="shared" si="19"/>
        <v>DL_Landslip Remediation</v>
      </c>
    </row>
    <row r="100" spans="1:10">
      <c r="A100" s="39" t="str" cm="1">
        <f t="array" ref="A100">INDEX($A$24:$A$42,MATCH(H100,$H$24:$H$42,0),0)</f>
        <v>DL Sound Encl Panel Rep</v>
      </c>
      <c r="B100" s="42">
        <f t="shared" si="17"/>
        <v>0</v>
      </c>
      <c r="C100" s="42" cm="1">
        <f t="array" ref="C100">INDEX(C$24:C$42,MATCH($A100,$A$24:$A$42,0),0)</f>
        <v>0</v>
      </c>
      <c r="D100" s="42" cm="1">
        <f t="array" ref="D100">INDEX(D$24:D$42,MATCH($A100,$A$24:$A$42,0),0)</f>
        <v>0</v>
      </c>
      <c r="E100" s="42" cm="1">
        <f t="array" ref="E100">INDEX(E$24:E$42,MATCH($A100,$A$24:$A$42,0),0)</f>
        <v>7788.6300434800005</v>
      </c>
      <c r="F100" s="42" cm="1">
        <f t="array" ref="F100">INDEX(F$24:F$42,MATCH($A100,$A$24:$A$42,0),0)</f>
        <v>0</v>
      </c>
      <c r="G100" s="42" cm="1">
        <f t="array" ref="G100">INDEX(G$24:G$42,MATCH($A100,$A$24:$A$42,0),0)</f>
        <v>0</v>
      </c>
      <c r="H100" s="36">
        <f t="shared" si="18"/>
        <v>7788.6300434800005</v>
      </c>
      <c r="J100" s="6" t="str">
        <f t="shared" si="19"/>
        <v>DL Sound Encl Panel Rep</v>
      </c>
    </row>
    <row r="101" spans="1:10" ht="15.75" thickBot="1">
      <c r="A101" s="39" t="str" cm="1">
        <f t="array" ref="A101">INDEX($A$24:$A$42,MATCH(H101,$H$24:$H$42,0),0)</f>
        <v>DL_Specialised testing equipme</v>
      </c>
      <c r="B101" s="42">
        <f t="shared" si="17"/>
        <v>0</v>
      </c>
      <c r="C101" s="42" cm="1">
        <f t="array" ref="C101">INDEX(C$24:C$42,MATCH($A101,$A$24:$A$42,0),0)</f>
        <v>0</v>
      </c>
      <c r="D101" s="42" cm="1">
        <f t="array" ref="D101">INDEX(D$24:D$42,MATCH($A101,$A$24:$A$42,0),0)</f>
        <v>0</v>
      </c>
      <c r="E101" s="42" cm="1">
        <f t="array" ref="E101">INDEX(E$24:E$42,MATCH($A101,$A$24:$A$42,0),0)</f>
        <v>5165.68544888</v>
      </c>
      <c r="F101" s="42" cm="1">
        <f t="array" ref="F101">INDEX(F$24:F$42,MATCH($A101,$A$24:$A$42,0),0)</f>
        <v>0</v>
      </c>
      <c r="G101" s="42" cm="1">
        <f t="array" ref="G101">INDEX(G$24:G$42,MATCH($A101,$A$24:$A$42,0),0)</f>
        <v>0</v>
      </c>
      <c r="H101" s="36">
        <f t="shared" si="18"/>
        <v>5165.68544888</v>
      </c>
      <c r="J101" s="6" t="str">
        <f t="shared" si="19"/>
        <v>DL_Specialised testing equipme</v>
      </c>
    </row>
    <row r="102" spans="1:10" ht="15.75" thickTop="1">
      <c r="A102" s="22" t="s">
        <v>16</v>
      </c>
      <c r="B102" s="22">
        <f t="shared" si="17"/>
        <v>0</v>
      </c>
      <c r="C102" s="35">
        <f t="shared" ref="C102:H102" si="20">SUM(C83:C101)</f>
        <v>1169994.6641989069</v>
      </c>
      <c r="D102" s="35">
        <f t="shared" si="20"/>
        <v>709324.93335219612</v>
      </c>
      <c r="E102" s="35">
        <f t="shared" si="20"/>
        <v>1140486.1760362405</v>
      </c>
      <c r="F102" s="35">
        <f t="shared" si="20"/>
        <v>39809</v>
      </c>
      <c r="G102" s="35">
        <f t="shared" si="20"/>
        <v>1009715.7321872558</v>
      </c>
      <c r="H102" s="35">
        <f t="shared" si="20"/>
        <v>4069330.5057745995</v>
      </c>
      <c r="J102" s="6" t="str">
        <f t="shared" si="19"/>
        <v>Total</v>
      </c>
    </row>
    <row r="105" spans="1:10" ht="16.5">
      <c r="A105" s="4" t="s">
        <v>171</v>
      </c>
      <c r="B105" s="4"/>
      <c r="C105" s="4"/>
      <c r="D105" s="4"/>
      <c r="E105" s="4"/>
      <c r="F105" s="4"/>
      <c r="G105" s="4"/>
      <c r="H105" s="4"/>
    </row>
    <row r="106" spans="1:10">
      <c r="A106" s="3" t="str">
        <f t="shared" ref="A106:H106" si="21">A82</f>
        <v>Project</v>
      </c>
      <c r="B106" s="3" t="str">
        <f t="shared" si="21"/>
        <v>$</v>
      </c>
      <c r="C106" s="3" t="str">
        <f t="shared" si="21"/>
        <v>2020/21</v>
      </c>
      <c r="D106" s="3" t="str">
        <f t="shared" si="21"/>
        <v>2021/22</v>
      </c>
      <c r="E106" s="3" t="str">
        <f t="shared" si="21"/>
        <v>2022/23</v>
      </c>
      <c r="F106" s="3" t="str">
        <f t="shared" si="21"/>
        <v>2023/24</v>
      </c>
      <c r="G106" s="3" t="str">
        <f t="shared" si="21"/>
        <v>2024/25</v>
      </c>
      <c r="H106" s="3" t="str">
        <f t="shared" si="21"/>
        <v>Total</v>
      </c>
    </row>
    <row r="107" spans="1:10" ht="30">
      <c r="A107" s="39" t="str" cm="1">
        <f t="array" ref="A107">_xlfn.IFNA(INDEX($J$83:$J$101,MATCH(0,COUNTIF($A$103:A106,$J$83:$J$101),0)),"")</f>
        <v>Cooling tower sound enclosure panel replacement</v>
      </c>
      <c r="B107" s="42" cm="1">
        <f t="array" ref="B107">INDEX(B$83:B$101,MATCH($A107,$A$83:$A$101,0),0)</f>
        <v>0</v>
      </c>
      <c r="C107" s="42" cm="1">
        <f t="array" ref="C107">INDEX(C$83:C$101,MATCH($A107,$A$83:$A$101,0),0)</f>
        <v>833309.67669352551</v>
      </c>
      <c r="D107" s="42" cm="1">
        <f t="array" ref="D107">INDEX(D$83:D$101,MATCH($A107,$A$83:$A$101,0),0)</f>
        <v>186315.58165094384</v>
      </c>
      <c r="E107" s="42" cm="1">
        <f t="array" ref="E107">INDEX(E$83:E$101,MATCH($A107,$A$83:$A$101,0),0)</f>
        <v>222735.64533484005</v>
      </c>
      <c r="F107" s="42" cm="1">
        <f t="array" ref="F107">INDEX(F$83:F$101,MATCH($A107,$A$83:$A$101,0),0)</f>
        <v>0</v>
      </c>
      <c r="G107" s="42" cm="1">
        <f t="array" ref="G107">INDEX(G$83:G$101,MATCH($A107,$A$83:$A$101,0),0)</f>
        <v>0</v>
      </c>
      <c r="H107" s="36">
        <f>SUM(C107:G107)</f>
        <v>1242360.9036793094</v>
      </c>
      <c r="J107" s="5">
        <v>1</v>
      </c>
    </row>
    <row r="108" spans="1:10">
      <c r="A108" s="39" t="str" cm="1">
        <f t="array" ref="A108">_xlfn.IFNA(INDEX($J$83:$J$101,MATCH(0,COUNTIF($A$103:A107,$J$83:$J$101),0)),"")</f>
        <v>Dlink UPS system upgrade work</v>
      </c>
      <c r="B108" s="42"/>
      <c r="C108" s="42"/>
      <c r="D108" s="42"/>
      <c r="E108" s="42"/>
      <c r="F108" s="42"/>
      <c r="G108" s="42"/>
      <c r="H108" s="36">
        <f>SUM(C108:G108)</f>
        <v>0</v>
      </c>
      <c r="J108" s="5"/>
    </row>
    <row r="109" spans="1:10" ht="30">
      <c r="A109" s="39" t="str" cm="1">
        <f t="array" ref="A109">_xlfn.IFNA(INDEX($J$83:$J$101,MATCH(0,COUNTIF($A$103:A108,$J$83:$J$101),0)),"")</f>
        <v xml:space="preserve">Cyber Security 
</v>
      </c>
      <c r="B109" s="42"/>
      <c r="C109" s="42"/>
      <c r="D109" s="42"/>
      <c r="E109" s="42"/>
      <c r="F109" s="42"/>
      <c r="G109" s="42"/>
      <c r="H109" s="36">
        <f>SUM(C109:G109)</f>
        <v>0</v>
      </c>
      <c r="J109" s="5"/>
    </row>
    <row r="110" spans="1:10">
      <c r="A110" s="39" t="str" cm="1">
        <f t="array" ref="A110">_xlfn.IFNA(INDEX($J$83:$J$101,MATCH(0,COUNTIF($A$103:A109,$J$83:$J$101),0)),"")</f>
        <v>Cable Modification (Transitions) (21-25)</v>
      </c>
      <c r="B110" s="42"/>
      <c r="C110" s="42"/>
      <c r="D110" s="42"/>
      <c r="E110" s="42"/>
      <c r="F110" s="42"/>
      <c r="G110" s="42"/>
      <c r="H110" s="36">
        <f>SUM(C110:G110)</f>
        <v>0</v>
      </c>
      <c r="J110" s="5"/>
    </row>
    <row r="111" spans="1:10" ht="15.75" thickBot="1">
      <c r="A111" s="39" t="str" cm="1">
        <f t="array" ref="A111">_xlfn.IFNA(INDEX($J$83:$J$101,MATCH(0,COUNTIF($A$103:A110,$J$83:$J$101),0)),"")</f>
        <v>Directlink SCADA Upgrade</v>
      </c>
      <c r="B111" s="42"/>
      <c r="C111" s="42"/>
      <c r="D111" s="42"/>
      <c r="E111" s="42"/>
      <c r="F111" s="42"/>
      <c r="G111" s="42"/>
      <c r="H111" s="36">
        <f>SUM(C111:G111)</f>
        <v>0</v>
      </c>
      <c r="J111" s="5"/>
    </row>
    <row r="112" spans="1:10" ht="15.75" thickTop="1">
      <c r="A112" s="22" t="s">
        <v>16</v>
      </c>
      <c r="B112" s="22"/>
      <c r="C112" s="35">
        <f t="shared" ref="C112:H112" si="22">SUM(C107:C111)</f>
        <v>833309.67669352551</v>
      </c>
      <c r="D112" s="35">
        <f t="shared" si="22"/>
        <v>186315.58165094384</v>
      </c>
      <c r="E112" s="35">
        <f t="shared" si="22"/>
        <v>222735.64533484005</v>
      </c>
      <c r="F112" s="35">
        <f t="shared" si="22"/>
        <v>0</v>
      </c>
      <c r="G112" s="35">
        <f t="shared" si="22"/>
        <v>0</v>
      </c>
      <c r="H112" s="35">
        <f t="shared" si="22"/>
        <v>1242360.9036793094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BCE7-BE55-4911-A4BB-0897AAFB2061}">
  <sheetPr>
    <tabColor rgb="FFC00000"/>
  </sheetPr>
  <dimension ref="A1:Q25"/>
  <sheetViews>
    <sheetView topLeftCell="A5" zoomScale="175" zoomScaleNormal="175" workbookViewId="0">
      <selection activeCell="J25" sqref="J25"/>
    </sheetView>
  </sheetViews>
  <sheetFormatPr defaultRowHeight="15"/>
  <cols>
    <col min="1" max="1" width="37.875" bestFit="1" customWidth="1"/>
    <col min="2" max="2" width="16.875" customWidth="1"/>
  </cols>
  <sheetData>
    <row r="1" spans="1:17" ht="22.5" customHeight="1">
      <c r="A1" s="1"/>
      <c r="B1" s="1"/>
      <c r="C1" s="1"/>
      <c r="D1" s="1"/>
      <c r="E1" s="1"/>
      <c r="F1" s="1"/>
      <c r="G1" s="1"/>
      <c r="H1" s="1"/>
      <c r="I1" s="1"/>
      <c r="J1" s="1"/>
      <c r="K1" s="1"/>
      <c r="L1" s="1"/>
      <c r="M1" s="1"/>
      <c r="N1" s="1"/>
      <c r="O1" s="1"/>
      <c r="P1" s="1"/>
      <c r="Q1" s="1"/>
    </row>
    <row r="2" spans="1:17" ht="22.5" customHeight="1">
      <c r="A2" s="1"/>
      <c r="B2" s="1"/>
      <c r="C2" s="1"/>
      <c r="D2" s="1"/>
      <c r="E2" s="1"/>
      <c r="F2" s="1"/>
      <c r="G2" s="1"/>
      <c r="H2" s="1"/>
      <c r="I2" s="1"/>
      <c r="J2" s="1"/>
      <c r="K2" s="1"/>
      <c r="L2" s="1"/>
      <c r="M2" s="1"/>
      <c r="N2" s="1"/>
      <c r="O2" s="1"/>
      <c r="P2" s="1"/>
      <c r="Q2" s="1"/>
    </row>
    <row r="3" spans="1:17" ht="22.5" customHeight="1">
      <c r="A3" s="1"/>
      <c r="B3" s="1"/>
      <c r="C3" s="1"/>
      <c r="D3" s="1"/>
      <c r="E3" s="1"/>
      <c r="F3" s="1"/>
      <c r="G3" s="1"/>
      <c r="H3" s="1"/>
      <c r="I3" s="1"/>
      <c r="J3" s="1"/>
      <c r="K3" s="1"/>
      <c r="L3" s="1"/>
      <c r="M3" s="1"/>
      <c r="N3" s="1"/>
      <c r="O3" s="1"/>
      <c r="P3" s="1"/>
      <c r="Q3" s="1"/>
    </row>
    <row r="4" spans="1:17" ht="22.5" customHeight="1">
      <c r="A4" s="1"/>
      <c r="B4" s="1"/>
      <c r="C4" s="1"/>
      <c r="D4" s="1"/>
      <c r="E4" s="1"/>
      <c r="F4" s="1"/>
      <c r="G4" s="1"/>
      <c r="H4" s="1"/>
      <c r="I4" s="1"/>
      <c r="J4" s="1"/>
      <c r="K4" s="1"/>
      <c r="L4" s="1"/>
      <c r="M4" s="1"/>
      <c r="N4" s="1"/>
      <c r="O4" s="1"/>
      <c r="P4" s="1"/>
      <c r="Q4" s="1"/>
    </row>
    <row r="5" spans="1:17" ht="22.5" customHeight="1">
      <c r="A5" s="1" t="e">
        <f ca="1">RIGHT(CELL("filename",A1),LEN(CELL("filename",A1))-FIND("]",CELL("filename",A1)))</f>
        <v>#VALUE!</v>
      </c>
      <c r="B5" s="1"/>
      <c r="C5" s="1"/>
      <c r="D5" s="1"/>
      <c r="E5" s="1"/>
      <c r="F5" s="1"/>
      <c r="G5" s="1"/>
      <c r="H5" s="1"/>
      <c r="I5" s="1"/>
      <c r="J5" s="1"/>
      <c r="K5" s="1"/>
      <c r="L5" s="1"/>
      <c r="M5" s="1"/>
      <c r="N5" s="1"/>
      <c r="O5" s="1"/>
      <c r="P5" s="1"/>
      <c r="Q5" s="1"/>
    </row>
    <row r="6" spans="1:17" ht="22.5" customHeight="1">
      <c r="A6" s="2" t="s">
        <v>166</v>
      </c>
      <c r="B6" s="2"/>
      <c r="C6" s="2"/>
      <c r="D6" s="2"/>
      <c r="E6" s="2"/>
      <c r="F6" s="2"/>
      <c r="G6" s="2"/>
      <c r="H6" s="2"/>
      <c r="I6" s="2"/>
      <c r="J6" s="2"/>
      <c r="K6" s="2"/>
      <c r="L6" s="2"/>
      <c r="M6" s="2"/>
      <c r="N6" s="2"/>
      <c r="O6" s="2"/>
      <c r="P6" s="2"/>
      <c r="Q6" s="2"/>
    </row>
    <row r="7" spans="1:17" ht="16.5">
      <c r="A7" s="4" t="s">
        <v>281</v>
      </c>
      <c r="B7" s="4"/>
      <c r="C7" s="4"/>
      <c r="D7" s="4"/>
      <c r="E7" s="4"/>
      <c r="F7" s="4"/>
      <c r="G7" s="4"/>
      <c r="H7" s="4"/>
      <c r="I7" s="4"/>
      <c r="J7" s="4"/>
      <c r="K7" s="4"/>
      <c r="L7" s="4"/>
      <c r="M7" s="4"/>
      <c r="N7" s="4"/>
      <c r="O7" s="4"/>
      <c r="P7" s="4"/>
      <c r="Q7" s="4"/>
    </row>
    <row r="8" spans="1:17">
      <c r="A8" s="3" t="s">
        <v>3</v>
      </c>
      <c r="B8" s="3" t="str">
        <f>'1.0 Data'!B8</f>
        <v>$</v>
      </c>
      <c r="C8" s="3" t="str">
        <f>'1.2 AER Forecast'!G8</f>
        <v>2020/21</v>
      </c>
      <c r="D8" s="3" t="str">
        <f>'1.2 AER Forecast'!H8</f>
        <v>2021/22</v>
      </c>
      <c r="E8" s="3" t="str">
        <f>'1.2 AER Forecast'!I8</f>
        <v>2022/23</v>
      </c>
      <c r="F8" s="3" t="str">
        <f>'1.2 AER Forecast'!J8</f>
        <v>2023/24</v>
      </c>
      <c r="G8" s="3" t="str">
        <f>'1.2 AER Forecast'!K8</f>
        <v>2024/25</v>
      </c>
      <c r="H8" s="3" t="s">
        <v>17</v>
      </c>
      <c r="I8" s="3" t="s">
        <v>18</v>
      </c>
      <c r="J8" s="3" t="s">
        <v>19</v>
      </c>
      <c r="K8" s="3" t="s">
        <v>20</v>
      </c>
      <c r="L8" s="3" t="s">
        <v>21</v>
      </c>
      <c r="M8" s="3" t="s">
        <v>286</v>
      </c>
      <c r="N8" s="3" t="s">
        <v>286</v>
      </c>
      <c r="O8" s="3" t="s">
        <v>287</v>
      </c>
      <c r="P8" s="3" t="s">
        <v>288</v>
      </c>
      <c r="Q8" s="3" t="s">
        <v>289</v>
      </c>
    </row>
    <row r="9" spans="1:17">
      <c r="A9" t="s">
        <v>164</v>
      </c>
      <c r="B9" s="5" t="s">
        <v>290</v>
      </c>
      <c r="C9" s="5">
        <f>'1.2 AER Forecast'!G29</f>
        <v>1.7280253212189056</v>
      </c>
      <c r="D9" s="5">
        <f>'1.2 AER Forecast'!H29</f>
        <v>3.4560506424378112</v>
      </c>
      <c r="E9" s="5">
        <f>'1.2 AER Forecast'!I29</f>
        <v>3.4560506424378112</v>
      </c>
      <c r="F9" s="5">
        <f>'1.2 AER Forecast'!J29</f>
        <v>3.4560506424378112</v>
      </c>
      <c r="G9" s="5">
        <f>'1.2 AER Forecast'!K29</f>
        <v>3.4560506424378112</v>
      </c>
      <c r="H9" s="6">
        <f>G9</f>
        <v>3.4560506424378112</v>
      </c>
      <c r="I9" s="6">
        <f t="shared" ref="I9:L9" si="0">H9</f>
        <v>3.4560506424378112</v>
      </c>
      <c r="J9" s="6">
        <f t="shared" si="0"/>
        <v>3.4560506424378112</v>
      </c>
      <c r="K9" s="6">
        <f t="shared" si="0"/>
        <v>3.4560506424378112</v>
      </c>
      <c r="L9" s="6">
        <f t="shared" si="0"/>
        <v>3.4560506424378112</v>
      </c>
      <c r="M9" s="6">
        <f>SUM(L9,N9)/2</f>
        <v>2.5920379818283585</v>
      </c>
      <c r="N9" s="6">
        <f>C9</f>
        <v>1.7280253212189056</v>
      </c>
      <c r="O9" s="6">
        <f>N9</f>
        <v>1.7280253212189056</v>
      </c>
      <c r="P9" s="6">
        <f t="shared" ref="P9:Q9" si="1">O9</f>
        <v>1.7280253212189056</v>
      </c>
      <c r="Q9" s="6">
        <f t="shared" si="1"/>
        <v>1.7280253212189056</v>
      </c>
    </row>
    <row r="10" spans="1:17">
      <c r="A10" t="s">
        <v>164</v>
      </c>
      <c r="B10" t="s">
        <v>291</v>
      </c>
      <c r="C10" s="6">
        <f>C9/'1.2 AER Forecast'!$F$35/'1.1 Input'!$D$11*'1.1 Input'!$I$11</f>
        <v>2.047891280055548</v>
      </c>
      <c r="D10" s="6">
        <f>D9/'1.2 AER Forecast'!$F$35/'1.1 Input'!$D$11*'1.1 Input'!$I$11</f>
        <v>4.095782560111096</v>
      </c>
      <c r="E10" s="6">
        <f>E9/'1.2 AER Forecast'!$F$35/'1.1 Input'!$D$11*'1.1 Input'!$I$11</f>
        <v>4.095782560111096</v>
      </c>
      <c r="F10" s="6">
        <f>F9/'1.2 AER Forecast'!$F$35/'1.1 Input'!$D$11*'1.1 Input'!$I$11</f>
        <v>4.095782560111096</v>
      </c>
      <c r="G10" s="6">
        <f>G9/'1.2 AER Forecast'!$F$35/'1.1 Input'!$D$11*'1.1 Input'!$I$11</f>
        <v>4.095782560111096</v>
      </c>
      <c r="H10" s="6">
        <f>H9/'1.2 AER Forecast'!$F$35/'1.1 Input'!$D$11*'1.1 Input'!$I$11</f>
        <v>4.095782560111096</v>
      </c>
      <c r="I10" s="6">
        <f>I9/'1.2 AER Forecast'!$F$35/'1.1 Input'!$D$11*'1.1 Input'!$I$11</f>
        <v>4.095782560111096</v>
      </c>
      <c r="J10" s="6">
        <f>J9/'1.2 AER Forecast'!$F$35/'1.1 Input'!$D$11*'1.1 Input'!$I$11</f>
        <v>4.095782560111096</v>
      </c>
      <c r="K10" s="6">
        <f>K9/'1.2 AER Forecast'!$F$35/'1.1 Input'!$D$11*'1.1 Input'!$I$11</f>
        <v>4.095782560111096</v>
      </c>
      <c r="L10" s="6">
        <f>L9/'1.2 AER Forecast'!$F$35/'1.1 Input'!$D$11*'1.1 Input'!$I$11</f>
        <v>4.095782560111096</v>
      </c>
      <c r="M10" s="6">
        <f>M9/'1.2 AER Forecast'!$F$35/'1.1 Input'!$D$11*'1.1 Input'!$I$11</f>
        <v>3.0718369200833222</v>
      </c>
      <c r="N10" s="6">
        <f>N9/'1.2 AER Forecast'!$F$35/'1.1 Input'!$D$11*'1.1 Input'!$I$11</f>
        <v>2.047891280055548</v>
      </c>
      <c r="O10" s="6">
        <f>O9/'1.2 AER Forecast'!$F$35/'1.1 Input'!$D$11*'1.1 Input'!$I$11</f>
        <v>2.047891280055548</v>
      </c>
      <c r="P10" s="6">
        <f>P9/'1.2 AER Forecast'!$F$35/'1.1 Input'!$D$11*'1.1 Input'!$I$11</f>
        <v>2.047891280055548</v>
      </c>
      <c r="Q10" s="6">
        <f>Q9/'1.2 AER Forecast'!$F$35/'1.1 Input'!$D$11*'1.1 Input'!$I$11</f>
        <v>2.047891280055548</v>
      </c>
    </row>
    <row r="11" spans="1:17">
      <c r="A11" t="s">
        <v>292</v>
      </c>
      <c r="B11" t="s">
        <v>293</v>
      </c>
      <c r="C11" s="83">
        <f>'2.2 Capex Nominal Dollars'!E37/1000000</f>
        <v>0</v>
      </c>
      <c r="D11" s="83">
        <f>'2.2 Capex Nominal Dollars'!F37/1000000</f>
        <v>1.1342924399999998</v>
      </c>
      <c r="E11" s="83">
        <f>'2.2 Capex Nominal Dollars'!G37/1000000</f>
        <v>6.135826390000001</v>
      </c>
      <c r="F11" s="83">
        <f>'2.2 Capex Nominal Dollars'!H37/1000000</f>
        <v>10.277834600000002</v>
      </c>
      <c r="G11" s="83">
        <f>'2.2 Capex Nominal Dollars'!I37/1000000</f>
        <v>1.4380861547795087</v>
      </c>
      <c r="H11" s="83">
        <f>'2.2 Capex Nominal Dollars'!Q37/1000000</f>
        <v>0</v>
      </c>
      <c r="I11" s="5">
        <v>0</v>
      </c>
      <c r="J11" s="5">
        <v>0</v>
      </c>
      <c r="K11" s="5">
        <v>0</v>
      </c>
      <c r="L11" s="5">
        <v>0</v>
      </c>
      <c r="M11" s="5">
        <v>0</v>
      </c>
      <c r="N11" s="5">
        <v>0</v>
      </c>
      <c r="O11" s="5">
        <v>0</v>
      </c>
      <c r="P11" s="5">
        <v>0</v>
      </c>
      <c r="Q11" s="5">
        <v>0</v>
      </c>
    </row>
    <row r="12" spans="1:17">
      <c r="A12" t="s">
        <v>292</v>
      </c>
      <c r="B12" t="s">
        <v>291</v>
      </c>
      <c r="C12" s="83">
        <f>'2.1 Capex Real Dollars'!E37/1000000</f>
        <v>0</v>
      </c>
      <c r="D12" s="83">
        <f>'2.1 Capex Real Dollars'!F37/1000000</f>
        <v>1.3178325746397122</v>
      </c>
      <c r="E12" s="83">
        <f>'2.1 Capex Real Dollars'!G37/1000000</f>
        <v>6.6109111557249216</v>
      </c>
      <c r="F12" s="83">
        <f>'2.1 Capex Real Dollars'!H37/1000000</f>
        <v>10.627280976400002</v>
      </c>
      <c r="G12" s="83">
        <f>'2.1 Capex Real Dollars'!I37/1000000</f>
        <v>1.4380861547795087</v>
      </c>
      <c r="H12" s="83">
        <f>'2.1 Capex Real Dollars'!Q38/1000000</f>
        <v>6.0581484062000008</v>
      </c>
      <c r="I12" s="5">
        <v>0</v>
      </c>
      <c r="J12" s="5">
        <v>0</v>
      </c>
      <c r="K12" s="5">
        <v>0</v>
      </c>
      <c r="L12" s="5">
        <v>0</v>
      </c>
      <c r="M12" s="5">
        <v>0</v>
      </c>
      <c r="N12" s="5">
        <v>0</v>
      </c>
      <c r="O12" s="5">
        <v>0</v>
      </c>
      <c r="P12" s="5">
        <v>0</v>
      </c>
      <c r="Q12" s="5">
        <v>0</v>
      </c>
    </row>
    <row r="14" spans="1:17" ht="15.75" thickBot="1"/>
    <row r="15" spans="1:17" ht="15.75" thickBot="1">
      <c r="A15" s="40" t="s">
        <v>215</v>
      </c>
      <c r="B15" s="40" t="str">
        <f>C8</f>
        <v>2020/21</v>
      </c>
      <c r="C15" s="40" t="str">
        <f t="shared" ref="C15:F15" si="2">D8</f>
        <v>2021/22</v>
      </c>
      <c r="D15" s="40" t="str">
        <f t="shared" si="2"/>
        <v>2022/23</v>
      </c>
      <c r="E15" s="40" t="str">
        <f t="shared" si="2"/>
        <v>2023/24</v>
      </c>
      <c r="F15" s="40" t="str">
        <f t="shared" si="2"/>
        <v>2024/25</v>
      </c>
      <c r="G15" s="40" t="s">
        <v>16</v>
      </c>
    </row>
    <row r="16" spans="1:17">
      <c r="A16" s="39" t="str">
        <f>A10</f>
        <v>IGBT Forecast</v>
      </c>
      <c r="B16" s="44">
        <f>C10</f>
        <v>2.047891280055548</v>
      </c>
      <c r="C16" s="44">
        <f t="shared" ref="C16:F16" si="3">D10</f>
        <v>4.095782560111096</v>
      </c>
      <c r="D16" s="44">
        <f t="shared" si="3"/>
        <v>4.095782560111096</v>
      </c>
      <c r="E16" s="44">
        <f t="shared" si="3"/>
        <v>4.095782560111096</v>
      </c>
      <c r="F16" s="44">
        <f t="shared" si="3"/>
        <v>4.095782560111096</v>
      </c>
      <c r="G16" s="56">
        <f>SUM(B16:F16)</f>
        <v>18.431021520499932</v>
      </c>
    </row>
    <row r="17" spans="1:7" ht="15.75" thickBot="1">
      <c r="A17" s="39" t="str">
        <f>A12</f>
        <v>Actuals</v>
      </c>
      <c r="B17" s="44">
        <f>C12</f>
        <v>0</v>
      </c>
      <c r="C17" s="44">
        <f t="shared" ref="C17:F17" si="4">D12</f>
        <v>1.3178325746397122</v>
      </c>
      <c r="D17" s="44">
        <f t="shared" si="4"/>
        <v>6.6109111557249216</v>
      </c>
      <c r="E17" s="44">
        <f t="shared" si="4"/>
        <v>10.627280976400002</v>
      </c>
      <c r="F17" s="44">
        <f t="shared" si="4"/>
        <v>1.4380861547795087</v>
      </c>
      <c r="G17" s="56">
        <f>SUM(B17:F17)</f>
        <v>19.994110861544144</v>
      </c>
    </row>
    <row r="18" spans="1:7" ht="15.75" thickTop="1">
      <c r="A18" s="54" t="s">
        <v>201</v>
      </c>
      <c r="B18" s="55">
        <f>B17-B16</f>
        <v>-2.047891280055548</v>
      </c>
      <c r="C18" s="55">
        <f t="shared" ref="C18:G18" si="5">C17-C16</f>
        <v>-2.7779499854713841</v>
      </c>
      <c r="D18" s="55">
        <f t="shared" si="5"/>
        <v>2.5151285956138256</v>
      </c>
      <c r="E18" s="55">
        <f t="shared" si="5"/>
        <v>6.5314984162889056</v>
      </c>
      <c r="F18" s="55">
        <f t="shared" si="5"/>
        <v>-2.6576964053315875</v>
      </c>
      <c r="G18" s="55">
        <f t="shared" si="5"/>
        <v>1.5630893410442113</v>
      </c>
    </row>
    <row r="19" spans="1:7" ht="15.75" thickBot="1"/>
    <row r="20" spans="1:7" ht="15.75" thickBot="1">
      <c r="A20" s="40" t="s">
        <v>215</v>
      </c>
      <c r="B20" s="40" t="str">
        <f>H8</f>
        <v>2025/26</v>
      </c>
      <c r="C20" s="40" t="str">
        <f>I8</f>
        <v>2026/27</v>
      </c>
      <c r="D20" s="40" t="str">
        <f>J8</f>
        <v>2027/28</v>
      </c>
      <c r="E20" s="40" t="str">
        <f>K8</f>
        <v>2028/29</v>
      </c>
      <c r="F20" s="40" t="str">
        <f>L8</f>
        <v>2029/30</v>
      </c>
      <c r="G20" s="40" t="s">
        <v>16</v>
      </c>
    </row>
    <row r="21" spans="1:7">
      <c r="A21" s="39" t="str">
        <f>A15</f>
        <v>($m FY 25)</v>
      </c>
      <c r="B21" s="44">
        <f>H10</f>
        <v>4.095782560111096</v>
      </c>
      <c r="C21" s="44">
        <f>I10</f>
        <v>4.095782560111096</v>
      </c>
      <c r="D21" s="44">
        <f>J10</f>
        <v>4.095782560111096</v>
      </c>
      <c r="E21" s="44">
        <f>K10</f>
        <v>4.095782560111096</v>
      </c>
      <c r="F21" s="44">
        <f>L10</f>
        <v>4.095782560111096</v>
      </c>
      <c r="G21" s="56">
        <f>SUM(B21:F21)</f>
        <v>20.478912800555481</v>
      </c>
    </row>
    <row r="22" spans="1:7" ht="15.75" thickBot="1">
      <c r="A22" s="39" t="str">
        <f>A17</f>
        <v>Actuals</v>
      </c>
      <c r="B22" s="44">
        <f>H12</f>
        <v>6.0581484062000008</v>
      </c>
      <c r="C22" s="44">
        <f>I12</f>
        <v>0</v>
      </c>
      <c r="D22" s="44">
        <f>J12</f>
        <v>0</v>
      </c>
      <c r="E22" s="44">
        <f>K12</f>
        <v>0</v>
      </c>
      <c r="F22" s="44">
        <f>L12</f>
        <v>0</v>
      </c>
      <c r="G22" s="56">
        <f>SUM(B22:F22)</f>
        <v>6.0581484062000008</v>
      </c>
    </row>
    <row r="23" spans="1:7" ht="15.75" thickTop="1">
      <c r="A23" s="54" t="s">
        <v>201</v>
      </c>
      <c r="B23" s="55">
        <f>B22-B21</f>
        <v>1.9623658460889049</v>
      </c>
      <c r="C23" s="55">
        <f t="shared" ref="C23" si="6">C22-C21</f>
        <v>-4.095782560111096</v>
      </c>
      <c r="D23" s="55">
        <f t="shared" ref="D23" si="7">D22-D21</f>
        <v>-4.095782560111096</v>
      </c>
      <c r="E23" s="55">
        <f t="shared" ref="E23" si="8">E22-E21</f>
        <v>-4.095782560111096</v>
      </c>
      <c r="F23" s="55">
        <f t="shared" ref="F23" si="9">F22-F21</f>
        <v>-4.095782560111096</v>
      </c>
      <c r="G23" s="55">
        <f t="shared" ref="G23" si="10">G22-G21</f>
        <v>-14.42076439435548</v>
      </c>
    </row>
    <row r="25" spans="1:7">
      <c r="B25" s="40"/>
      <c r="C25" s="40"/>
      <c r="D25" s="40"/>
      <c r="E25" s="40"/>
      <c r="F25" s="40"/>
      <c r="G25" s="40"/>
    </row>
  </sheetData>
  <phoneticPr fontId="30"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77B3-D46C-4348-99AA-1BF9C5B82FD5}">
  <sheetPr>
    <tabColor rgb="FFC00000"/>
  </sheetPr>
  <dimension ref="B4:C15"/>
  <sheetViews>
    <sheetView workbookViewId="0">
      <selection activeCell="H31" sqref="H31"/>
    </sheetView>
  </sheetViews>
  <sheetFormatPr defaultRowHeight="15"/>
  <cols>
    <col min="2" max="2" width="26" bestFit="1" customWidth="1"/>
  </cols>
  <sheetData>
    <row r="4" spans="2:3">
      <c r="B4" t="str">
        <f>'3.0 Outputs'!O93</f>
        <v>By Program ($m Real FY25)</v>
      </c>
    </row>
    <row r="6" spans="2:3">
      <c r="B6" t="str">
        <f>'3.0 Outputs'!O95</f>
        <v>Program</v>
      </c>
      <c r="C6" t="s">
        <v>16</v>
      </c>
    </row>
    <row r="7" spans="2:3">
      <c r="B7" t="str">
        <f>'3.0 Outputs'!O96</f>
        <v>Safety and Protection</v>
      </c>
      <c r="C7" s="76">
        <f>'3.0 Outputs'!U96</f>
        <v>5.0290001427114648</v>
      </c>
    </row>
    <row r="8" spans="2:3">
      <c r="B8" t="str">
        <f>'3.0 Outputs'!O97</f>
        <v>Major Maintenance</v>
      </c>
      <c r="C8" s="76">
        <f>'3.0 Outputs'!U97</f>
        <v>8.6017076362378706</v>
      </c>
    </row>
    <row r="9" spans="2:3">
      <c r="B9" t="str">
        <f>'3.0 Outputs'!O98</f>
        <v>Corrosion Management</v>
      </c>
      <c r="C9" s="76">
        <f>'3.0 Outputs'!U98</f>
        <v>0</v>
      </c>
    </row>
    <row r="10" spans="2:3">
      <c r="B10" t="str">
        <f>'3.0 Outputs'!O99</f>
        <v>Asset Monitoring</v>
      </c>
      <c r="C10" s="76">
        <f>'3.0 Outputs'!U99</f>
        <v>1.308737936</v>
      </c>
    </row>
    <row r="11" spans="2:3">
      <c r="B11" t="str">
        <f>'3.0 Outputs'!O100</f>
        <v>Spares Management</v>
      </c>
      <c r="C11" s="76">
        <f>'3.0 Outputs'!U100</f>
        <v>12.511400000000004</v>
      </c>
    </row>
    <row r="12" spans="2:3">
      <c r="B12" t="str">
        <f>'3.0 Outputs'!O101</f>
        <v>IGBTs</v>
      </c>
      <c r="C12" s="76">
        <f>'3.0 Outputs'!U101</f>
        <v>6.0581484062000008</v>
      </c>
    </row>
    <row r="13" spans="2:3">
      <c r="B13" t="str">
        <f>'3.0 Outputs'!O102</f>
        <v>Transmission Determination Costs</v>
      </c>
    </row>
    <row r="14" spans="2:3">
      <c r="B14" t="str">
        <f>'3.0 Outputs'!O103</f>
        <v/>
      </c>
    </row>
    <row r="15" spans="2:3">
      <c r="B15" t="str">
        <f>'3.0 Outputs'!O104</f>
        <v>Total</v>
      </c>
      <c r="C15" s="77">
        <f>SUM(C7:C14)</f>
        <v>33.508994121149343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7A77-4EBE-4BC4-AF6D-7BFDF8772B5B}">
  <dimension ref="A2:J124"/>
  <sheetViews>
    <sheetView workbookViewId="0">
      <selection activeCell="C7" sqref="C7"/>
    </sheetView>
  </sheetViews>
  <sheetFormatPr defaultRowHeight="15"/>
  <cols>
    <col min="1" max="1" width="30" customWidth="1"/>
    <col min="2" max="2" width="8.375" style="149" customWidth="1"/>
    <col min="3" max="5" width="11.375" bestFit="1" customWidth="1"/>
    <col min="6" max="6" width="11.375" customWidth="1"/>
    <col min="7" max="7" width="11.375" bestFit="1" customWidth="1"/>
    <col min="8" max="8" width="12.375" bestFit="1" customWidth="1"/>
  </cols>
  <sheetData>
    <row r="2" spans="1:10">
      <c r="A2" t="s">
        <v>294</v>
      </c>
    </row>
    <row r="3" spans="1:10">
      <c r="A3" t="s">
        <v>295</v>
      </c>
      <c r="C3" t="s">
        <v>226</v>
      </c>
      <c r="D3" t="s">
        <v>227</v>
      </c>
      <c r="E3" t="s">
        <v>228</v>
      </c>
      <c r="F3" t="s">
        <v>296</v>
      </c>
      <c r="G3" t="s">
        <v>297</v>
      </c>
    </row>
    <row r="4" spans="1:10">
      <c r="A4" t="s">
        <v>298</v>
      </c>
      <c r="B4" s="153" t="s">
        <v>299</v>
      </c>
      <c r="C4" s="84">
        <f>'1.2 AER Forecast'!G9</f>
        <v>4.8725651488499748</v>
      </c>
      <c r="D4" s="84">
        <f>'1.2 AER Forecast'!H9</f>
        <v>6.5732515165121201</v>
      </c>
      <c r="E4" s="84">
        <f>'1.2 AER Forecast'!I9</f>
        <v>5.4306567974545237</v>
      </c>
      <c r="F4" s="84">
        <f>'1.2 AER Forecast'!J9</f>
        <v>4.9604388885912227</v>
      </c>
      <c r="G4" s="84">
        <f>'1.2 AER Forecast'!K9</f>
        <v>3.8963656666381996</v>
      </c>
      <c r="H4" s="84">
        <f>SUM(C4:G4)</f>
        <v>25.733278018046043</v>
      </c>
    </row>
    <row r="5" spans="1:10">
      <c r="A5" t="s">
        <v>300</v>
      </c>
      <c r="B5" s="149" t="s">
        <v>301</v>
      </c>
      <c r="C5" s="84">
        <f>'3.0 Outputs'!F11/1000000</f>
        <v>2.0483167239999998</v>
      </c>
      <c r="D5" s="84">
        <f>'3.0 Outputs'!G11/1000000</f>
        <v>2.5686205099999997</v>
      </c>
      <c r="E5" s="84">
        <f>'3.0 Outputs'!H11/1000000</f>
        <v>7.5532205400000008</v>
      </c>
      <c r="F5" s="84">
        <f>'3.0 Outputs'!I11/1000000</f>
        <v>12.120114600000001</v>
      </c>
      <c r="G5" s="84">
        <f>'3.0 Outputs'!J11/1000000</f>
        <v>4.7794433493066748</v>
      </c>
      <c r="H5" s="84">
        <f>SUM(C5:G5)</f>
        <v>29.069715723306675</v>
      </c>
      <c r="I5" s="85">
        <f>((H5-H4)/H4)</f>
        <v>0.12965459367131074</v>
      </c>
    </row>
    <row r="6" spans="1:10">
      <c r="A6" t="s">
        <v>302</v>
      </c>
      <c r="B6" s="153" t="s">
        <v>299</v>
      </c>
      <c r="C6" s="84">
        <f>'3.3 IGBTs'!C9</f>
        <v>1.7280253212189056</v>
      </c>
      <c r="D6" s="84">
        <f>'3.3 IGBTs'!D9</f>
        <v>3.4560506424378112</v>
      </c>
      <c r="E6" s="84">
        <f>'3.3 IGBTs'!E9</f>
        <v>3.4560506424378112</v>
      </c>
      <c r="F6" s="84">
        <f>'3.3 IGBTs'!F9</f>
        <v>3.4560506424378112</v>
      </c>
      <c r="G6" s="84">
        <f>'3.3 IGBTs'!G9</f>
        <v>3.4560506424378112</v>
      </c>
      <c r="H6" s="84">
        <f>SUM(C6:G6)</f>
        <v>15.552227890970149</v>
      </c>
    </row>
    <row r="7" spans="1:10">
      <c r="A7" t="s">
        <v>303</v>
      </c>
      <c r="B7" s="149" t="s">
        <v>301</v>
      </c>
      <c r="C7" s="84">
        <f>'3.3 IGBTs'!C11</f>
        <v>0</v>
      </c>
      <c r="D7" s="84">
        <f>'3.3 IGBTs'!D11</f>
        <v>1.1342924399999998</v>
      </c>
      <c r="E7" s="84">
        <f>'3.3 IGBTs'!E11</f>
        <v>6.135826390000001</v>
      </c>
      <c r="F7" s="84">
        <f>'3.3 IGBTs'!F11</f>
        <v>10.277834600000002</v>
      </c>
      <c r="G7" s="84">
        <f>'3.3 IGBTs'!G11</f>
        <v>1.4380861547795087</v>
      </c>
      <c r="H7" s="84">
        <f>SUM(C7:G7)</f>
        <v>18.986039584779512</v>
      </c>
      <c r="I7" s="85">
        <f>((H7-H6)/H6)</f>
        <v>0.22079226962736853</v>
      </c>
    </row>
    <row r="8" spans="1:10">
      <c r="A8" t="s">
        <v>304</v>
      </c>
    </row>
    <row r="10" spans="1:10">
      <c r="A10" t="s">
        <v>305</v>
      </c>
      <c r="C10" t="s">
        <v>306</v>
      </c>
    </row>
    <row r="11" spans="1:10">
      <c r="C11" t="s">
        <v>11</v>
      </c>
      <c r="D11" t="s">
        <v>12</v>
      </c>
      <c r="E11" t="s">
        <v>13</v>
      </c>
      <c r="F11" t="s">
        <v>14</v>
      </c>
      <c r="G11" t="s">
        <v>15</v>
      </c>
      <c r="H11" t="s">
        <v>16</v>
      </c>
      <c r="J11">
        <v>2019</v>
      </c>
    </row>
    <row r="12" spans="1:10">
      <c r="A12" t="s">
        <v>307</v>
      </c>
      <c r="B12" s="149" t="s">
        <v>301</v>
      </c>
      <c r="C12" s="84">
        <f>'3.0 Outputs'!F24/1000000</f>
        <v>2.0483167239999998</v>
      </c>
      <c r="D12" s="84">
        <f>'3.0 Outputs'!G24/1000000</f>
        <v>2.5686205099999997</v>
      </c>
      <c r="E12" s="84">
        <f>'3.0 Outputs'!H24/1000000</f>
        <v>7.5532205400000008</v>
      </c>
      <c r="F12" s="84">
        <f>'3.0 Outputs'!I24/1000000</f>
        <v>12.120114600000001</v>
      </c>
      <c r="G12" s="84">
        <f>'3.0 Outputs'!J24/1000000</f>
        <v>4.7794433493066748</v>
      </c>
      <c r="H12" s="84">
        <f>'3.0 Outputs'!K24/1000000</f>
        <v>29.069715723306679</v>
      </c>
    </row>
    <row r="13" spans="1:10">
      <c r="A13" t="s">
        <v>152</v>
      </c>
      <c r="B13" s="149" t="s">
        <v>301</v>
      </c>
      <c r="C13" s="84">
        <f>C4*'1.1 Input'!E15</f>
        <v>4.9144977232806974</v>
      </c>
      <c r="D13" s="84">
        <f>D4*'1.1 Input'!F15</f>
        <v>6.8617505073401039</v>
      </c>
      <c r="E13" s="84">
        <f>E4*'1.1 Input'!G15</f>
        <v>6.1129940542775536</v>
      </c>
      <c r="F13" s="84">
        <f>F4*'1.1 Input'!H15</f>
        <v>5.8182106170920536</v>
      </c>
      <c r="G13" s="84">
        <f>G4*'1.1 Input'!I15</f>
        <v>4.7255197379146789</v>
      </c>
      <c r="H13" s="84">
        <f>SUM(C13:G13)</f>
        <v>28.432972639905088</v>
      </c>
      <c r="I13" s="154"/>
      <c r="J13">
        <f>'1.1 Input'!C14*'1.2 AER Forecast'!E16</f>
        <v>2.7496932515337429</v>
      </c>
    </row>
    <row r="14" spans="1:10">
      <c r="A14" t="s">
        <v>201</v>
      </c>
      <c r="C14" s="84">
        <f>C12-C13</f>
        <v>-2.8661809992806977</v>
      </c>
      <c r="D14" s="84">
        <f>D12-D13</f>
        <v>-4.2931299973401043</v>
      </c>
      <c r="E14" s="84">
        <f>E12-E13</f>
        <v>1.4402264857224472</v>
      </c>
      <c r="F14" s="84">
        <f>F12-F13</f>
        <v>6.3019039829079473</v>
      </c>
      <c r="G14" s="84">
        <f>G12-G13</f>
        <v>5.3923611391995863E-2</v>
      </c>
      <c r="H14" s="84">
        <f>SUM(C14:G14)</f>
        <v>0.63674308340158881</v>
      </c>
      <c r="I14" s="154">
        <f>H14/H13</f>
        <v>2.2394530866179398E-2</v>
      </c>
    </row>
    <row r="16" spans="1:10">
      <c r="A16" t="s">
        <v>84</v>
      </c>
      <c r="C16" t="s">
        <v>306</v>
      </c>
    </row>
    <row r="17" spans="1:9">
      <c r="C17" t="s">
        <v>11</v>
      </c>
      <c r="D17" t="s">
        <v>12</v>
      </c>
      <c r="E17" t="s">
        <v>13</v>
      </c>
      <c r="F17" t="s">
        <v>14</v>
      </c>
      <c r="G17" t="s">
        <v>15</v>
      </c>
      <c r="H17" t="s">
        <v>16</v>
      </c>
    </row>
    <row r="18" spans="1:9">
      <c r="A18" t="s">
        <v>307</v>
      </c>
      <c r="B18" s="149" t="s">
        <v>301</v>
      </c>
      <c r="C18" s="84">
        <f>C7</f>
        <v>0</v>
      </c>
      <c r="D18" s="84">
        <f>D7</f>
        <v>1.1342924399999998</v>
      </c>
      <c r="E18" s="84">
        <f>E7</f>
        <v>6.135826390000001</v>
      </c>
      <c r="F18" s="84">
        <f>F7</f>
        <v>10.277834600000002</v>
      </c>
      <c r="G18" s="84">
        <f>G7</f>
        <v>1.4380861547795087</v>
      </c>
      <c r="H18" s="84">
        <f>SUM(C18:G18)</f>
        <v>18.986039584779512</v>
      </c>
    </row>
    <row r="19" spans="1:9">
      <c r="A19" t="s">
        <v>152</v>
      </c>
      <c r="B19" s="149" t="s">
        <v>301</v>
      </c>
      <c r="C19" s="84">
        <f>C6*'1.1 Input'!E15</f>
        <v>1.7428964513498773</v>
      </c>
      <c r="D19" s="84">
        <f>D6*'1.1 Input'!F15</f>
        <v>3.6077361697737218</v>
      </c>
      <c r="E19" s="84">
        <f>E6*'1.1 Input'!G15</f>
        <v>3.8902876422621833</v>
      </c>
      <c r="F19" s="84">
        <f>F6*'1.1 Input'!H15</f>
        <v>4.0536797232371953</v>
      </c>
      <c r="G19" s="84">
        <f>G6*'1.1 Input'!I15</f>
        <v>4.1915048338272589</v>
      </c>
      <c r="H19" s="84">
        <f>SUM(C19:G19)</f>
        <v>17.486104820450237</v>
      </c>
      <c r="I19" s="154"/>
    </row>
    <row r="20" spans="1:9">
      <c r="A20" t="s">
        <v>201</v>
      </c>
      <c r="C20" s="84">
        <f>C18-C19</f>
        <v>-1.7428964513498773</v>
      </c>
      <c r="D20" s="84">
        <f>D18-D19</f>
        <v>-2.473443729773722</v>
      </c>
      <c r="E20" s="84">
        <f>E18-E19</f>
        <v>2.2455387477378177</v>
      </c>
      <c r="F20" s="84">
        <f>F18-F19</f>
        <v>6.2241548767628068</v>
      </c>
      <c r="G20" s="84">
        <f>G18-G19</f>
        <v>-2.7534186790477504</v>
      </c>
      <c r="H20" s="84">
        <f>SUM(C20:G20)</f>
        <v>1.4999347643292742</v>
      </c>
      <c r="I20" s="154">
        <f>H20/H19</f>
        <v>8.5778667103440912E-2</v>
      </c>
    </row>
    <row r="23" spans="1:9">
      <c r="A23" t="s">
        <v>308</v>
      </c>
      <c r="C23" t="s">
        <v>309</v>
      </c>
      <c r="H23" t="s">
        <v>310</v>
      </c>
    </row>
    <row r="24" spans="1:9">
      <c r="C24" t="s">
        <v>311</v>
      </c>
      <c r="D24" t="s">
        <v>312</v>
      </c>
      <c r="E24" t="s">
        <v>313</v>
      </c>
      <c r="F24" t="s">
        <v>314</v>
      </c>
      <c r="G24" t="s">
        <v>315</v>
      </c>
      <c r="H24" t="s">
        <v>16</v>
      </c>
    </row>
    <row r="25" spans="1:9">
      <c r="A25" t="s">
        <v>316</v>
      </c>
      <c r="C25" s="84">
        <f>'3.0 Outputs'!P26/1000000</f>
        <v>0</v>
      </c>
      <c r="D25" s="84">
        <f>'3.0 Outputs'!Q26/1000000</f>
        <v>0</v>
      </c>
      <c r="E25" s="84">
        <f>'3.0 Outputs'!R26/1000000</f>
        <v>0</v>
      </c>
      <c r="F25" s="84">
        <f>'3.0 Outputs'!S26/1000000</f>
        <v>0</v>
      </c>
      <c r="G25" s="84">
        <f>'3.0 Outputs'!T26/1000000</f>
        <v>0</v>
      </c>
      <c r="H25" s="84">
        <f>'3.0 Outputs'!U26/1000000</f>
        <v>0</v>
      </c>
    </row>
    <row r="26" spans="1:9">
      <c r="A26" t="s">
        <v>317</v>
      </c>
      <c r="C26" s="84">
        <f>'3.0 Outputs'!P27/1000000</f>
        <v>13.805901505692477</v>
      </c>
      <c r="D26" s="84">
        <f>'3.0 Outputs'!Q27/1000000</f>
        <v>4.5336386964198416</v>
      </c>
      <c r="E26" s="84">
        <f>'3.0 Outputs'!R27/1000000</f>
        <v>4.2003924382463236</v>
      </c>
      <c r="F26" s="84">
        <f>'3.0 Outputs'!S27/1000000</f>
        <v>3.8983903966009792</v>
      </c>
      <c r="G26" s="84">
        <f>'3.0 Outputs'!T27/1000000</f>
        <v>7.3634481841897133</v>
      </c>
      <c r="H26" s="84">
        <f>'3.0 Outputs'!U27/1000000</f>
        <v>33.80177122114933</v>
      </c>
    </row>
    <row r="27" spans="1:9">
      <c r="A27" t="s">
        <v>318</v>
      </c>
      <c r="C27" s="84">
        <f>'3.0 Outputs'!P28/1000000</f>
        <v>0</v>
      </c>
      <c r="D27" s="84">
        <f>'3.0 Outputs'!Q28/1000000</f>
        <v>0</v>
      </c>
      <c r="E27" s="84">
        <f>'3.0 Outputs'!R28/1000000</f>
        <v>0</v>
      </c>
      <c r="F27" s="84">
        <f>'3.0 Outputs'!S28/1000000</f>
        <v>0</v>
      </c>
      <c r="G27" s="84">
        <f>'3.0 Outputs'!T28/1000000</f>
        <v>0</v>
      </c>
      <c r="H27" s="84">
        <f>'3.0 Outputs'!U28/1000000</f>
        <v>0</v>
      </c>
    </row>
    <row r="28" spans="1:9">
      <c r="A28" t="s">
        <v>16</v>
      </c>
      <c r="C28" s="84">
        <f>'3.0 Outputs'!P29/1000000</f>
        <v>13.805901505692477</v>
      </c>
      <c r="D28" s="84">
        <f>'3.0 Outputs'!Q29/1000000</f>
        <v>4.5336386964198416</v>
      </c>
      <c r="E28" s="84">
        <f>'3.0 Outputs'!R29/1000000</f>
        <v>4.2003924382463236</v>
      </c>
      <c r="F28" s="84">
        <f>'3.0 Outputs'!S29/1000000</f>
        <v>3.8983903966009792</v>
      </c>
      <c r="G28" s="84">
        <f>'3.0 Outputs'!T29/1000000</f>
        <v>7.3634481841897133</v>
      </c>
      <c r="H28" s="84">
        <f>'3.0 Outputs'!U29/1000000</f>
        <v>33.80177122114933</v>
      </c>
    </row>
    <row r="30" spans="1:9">
      <c r="A30" t="s">
        <v>319</v>
      </c>
      <c r="C30" t="s">
        <v>320</v>
      </c>
    </row>
    <row r="31" spans="1:9">
      <c r="C31" t="s">
        <v>311</v>
      </c>
      <c r="D31" t="s">
        <v>312</v>
      </c>
      <c r="E31" t="s">
        <v>313</v>
      </c>
      <c r="F31" t="s">
        <v>314</v>
      </c>
      <c r="G31" t="s">
        <v>315</v>
      </c>
      <c r="H31" t="s">
        <v>16</v>
      </c>
    </row>
    <row r="32" spans="1:9">
      <c r="A32" t="s">
        <v>321</v>
      </c>
      <c r="C32" s="84"/>
      <c r="D32" s="84"/>
      <c r="E32" s="84"/>
      <c r="F32" s="84"/>
      <c r="G32" s="84"/>
      <c r="H32" s="84"/>
    </row>
    <row r="34" spans="1:8">
      <c r="A34" t="s">
        <v>322</v>
      </c>
      <c r="C34" t="s">
        <v>323</v>
      </c>
    </row>
    <row r="35" spans="1:8">
      <c r="C35" t="s">
        <v>11</v>
      </c>
      <c r="D35" t="s">
        <v>12</v>
      </c>
      <c r="E35" t="s">
        <v>13</v>
      </c>
      <c r="F35" t="s">
        <v>324</v>
      </c>
      <c r="G35" t="s">
        <v>325</v>
      </c>
      <c r="H35" t="s">
        <v>16</v>
      </c>
    </row>
    <row r="36" spans="1:8">
      <c r="A36" t="s">
        <v>166</v>
      </c>
    </row>
    <row r="37" spans="1:8">
      <c r="A37" t="s">
        <v>326</v>
      </c>
    </row>
    <row r="38" spans="1:8">
      <c r="A38" t="s">
        <v>201</v>
      </c>
    </row>
    <row r="40" spans="1:8">
      <c r="A40" t="s">
        <v>327</v>
      </c>
      <c r="C40" t="s">
        <v>328</v>
      </c>
    </row>
    <row r="41" spans="1:8">
      <c r="C41" t="s">
        <v>11</v>
      </c>
      <c r="D41" t="s">
        <v>12</v>
      </c>
      <c r="E41" t="s">
        <v>13</v>
      </c>
      <c r="F41" t="s">
        <v>324</v>
      </c>
      <c r="G41" t="s">
        <v>325</v>
      </c>
      <c r="H41" t="s">
        <v>16</v>
      </c>
    </row>
    <row r="42" spans="1:8">
      <c r="A42" t="s">
        <v>166</v>
      </c>
    </row>
    <row r="43" spans="1:8">
      <c r="A43" t="s">
        <v>326</v>
      </c>
    </row>
    <row r="44" spans="1:8">
      <c r="A44" t="s">
        <v>201</v>
      </c>
    </row>
    <row r="46" spans="1:8">
      <c r="A46" t="s">
        <v>329</v>
      </c>
      <c r="C46" t="s">
        <v>330</v>
      </c>
    </row>
    <row r="47" spans="1:8">
      <c r="C47" t="s">
        <v>11</v>
      </c>
      <c r="D47" t="s">
        <v>12</v>
      </c>
      <c r="E47" t="s">
        <v>13</v>
      </c>
      <c r="F47" t="s">
        <v>324</v>
      </c>
      <c r="G47" t="s">
        <v>325</v>
      </c>
      <c r="H47" t="s">
        <v>16</v>
      </c>
    </row>
    <row r="48" spans="1:8">
      <c r="A48" t="s">
        <v>202</v>
      </c>
    </row>
    <row r="49" spans="1:8">
      <c r="A49" t="s">
        <v>331</v>
      </c>
    </row>
    <row r="50" spans="1:8">
      <c r="A50" t="s">
        <v>201</v>
      </c>
    </row>
    <row r="52" spans="1:8">
      <c r="A52" t="s">
        <v>332</v>
      </c>
    </row>
    <row r="53" spans="1:8">
      <c r="C53" t="s">
        <v>311</v>
      </c>
      <c r="D53" t="s">
        <v>312</v>
      </c>
      <c r="E53" t="s">
        <v>313</v>
      </c>
      <c r="F53" t="s">
        <v>314</v>
      </c>
      <c r="G53" t="s">
        <v>315</v>
      </c>
      <c r="H53" t="s">
        <v>16</v>
      </c>
    </row>
    <row r="54" spans="1:8">
      <c r="A54" t="str">
        <f>'3.0 Outputs'!O49</f>
        <v>Transmission Assets</v>
      </c>
      <c r="C54" s="84">
        <f ca="1">'3.0 Outputs'!P49/1000000</f>
        <v>8.8949388885123231</v>
      </c>
      <c r="D54" s="84">
        <f ca="1">'3.0 Outputs'!Q49/1000000</f>
        <v>2.4653414988011098</v>
      </c>
      <c r="E54" s="84">
        <f ca="1">'3.0 Outputs'!R49/1000000</f>
        <v>2.3530122731337473</v>
      </c>
      <c r="F54" s="84">
        <f ca="1">'3.0 Outputs'!S49/1000000</f>
        <v>1.2155842189808455</v>
      </c>
      <c r="G54" s="84">
        <f ca="1">'3.0 Outputs'!T49/1000000</f>
        <v>13.516629607149717</v>
      </c>
      <c r="H54" s="84">
        <f ca="1">'3.0 Outputs'!U49/1000000</f>
        <v>28.445506486577742</v>
      </c>
    </row>
    <row r="55" spans="1:8">
      <c r="A55" t="str">
        <f>'3.0 Outputs'!O50</f>
        <v>Transmission Determination Costs</v>
      </c>
      <c r="C55" s="84">
        <f>'3.0 Outputs'!P50/1000000</f>
        <v>0</v>
      </c>
      <c r="D55" s="84">
        <f>'3.0 Outputs'!Q50/1000000</f>
        <v>0</v>
      </c>
      <c r="E55" s="84">
        <f>'3.0 Outputs'!R50/1000000</f>
        <v>0</v>
      </c>
      <c r="F55" s="84">
        <f>'3.0 Outputs'!S50/1000000</f>
        <v>0.14638855000000001</v>
      </c>
      <c r="G55" s="84">
        <f>'3.0 Outputs'!T50/1000000</f>
        <v>0.14638855000000001</v>
      </c>
      <c r="H55" s="84">
        <f>'3.0 Outputs'!U50/1000000</f>
        <v>0.29277710000000001</v>
      </c>
    </row>
    <row r="56" spans="1:8">
      <c r="A56" t="str">
        <f>'3.0 Outputs'!O51</f>
        <v>Easements</v>
      </c>
      <c r="C56" s="84">
        <f>'3.0 Outputs'!P51/1000000</f>
        <v>0.17936798000000001</v>
      </c>
      <c r="D56" s="84">
        <f>'3.0 Outputs'!Q51/1000000</f>
        <v>0</v>
      </c>
      <c r="E56" s="84">
        <f>'3.0 Outputs'!R51/1000000</f>
        <v>0</v>
      </c>
      <c r="F56" s="84">
        <f>'3.0 Outputs'!S51/1000000</f>
        <v>0</v>
      </c>
      <c r="G56" s="84">
        <f>'3.0 Outputs'!T51/1000000</f>
        <v>0</v>
      </c>
      <c r="H56" s="84">
        <f>'3.0 Outputs'!U51/1000000</f>
        <v>0.17936798000000001</v>
      </c>
    </row>
    <row r="57" spans="1:8">
      <c r="A57" t="str">
        <f>'3.0 Outputs'!O52</f>
        <v>Land</v>
      </c>
      <c r="C57" s="84">
        <f>'3.0 Outputs'!P52/1000000</f>
        <v>0</v>
      </c>
      <c r="D57" s="84">
        <f>'3.0 Outputs'!Q52/1000000</f>
        <v>0</v>
      </c>
      <c r="E57" s="84">
        <f>'3.0 Outputs'!R52/1000000</f>
        <v>0</v>
      </c>
      <c r="F57" s="84">
        <f>'3.0 Outputs'!S52/1000000</f>
        <v>0</v>
      </c>
      <c r="G57" s="84">
        <f>'3.0 Outputs'!T52/1000000</f>
        <v>0</v>
      </c>
      <c r="H57" s="84">
        <f>'3.0 Outputs'!U52/1000000</f>
        <v>0</v>
      </c>
    </row>
    <row r="58" spans="1:8">
      <c r="A58" t="str">
        <f>'3.0 Outputs'!O53</f>
        <v>Buildings</v>
      </c>
      <c r="C58" s="84">
        <f>'3.0 Outputs'!P53/1000000</f>
        <v>0.49588035353999999</v>
      </c>
      <c r="D58" s="84">
        <f>'3.0 Outputs'!Q53/1000000</f>
        <v>2.223631273822805</v>
      </c>
      <c r="E58" s="84">
        <f>'3.0 Outputs'!R53/1000000</f>
        <v>1.1765649805286587</v>
      </c>
      <c r="F58" s="84">
        <f>'3.0 Outputs'!S53/1000000</f>
        <v>0.98804304668013399</v>
      </c>
      <c r="G58" s="84">
        <f>'3.0 Outputs'!T53/1000000</f>
        <v>0</v>
      </c>
      <c r="H58" s="84">
        <f>'3.0 Outputs'!U53/1000000</f>
        <v>4.884119654571597</v>
      </c>
    </row>
    <row r="59" spans="1:8">
      <c r="A59" t="str">
        <f>'3.0 Outputs'!O54</f>
        <v>Total</v>
      </c>
      <c r="C59" s="84">
        <f ca="1">'3.0 Outputs'!P54/1000000</f>
        <v>9.5701872220523221</v>
      </c>
      <c r="D59" s="84">
        <f ca="1">'3.0 Outputs'!Q54/1000000</f>
        <v>4.6889727726239157</v>
      </c>
      <c r="E59" s="84">
        <f ca="1">'3.0 Outputs'!R54/1000000</f>
        <v>3.5295772536624059</v>
      </c>
      <c r="F59" s="84">
        <f ca="1">'3.0 Outputs'!S54/1000000</f>
        <v>2.3500158156609796</v>
      </c>
      <c r="G59" s="84">
        <f ca="1">'3.0 Outputs'!T54/1000000</f>
        <v>13.663018157149716</v>
      </c>
      <c r="H59" s="84">
        <f ca="1">'3.0 Outputs'!U54/1000000</f>
        <v>33.801771221149338</v>
      </c>
    </row>
    <row r="62" spans="1:8">
      <c r="A62" t="s">
        <v>333</v>
      </c>
    </row>
    <row r="63" spans="1:8">
      <c r="C63" t="s">
        <v>311</v>
      </c>
      <c r="D63" t="s">
        <v>312</v>
      </c>
      <c r="E63" t="s">
        <v>313</v>
      </c>
      <c r="F63" t="s">
        <v>314</v>
      </c>
      <c r="G63" t="s">
        <v>315</v>
      </c>
      <c r="H63" t="s">
        <v>16</v>
      </c>
    </row>
    <row r="64" spans="1:8">
      <c r="A64" t="s">
        <v>334</v>
      </c>
    </row>
    <row r="65" spans="1:8">
      <c r="A65" t="s">
        <v>335</v>
      </c>
    </row>
    <row r="66" spans="1:8">
      <c r="A66" t="s">
        <v>143</v>
      </c>
    </row>
    <row r="67" spans="1:8">
      <c r="A67" t="s">
        <v>16</v>
      </c>
    </row>
    <row r="69" spans="1:8" ht="72" thickBot="1">
      <c r="A69" s="110" t="s">
        <v>336</v>
      </c>
      <c r="B69" s="150"/>
      <c r="C69" s="110" t="s">
        <v>337</v>
      </c>
    </row>
    <row r="70" spans="1:8" ht="15.75" thickBot="1">
      <c r="A70" s="111"/>
      <c r="B70" s="148"/>
      <c r="C70" s="112" t="s">
        <v>17</v>
      </c>
      <c r="D70" s="112" t="s">
        <v>18</v>
      </c>
      <c r="E70" s="112" t="s">
        <v>19</v>
      </c>
      <c r="F70" s="112" t="s">
        <v>20</v>
      </c>
      <c r="G70" s="112" t="s">
        <v>21</v>
      </c>
      <c r="H70" s="112" t="s">
        <v>16</v>
      </c>
    </row>
    <row r="71" spans="1:8" ht="29.25" thickBot="1">
      <c r="A71" s="113" t="s">
        <v>338</v>
      </c>
      <c r="B71" s="151"/>
      <c r="C71" s="114">
        <f>'2.2 Capex Nominal Dollars'!Q65/1000000</f>
        <v>0</v>
      </c>
      <c r="D71" s="114">
        <f>'2.2 Capex Nominal Dollars'!R65/1000000</f>
        <v>0</v>
      </c>
      <c r="E71" s="114">
        <f>'2.2 Capex Nominal Dollars'!S65/1000000</f>
        <v>0</v>
      </c>
      <c r="F71" s="114">
        <f>'2.2 Capex Nominal Dollars'!T65/1000000</f>
        <v>0</v>
      </c>
      <c r="G71" s="114">
        <f>'2.2 Capex Nominal Dollars'!U65/1000000</f>
        <v>0</v>
      </c>
      <c r="H71" s="114">
        <f>'2.2 Capex Nominal Dollars'!V65/1000000</f>
        <v>0</v>
      </c>
    </row>
    <row r="73" spans="1:8" ht="15.75" thickBot="1"/>
    <row r="74" spans="1:8" ht="15.75" thickBot="1">
      <c r="A74" s="111"/>
      <c r="B74" s="148"/>
      <c r="C74" s="112" t="s">
        <v>311</v>
      </c>
      <c r="D74" s="112" t="s">
        <v>312</v>
      </c>
      <c r="E74" s="112" t="s">
        <v>313</v>
      </c>
      <c r="F74" s="112" t="s">
        <v>314</v>
      </c>
      <c r="G74" s="112" t="s">
        <v>315</v>
      </c>
      <c r="H74" s="112" t="s">
        <v>16</v>
      </c>
    </row>
    <row r="75" spans="1:8" ht="15.75" thickBot="1">
      <c r="A75" s="117" t="s">
        <v>339</v>
      </c>
      <c r="B75" s="118"/>
      <c r="C75" s="114">
        <f>'3.0 Outputs'!P96</f>
        <v>3.7248260508401567</v>
      </c>
      <c r="D75" s="114">
        <f>'3.0 Outputs'!Q96</f>
        <v>1.0919688474787315</v>
      </c>
      <c r="E75" s="114">
        <f>'3.0 Outputs'!R96</f>
        <v>0.21220524439257599</v>
      </c>
      <c r="F75" s="114">
        <f>'3.0 Outputs'!S96</f>
        <v>0</v>
      </c>
      <c r="G75" s="114">
        <f>'3.0 Outputs'!T96</f>
        <v>0</v>
      </c>
      <c r="H75" s="114">
        <f t="shared" ref="H75:H81" si="0">SUM(C75:G75)</f>
        <v>5.0290001427114648</v>
      </c>
    </row>
    <row r="76" spans="1:8" ht="15.75" thickBot="1">
      <c r="A76" s="117" t="s">
        <v>340</v>
      </c>
      <c r="B76" s="118"/>
      <c r="C76" s="114">
        <f>'3.0 Outputs'!P97</f>
        <v>1.4294638517123217</v>
      </c>
      <c r="D76" s="114">
        <f>'3.0 Outputs'!Q97</f>
        <v>1.9958227788011096</v>
      </c>
      <c r="E76" s="114">
        <f>'3.0 Outputs'!R97</f>
        <v>2.1968639729137474</v>
      </c>
      <c r="F76" s="114">
        <f>'3.0 Outputs'!S97</f>
        <v>2.1108154256609795</v>
      </c>
      <c r="G76" s="114">
        <f>'3.0 Outputs'!T97</f>
        <v>0.86874160714971205</v>
      </c>
      <c r="H76" s="114">
        <f t="shared" si="0"/>
        <v>8.6017076362378706</v>
      </c>
    </row>
    <row r="77" spans="1:8" ht="15.75" thickBot="1">
      <c r="A77" s="117" t="s">
        <v>341</v>
      </c>
      <c r="B77" s="118"/>
      <c r="C77" s="114">
        <f>'3.0 Outputs'!P98</f>
        <v>0</v>
      </c>
      <c r="D77" s="114">
        <f>'3.0 Outputs'!Q98</f>
        <v>0</v>
      </c>
      <c r="E77" s="114">
        <f>'3.0 Outputs'!R98</f>
        <v>0</v>
      </c>
      <c r="F77" s="114">
        <f>'3.0 Outputs'!S98</f>
        <v>0</v>
      </c>
      <c r="G77" s="114">
        <f>'3.0 Outputs'!T98</f>
        <v>0</v>
      </c>
      <c r="H77" s="114">
        <f t="shared" si="0"/>
        <v>0</v>
      </c>
    </row>
    <row r="78" spans="1:8" ht="15.75" thickBot="1">
      <c r="A78" s="117" t="s">
        <v>342</v>
      </c>
      <c r="B78" s="118"/>
      <c r="C78" s="114">
        <f>'3.0 Outputs'!P99</f>
        <v>0.75732641599999995</v>
      </c>
      <c r="D78" s="114">
        <f>'3.0 Outputs'!Q99</f>
        <v>0.22929984</v>
      </c>
      <c r="E78" s="114">
        <f>'3.0 Outputs'!R99</f>
        <v>9.2811839999999993E-2</v>
      </c>
      <c r="F78" s="114">
        <f>'3.0 Outputs'!S99</f>
        <v>9.2811839999999993E-2</v>
      </c>
      <c r="G78" s="114">
        <f>'3.0 Outputs'!T99</f>
        <v>0.136488</v>
      </c>
      <c r="H78" s="114">
        <f t="shared" si="0"/>
        <v>1.308737936</v>
      </c>
    </row>
    <row r="79" spans="1:8" ht="15.75" thickBot="1">
      <c r="A79" s="117" t="s">
        <v>343</v>
      </c>
      <c r="B79" s="118"/>
      <c r="C79" s="114">
        <f>'3.0 Outputs'!P100</f>
        <v>1.8361367809400002</v>
      </c>
      <c r="D79" s="114">
        <f>'3.0 Outputs'!Q100</f>
        <v>1.2165472301400004</v>
      </c>
      <c r="E79" s="114">
        <f>'3.0 Outputs'!R100</f>
        <v>1.6985113809400003</v>
      </c>
      <c r="F79" s="114">
        <f>'3.0 Outputs'!S100</f>
        <v>1.5483745809400002</v>
      </c>
      <c r="G79" s="114">
        <f>'3.0 Outputs'!T100</f>
        <v>6.2118300270400022</v>
      </c>
      <c r="H79" s="114">
        <f t="shared" si="0"/>
        <v>12.511400000000004</v>
      </c>
    </row>
    <row r="80" spans="1:8" ht="15.75" thickBot="1">
      <c r="A80" s="117" t="s">
        <v>344</v>
      </c>
      <c r="B80" s="118"/>
      <c r="C80" s="114">
        <f>'3.0 Outputs'!P101</f>
        <v>6.0581484062000008</v>
      </c>
      <c r="D80" s="114">
        <f>'3.0 Outputs'!Q101</f>
        <v>0</v>
      </c>
      <c r="E80" s="114">
        <f>'3.0 Outputs'!R101</f>
        <v>0</v>
      </c>
      <c r="F80" s="114">
        <f>'3.0 Outputs'!S101</f>
        <v>0</v>
      </c>
      <c r="G80" s="114">
        <f>'3.0 Outputs'!T101</f>
        <v>0</v>
      </c>
      <c r="H80" s="114">
        <f t="shared" si="0"/>
        <v>6.0581484062000008</v>
      </c>
    </row>
    <row r="81" spans="1:8" ht="15.75" thickBot="1">
      <c r="A81" s="117" t="s">
        <v>345</v>
      </c>
      <c r="B81" s="118"/>
      <c r="C81" s="114">
        <f>'3.0 Outputs'!P102</f>
        <v>0</v>
      </c>
      <c r="D81" s="114">
        <f>'3.0 Outputs'!Q102</f>
        <v>0</v>
      </c>
      <c r="E81" s="114">
        <f>'3.0 Outputs'!R102</f>
        <v>0</v>
      </c>
      <c r="F81" s="114">
        <f>'3.0 Outputs'!S102</f>
        <v>0.14638855000000001</v>
      </c>
      <c r="G81" s="114">
        <f>'3.0 Outputs'!T102</f>
        <v>0.14638855000000001</v>
      </c>
      <c r="H81" s="114">
        <f t="shared" si="0"/>
        <v>0.29277710000000001</v>
      </c>
    </row>
    <row r="82" spans="1:8" ht="15.75" thickBot="1">
      <c r="A82" s="117" t="s">
        <v>346</v>
      </c>
      <c r="B82" s="118"/>
      <c r="C82" s="114">
        <f t="shared" ref="C82:G82" si="1">SUM(C75:C80)</f>
        <v>13.805901505692479</v>
      </c>
      <c r="D82" s="114">
        <f t="shared" si="1"/>
        <v>4.5336386964198416</v>
      </c>
      <c r="E82" s="114">
        <f t="shared" si="1"/>
        <v>4.2003924382463236</v>
      </c>
      <c r="F82" s="114">
        <f t="shared" si="1"/>
        <v>3.7520018466009795</v>
      </c>
      <c r="G82" s="114">
        <f t="shared" si="1"/>
        <v>7.217059634189714</v>
      </c>
      <c r="H82" s="114">
        <f>SUM(H75:H81)</f>
        <v>33.801771221149345</v>
      </c>
    </row>
    <row r="83" spans="1:8" ht="15.75" thickBot="1">
      <c r="A83" s="117"/>
      <c r="B83" s="118"/>
      <c r="C83" s="118"/>
      <c r="D83" s="118"/>
      <c r="E83" s="118"/>
      <c r="F83" s="118"/>
      <c r="G83" s="118"/>
      <c r="H83" s="118"/>
    </row>
    <row r="84" spans="1:8" ht="16.5">
      <c r="A84" s="119"/>
      <c r="B84" s="152"/>
    </row>
    <row r="85" spans="1:8">
      <c r="A85" s="155" t="s">
        <v>347</v>
      </c>
      <c r="B85" s="155" t="s">
        <v>348</v>
      </c>
    </row>
    <row r="86" spans="1:8">
      <c r="A86" s="156" t="s">
        <v>349</v>
      </c>
      <c r="B86" s="157" t="s">
        <v>350</v>
      </c>
      <c r="C86" s="157" t="s">
        <v>351</v>
      </c>
      <c r="D86" s="157" t="s">
        <v>352</v>
      </c>
      <c r="E86" s="157" t="s">
        <v>353</v>
      </c>
      <c r="F86" s="157" t="s">
        <v>354</v>
      </c>
      <c r="G86" s="158" t="s">
        <v>16</v>
      </c>
    </row>
    <row r="87" spans="1:8">
      <c r="A87" s="159" t="s">
        <v>355</v>
      </c>
      <c r="B87" s="162">
        <f>'2.1 Capex Real Dollars'!Q5/1000000</f>
        <v>13.805901505692477</v>
      </c>
      <c r="C87" s="162">
        <f ca="1">'2.1 Capex Real Dollars'!R5/1000000</f>
        <v>4.5336386964198416</v>
      </c>
      <c r="D87" s="162">
        <f ca="1">'2.1 Capex Real Dollars'!S5/1000000</f>
        <v>4.2003924382463236</v>
      </c>
      <c r="E87" s="162">
        <f ca="1">'2.1 Capex Real Dollars'!T5/1000000</f>
        <v>3.8983903966009792</v>
      </c>
      <c r="F87" s="162">
        <f ca="1">'2.1 Capex Real Dollars'!U5/1000000</f>
        <v>7.3634481841897133</v>
      </c>
      <c r="G87" s="162">
        <f ca="1">'2.1 Capex Real Dollars'!V5/1000000</f>
        <v>33.801771221149338</v>
      </c>
    </row>
    <row r="88" spans="1:8">
      <c r="A88" s="160" t="s">
        <v>207</v>
      </c>
      <c r="B88" s="163">
        <f>'2.1 Capex Real Dollars'!E5/1000000</f>
        <v>2.4630061766451199</v>
      </c>
      <c r="C88" s="163">
        <f>'2.1 Capex Real Dollars'!F5/1000000</f>
        <v>2.9842496172906441</v>
      </c>
      <c r="D88" s="163">
        <f>'2.1 Capex Real Dollars'!G5/1000000</f>
        <v>8.1380512999711208</v>
      </c>
      <c r="E88" s="163">
        <f>'2.1 Capex Real Dollars'!H5/1000000</f>
        <v>12.532198496400001</v>
      </c>
      <c r="F88" s="163">
        <f>'2.1 Capex Real Dollars'!I5/1000000</f>
        <v>4.7794433493066748</v>
      </c>
      <c r="G88" s="163">
        <f>'2.1 Capex Real Dollars'!J5/1000000</f>
        <v>30.896948939613559</v>
      </c>
    </row>
    <row r="89" spans="1:8">
      <c r="A89" s="161" t="s">
        <v>201</v>
      </c>
      <c r="B89" s="164">
        <f>B87-B88</f>
        <v>11.342895329047357</v>
      </c>
      <c r="C89" s="164">
        <f t="shared" ref="C89:G89" ca="1" si="2">C87-C88</f>
        <v>1.5493890791291975</v>
      </c>
      <c r="D89" s="164">
        <f t="shared" ca="1" si="2"/>
        <v>-3.9376588617247972</v>
      </c>
      <c r="E89" s="164">
        <f t="shared" ca="1" si="2"/>
        <v>-8.6338080997990225</v>
      </c>
      <c r="F89" s="164">
        <f t="shared" ca="1" si="2"/>
        <v>2.5840048348830384</v>
      </c>
      <c r="G89" s="164">
        <f t="shared" ca="1" si="2"/>
        <v>2.9048222815357789</v>
      </c>
    </row>
    <row r="91" spans="1:8" ht="15.75" thickBot="1">
      <c r="A91" s="165" t="s">
        <v>356</v>
      </c>
      <c r="B91" s="165" t="s">
        <v>357</v>
      </c>
    </row>
    <row r="92" spans="1:8" ht="15.75" thickBot="1">
      <c r="A92" s="166"/>
      <c r="B92" s="167" t="s">
        <v>358</v>
      </c>
      <c r="C92" s="167" t="s">
        <v>359</v>
      </c>
      <c r="D92" s="167" t="s">
        <v>360</v>
      </c>
      <c r="E92" s="167" t="s">
        <v>361</v>
      </c>
      <c r="F92" s="167" t="s">
        <v>362</v>
      </c>
      <c r="G92" s="168" t="s">
        <v>16</v>
      </c>
    </row>
    <row r="93" spans="1:8">
      <c r="A93" s="192" t="s">
        <v>202</v>
      </c>
      <c r="B93" s="192"/>
      <c r="C93" s="192"/>
      <c r="D93" s="192"/>
      <c r="E93" s="192"/>
      <c r="F93" s="192"/>
      <c r="G93" s="192"/>
    </row>
    <row r="94" spans="1:8">
      <c r="A94" s="15" t="s">
        <v>363</v>
      </c>
      <c r="B94" s="169" t="s">
        <v>364</v>
      </c>
      <c r="C94" s="169" t="s">
        <v>364</v>
      </c>
      <c r="D94" s="169" t="s">
        <v>364</v>
      </c>
      <c r="E94" s="169" t="s">
        <v>364</v>
      </c>
      <c r="F94" s="169" t="s">
        <v>364</v>
      </c>
      <c r="G94" s="169" t="s">
        <v>365</v>
      </c>
    </row>
    <row r="95" spans="1:8">
      <c r="A95" s="170" t="s">
        <v>366</v>
      </c>
      <c r="B95" s="173">
        <f>'3.0 Outputs'!F64/1000000</f>
        <v>2.0483167239999998</v>
      </c>
      <c r="C95" s="173">
        <f>'3.0 Outputs'!G64/1000000</f>
        <v>2.5686205099999997</v>
      </c>
      <c r="D95" s="173">
        <f>'3.0 Outputs'!H64/1000000</f>
        <v>7.5532205400000008</v>
      </c>
      <c r="E95" s="173">
        <f>'3.0 Outputs'!I64/1000000</f>
        <v>12.120114600000001</v>
      </c>
      <c r="F95" s="173">
        <f>'3.0 Outputs'!J64/1000000</f>
        <v>4.7794433493066748</v>
      </c>
      <c r="G95" s="173">
        <f>'3.0 Outputs'!K64/1000000</f>
        <v>29.069715723306679</v>
      </c>
    </row>
    <row r="96" spans="1:8">
      <c r="A96" s="15" t="s">
        <v>143</v>
      </c>
      <c r="B96" s="169" t="s">
        <v>364</v>
      </c>
      <c r="C96" s="169" t="s">
        <v>364</v>
      </c>
      <c r="D96" s="169" t="s">
        <v>364</v>
      </c>
      <c r="E96" s="169" t="s">
        <v>364</v>
      </c>
      <c r="F96" s="169" t="s">
        <v>364</v>
      </c>
      <c r="G96" s="169" t="s">
        <v>364</v>
      </c>
    </row>
    <row r="97" spans="1:7">
      <c r="A97" s="170" t="s">
        <v>16</v>
      </c>
      <c r="B97" s="173">
        <v>2.0483167239999998</v>
      </c>
      <c r="C97" s="173">
        <v>2.5686205099999997</v>
      </c>
      <c r="D97" s="173">
        <v>7.5532205400000008</v>
      </c>
      <c r="E97" s="173">
        <v>12.120114600000001</v>
      </c>
      <c r="F97" s="173">
        <v>4.7794433493066748</v>
      </c>
      <c r="G97" s="173">
        <v>29.069715723306679</v>
      </c>
    </row>
    <row r="98" spans="1:7">
      <c r="A98" s="193" t="s">
        <v>213</v>
      </c>
      <c r="B98" s="193"/>
      <c r="C98" s="193"/>
      <c r="D98" s="193"/>
      <c r="E98" s="193"/>
      <c r="F98" s="193"/>
      <c r="G98" s="193"/>
    </row>
    <row r="99" spans="1:7">
      <c r="A99" s="170" t="s">
        <v>363</v>
      </c>
      <c r="B99" s="171" t="s">
        <v>364</v>
      </c>
      <c r="C99" s="171" t="s">
        <v>364</v>
      </c>
      <c r="D99" s="171" t="s">
        <v>364</v>
      </c>
      <c r="E99" s="171" t="s">
        <v>364</v>
      </c>
      <c r="F99" s="171" t="s">
        <v>364</v>
      </c>
      <c r="G99" s="171" t="s">
        <v>364</v>
      </c>
    </row>
    <row r="100" spans="1:7">
      <c r="A100" s="15" t="s">
        <v>366</v>
      </c>
      <c r="B100" s="174">
        <f>C13</f>
        <v>4.9144977232806974</v>
      </c>
      <c r="C100" s="174">
        <f t="shared" ref="C100:G100" si="3">D13</f>
        <v>6.8617505073401039</v>
      </c>
      <c r="D100" s="174">
        <f t="shared" si="3"/>
        <v>6.1129940542775536</v>
      </c>
      <c r="E100" s="174">
        <f t="shared" si="3"/>
        <v>5.8182106170920536</v>
      </c>
      <c r="F100" s="174">
        <f t="shared" si="3"/>
        <v>4.7255197379146789</v>
      </c>
      <c r="G100" s="174">
        <f t="shared" si="3"/>
        <v>28.432972639905088</v>
      </c>
    </row>
    <row r="101" spans="1:7">
      <c r="A101" s="170" t="s">
        <v>143</v>
      </c>
      <c r="B101" s="171" t="s">
        <v>364</v>
      </c>
      <c r="C101" s="171" t="s">
        <v>364</v>
      </c>
      <c r="D101" s="171" t="s">
        <v>364</v>
      </c>
      <c r="E101" s="171" t="s">
        <v>364</v>
      </c>
      <c r="F101" s="171" t="s">
        <v>364</v>
      </c>
      <c r="G101" s="171" t="s">
        <v>364</v>
      </c>
    </row>
    <row r="102" spans="1:7">
      <c r="A102" s="15" t="s">
        <v>16</v>
      </c>
      <c r="B102" s="174">
        <f>SUM(B99:B101)</f>
        <v>4.9144977232806974</v>
      </c>
      <c r="C102" s="174">
        <f t="shared" ref="C102:G102" si="4">SUM(C99:C101)</f>
        <v>6.8617505073401039</v>
      </c>
      <c r="D102" s="174">
        <f t="shared" si="4"/>
        <v>6.1129940542775536</v>
      </c>
      <c r="E102" s="174">
        <f t="shared" si="4"/>
        <v>5.8182106170920536</v>
      </c>
      <c r="F102" s="174">
        <f t="shared" si="4"/>
        <v>4.7255197379146789</v>
      </c>
      <c r="G102" s="174">
        <f t="shared" si="4"/>
        <v>28.432972639905088</v>
      </c>
    </row>
    <row r="103" spans="1:7">
      <c r="A103" s="193" t="s">
        <v>201</v>
      </c>
      <c r="B103" s="193"/>
      <c r="C103" s="193"/>
      <c r="D103" s="193"/>
      <c r="E103" s="193"/>
      <c r="F103" s="193"/>
      <c r="G103" s="193"/>
    </row>
    <row r="104" spans="1:7">
      <c r="A104" s="15" t="s">
        <v>363</v>
      </c>
      <c r="B104" s="169" t="s">
        <v>364</v>
      </c>
      <c r="C104" s="169" t="s">
        <v>364</v>
      </c>
      <c r="D104" s="169" t="s">
        <v>364</v>
      </c>
      <c r="E104" s="169" t="s">
        <v>364</v>
      </c>
      <c r="F104" s="169" t="s">
        <v>364</v>
      </c>
      <c r="G104" s="169" t="s">
        <v>364</v>
      </c>
    </row>
    <row r="105" spans="1:7">
      <c r="A105" s="170" t="s">
        <v>366</v>
      </c>
      <c r="B105" s="173">
        <f>B100-B95</f>
        <v>2.8661809992806977</v>
      </c>
      <c r="C105" s="173">
        <f t="shared" ref="C105:G105" si="5">C100-C95</f>
        <v>4.2931299973401043</v>
      </c>
      <c r="D105" s="173">
        <f t="shared" si="5"/>
        <v>-1.4402264857224472</v>
      </c>
      <c r="E105" s="173">
        <f t="shared" si="5"/>
        <v>-6.3019039829079473</v>
      </c>
      <c r="F105" s="173">
        <f t="shared" si="5"/>
        <v>-5.3923611391995863E-2</v>
      </c>
      <c r="G105" s="173">
        <f t="shared" si="5"/>
        <v>-0.63674308340159058</v>
      </c>
    </row>
    <row r="106" spans="1:7">
      <c r="A106" s="15" t="s">
        <v>143</v>
      </c>
      <c r="B106" s="169" t="s">
        <v>364</v>
      </c>
      <c r="C106" s="169" t="s">
        <v>364</v>
      </c>
      <c r="D106" s="169" t="s">
        <v>364</v>
      </c>
      <c r="E106" s="169" t="s">
        <v>364</v>
      </c>
      <c r="F106" s="169" t="s">
        <v>364</v>
      </c>
      <c r="G106" s="169" t="s">
        <v>364</v>
      </c>
    </row>
    <row r="107" spans="1:7" ht="15.75" thickBot="1">
      <c r="A107" s="172" t="s">
        <v>16</v>
      </c>
      <c r="B107" s="175">
        <f>B102-B97</f>
        <v>2.8661809992806977</v>
      </c>
      <c r="C107" s="175">
        <f t="shared" ref="C107:G107" si="6">C102-C97</f>
        <v>4.2931299973401043</v>
      </c>
      <c r="D107" s="175">
        <f t="shared" si="6"/>
        <v>-1.4402264857224472</v>
      </c>
      <c r="E107" s="175">
        <f t="shared" si="6"/>
        <v>-6.3019039829079473</v>
      </c>
      <c r="F107" s="175">
        <f t="shared" si="6"/>
        <v>-5.3923611391995863E-2</v>
      </c>
      <c r="G107" s="175">
        <f t="shared" si="6"/>
        <v>-0.63674308340159058</v>
      </c>
    </row>
    <row r="109" spans="1:7" ht="15.75" thickBot="1">
      <c r="A109" s="165" t="s">
        <v>367</v>
      </c>
      <c r="B109" s="165" t="s">
        <v>368</v>
      </c>
    </row>
    <row r="110" spans="1:7" ht="15.75" thickBot="1">
      <c r="A110" s="176"/>
      <c r="B110" s="167" t="s">
        <v>369</v>
      </c>
      <c r="C110" s="167" t="s">
        <v>358</v>
      </c>
      <c r="D110" s="167" t="s">
        <v>359</v>
      </c>
      <c r="E110" s="167" t="s">
        <v>360</v>
      </c>
      <c r="F110" s="167" t="s">
        <v>361</v>
      </c>
      <c r="G110" s="168" t="s">
        <v>16</v>
      </c>
    </row>
    <row r="111" spans="1:7">
      <c r="A111" s="170" t="s">
        <v>292</v>
      </c>
      <c r="B111" s="173">
        <v>6.2488116500000004</v>
      </c>
      <c r="C111" s="173">
        <v>7.8050743499999999</v>
      </c>
      <c r="D111" s="173">
        <v>2.0483167299999998</v>
      </c>
      <c r="E111" s="173">
        <v>2.5686205099999997</v>
      </c>
      <c r="F111" s="173">
        <v>7.5532205399999999</v>
      </c>
      <c r="G111" s="173">
        <f>SUM(B111:F111)</f>
        <v>26.224043780000002</v>
      </c>
    </row>
    <row r="112" spans="1:7">
      <c r="A112" s="15" t="s">
        <v>213</v>
      </c>
      <c r="B112" s="174">
        <f>J13</f>
        <v>2.7496932515337429</v>
      </c>
      <c r="C112" s="174">
        <f t="shared" ref="C112:E112" si="7">B102</f>
        <v>4.9144977232806974</v>
      </c>
      <c r="D112" s="174">
        <f t="shared" si="7"/>
        <v>6.8617505073401039</v>
      </c>
      <c r="E112" s="174">
        <f t="shared" si="7"/>
        <v>6.1129940542775536</v>
      </c>
      <c r="F112" s="174">
        <f>E102</f>
        <v>5.8182106170920536</v>
      </c>
      <c r="G112" s="174">
        <f>SUM(B112:F112)</f>
        <v>26.45714615352415</v>
      </c>
    </row>
    <row r="113" spans="1:7" ht="15.75" thickBot="1">
      <c r="A113" s="172" t="s">
        <v>201</v>
      </c>
      <c r="B113" s="175">
        <f>B111-B112</f>
        <v>3.4991183984662575</v>
      </c>
      <c r="C113" s="175">
        <f t="shared" ref="C113:G113" si="8">C111-C112</f>
        <v>2.8905766267193025</v>
      </c>
      <c r="D113" s="175">
        <f t="shared" si="8"/>
        <v>-4.8134337773401041</v>
      </c>
      <c r="E113" s="175">
        <f t="shared" si="8"/>
        <v>-3.5443735442775539</v>
      </c>
      <c r="F113" s="175">
        <f t="shared" si="8"/>
        <v>1.7350099229079463</v>
      </c>
      <c r="G113" s="175">
        <f t="shared" si="8"/>
        <v>-0.23310237352414731</v>
      </c>
    </row>
    <row r="115" spans="1:7" ht="15.75" thickBot="1">
      <c r="A115" s="165" t="s">
        <v>356</v>
      </c>
      <c r="B115" s="165" t="s">
        <v>309</v>
      </c>
    </row>
    <row r="116" spans="1:7" ht="15.75" thickBot="1">
      <c r="A116" s="176"/>
      <c r="B116" s="167" t="s">
        <v>311</v>
      </c>
      <c r="C116" s="167" t="s">
        <v>312</v>
      </c>
      <c r="D116" s="167" t="s">
        <v>313</v>
      </c>
      <c r="E116" s="167" t="s">
        <v>314</v>
      </c>
      <c r="F116" s="167" t="s">
        <v>315</v>
      </c>
      <c r="G116" s="168" t="s">
        <v>16</v>
      </c>
    </row>
    <row r="117" spans="1:7">
      <c r="A117" s="170" t="s">
        <v>316</v>
      </c>
      <c r="B117" s="170" t="s">
        <v>364</v>
      </c>
      <c r="C117" s="170" t="s">
        <v>364</v>
      </c>
      <c r="D117" s="170" t="s">
        <v>364</v>
      </c>
      <c r="E117" s="170" t="s">
        <v>364</v>
      </c>
      <c r="F117" s="170" t="s">
        <v>364</v>
      </c>
      <c r="G117" s="170" t="s">
        <v>364</v>
      </c>
    </row>
    <row r="118" spans="1:7">
      <c r="A118" s="15" t="s">
        <v>317</v>
      </c>
      <c r="B118" s="174">
        <f>'3.0 Outputs'!P27/1000000</f>
        <v>13.805901505692477</v>
      </c>
      <c r="C118" s="174">
        <f>'3.0 Outputs'!Q27/1000000</f>
        <v>4.5336386964198416</v>
      </c>
      <c r="D118" s="174">
        <f>'3.0 Outputs'!R27/1000000</f>
        <v>4.2003924382463236</v>
      </c>
      <c r="E118" s="174">
        <f>'3.0 Outputs'!S27/1000000</f>
        <v>3.8983903966009792</v>
      </c>
      <c r="F118" s="174">
        <f>'3.0 Outputs'!T27/1000000</f>
        <v>7.3634481841897133</v>
      </c>
      <c r="G118" s="174">
        <f>SUM(B118:F118)</f>
        <v>33.801771221149338</v>
      </c>
    </row>
    <row r="119" spans="1:7">
      <c r="A119" s="170" t="s">
        <v>318</v>
      </c>
      <c r="B119" s="170" t="s">
        <v>364</v>
      </c>
      <c r="C119" s="170" t="s">
        <v>364</v>
      </c>
      <c r="D119" s="170" t="s">
        <v>364</v>
      </c>
      <c r="E119" s="170" t="s">
        <v>364</v>
      </c>
      <c r="F119" s="170" t="s">
        <v>364</v>
      </c>
      <c r="G119" s="170" t="s">
        <v>364</v>
      </c>
    </row>
    <row r="120" spans="1:7" ht="15.75" thickBot="1">
      <c r="A120" s="177" t="s">
        <v>16</v>
      </c>
      <c r="B120" s="178">
        <f>SUM(B117:B119)</f>
        <v>13.805901505692477</v>
      </c>
      <c r="C120" s="178">
        <f t="shared" ref="C120:G120" si="9">SUM(C117:C119)</f>
        <v>4.5336386964198416</v>
      </c>
      <c r="D120" s="178">
        <f t="shared" si="9"/>
        <v>4.2003924382463236</v>
      </c>
      <c r="E120" s="178">
        <f t="shared" si="9"/>
        <v>3.8983903966009792</v>
      </c>
      <c r="F120" s="178">
        <f t="shared" si="9"/>
        <v>7.3634481841897133</v>
      </c>
      <c r="G120" s="178">
        <f t="shared" si="9"/>
        <v>33.801771221149338</v>
      </c>
    </row>
    <row r="122" spans="1:7" ht="15.75" thickBot="1">
      <c r="A122" s="165" t="s">
        <v>370</v>
      </c>
      <c r="B122" s="165" t="s">
        <v>371</v>
      </c>
    </row>
    <row r="123" spans="1:7" ht="15.75" thickBot="1">
      <c r="A123" s="176"/>
      <c r="B123" s="179" t="s">
        <v>359</v>
      </c>
      <c r="C123" s="179" t="s">
        <v>360</v>
      </c>
      <c r="D123" s="179" t="s">
        <v>361</v>
      </c>
      <c r="E123" s="179" t="s">
        <v>362</v>
      </c>
      <c r="F123" s="179" t="s">
        <v>291</v>
      </c>
      <c r="G123" s="180" t="s">
        <v>16</v>
      </c>
    </row>
    <row r="124" spans="1:7" ht="15.75" thickBot="1">
      <c r="A124" s="177" t="s">
        <v>372</v>
      </c>
      <c r="B124" s="175">
        <f>'2.1 Capex Real Dollars'!E37/1000000</f>
        <v>0</v>
      </c>
      <c r="C124" s="175">
        <f>'2.1 Capex Real Dollars'!F37/1000000</f>
        <v>1.3178325746397122</v>
      </c>
      <c r="D124" s="175">
        <f>'2.1 Capex Real Dollars'!G37/1000000</f>
        <v>6.6109111557249216</v>
      </c>
      <c r="E124" s="175">
        <f>'2.1 Capex Real Dollars'!H37/1000000</f>
        <v>10.627280976400002</v>
      </c>
      <c r="F124" s="175">
        <f>'2.1 Capex Real Dollars'!I37/1000000</f>
        <v>1.4380861547795087</v>
      </c>
      <c r="G124" s="178">
        <f>SUM(B124:F124)</f>
        <v>19.994110861544144</v>
      </c>
    </row>
  </sheetData>
  <mergeCells count="3">
    <mergeCell ref="A93:G93"/>
    <mergeCell ref="A98:G98"/>
    <mergeCell ref="A103:G10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AEE68-D6CC-4591-80FA-7D1652BB7D64}">
  <dimension ref="A1:T66"/>
  <sheetViews>
    <sheetView topLeftCell="A22" workbookViewId="0">
      <selection activeCell="B57" sqref="B57"/>
    </sheetView>
  </sheetViews>
  <sheetFormatPr defaultRowHeight="15"/>
  <cols>
    <col min="1" max="1" width="32.375" customWidth="1"/>
  </cols>
  <sheetData>
    <row r="1" spans="1:20" ht="15.75">
      <c r="A1" t="s">
        <v>373</v>
      </c>
      <c r="E1" t="s">
        <v>225</v>
      </c>
      <c r="F1" t="s">
        <v>374</v>
      </c>
      <c r="G1" t="s">
        <v>227</v>
      </c>
      <c r="H1" t="s">
        <v>228</v>
      </c>
      <c r="I1" t="s">
        <v>229</v>
      </c>
      <c r="J1" t="s">
        <v>230</v>
      </c>
      <c r="N1" s="86" t="s">
        <v>375</v>
      </c>
      <c r="O1" s="86" t="s">
        <v>376</v>
      </c>
    </row>
    <row r="2" spans="1:20">
      <c r="N2" s="87"/>
      <c r="O2" s="88" t="s">
        <v>377</v>
      </c>
      <c r="P2" s="88" t="s">
        <v>378</v>
      </c>
      <c r="Q2" s="88" t="s">
        <v>379</v>
      </c>
      <c r="R2" s="88" t="s">
        <v>380</v>
      </c>
      <c r="S2" s="88" t="s">
        <v>381</v>
      </c>
      <c r="T2" s="88" t="s">
        <v>16</v>
      </c>
    </row>
    <row r="3" spans="1:20" ht="33.75">
      <c r="A3" t="s">
        <v>382</v>
      </c>
      <c r="E3">
        <v>9.6842514940085902</v>
      </c>
      <c r="F3">
        <v>2.0796559357680464</v>
      </c>
      <c r="G3">
        <v>2.640161225953241</v>
      </c>
      <c r="H3">
        <v>7.9231894687690794</v>
      </c>
      <c r="I3">
        <v>5</v>
      </c>
      <c r="J3">
        <v>3.9</v>
      </c>
      <c r="K3">
        <f>SUM(F3:H3)</f>
        <v>12.643006630490367</v>
      </c>
      <c r="L3">
        <f>SUM(F3:J3)</f>
        <v>21.543006630490368</v>
      </c>
      <c r="N3" s="89" t="s">
        <v>383</v>
      </c>
      <c r="O3" s="90">
        <v>10.14</v>
      </c>
      <c r="P3" s="90">
        <v>3.71</v>
      </c>
      <c r="Q3" s="90">
        <v>3.55</v>
      </c>
      <c r="R3" s="90">
        <v>4.33</v>
      </c>
      <c r="S3" s="90">
        <v>15.33</v>
      </c>
      <c r="T3" s="90">
        <v>37.06</v>
      </c>
    </row>
    <row r="4" spans="1:20" ht="22.5">
      <c r="G4">
        <v>0</v>
      </c>
      <c r="H4">
        <v>0</v>
      </c>
      <c r="I4">
        <v>0</v>
      </c>
      <c r="J4">
        <v>-1.6917458556097942</v>
      </c>
      <c r="N4" s="91" t="s">
        <v>384</v>
      </c>
      <c r="O4" s="92">
        <v>7</v>
      </c>
      <c r="P4" s="92">
        <v>1.6</v>
      </c>
      <c r="Q4" s="92">
        <v>1.9</v>
      </c>
      <c r="R4" s="92">
        <v>2.7</v>
      </c>
      <c r="S4" s="92">
        <v>13.7</v>
      </c>
      <c r="T4" s="92">
        <v>26.86</v>
      </c>
    </row>
    <row r="5" spans="1:20" ht="22.5">
      <c r="F5">
        <v>2048.3167240000002</v>
      </c>
      <c r="G5">
        <v>2568.6205100000006</v>
      </c>
      <c r="H5">
        <v>7339.8292200000005</v>
      </c>
      <c r="I5">
        <v>0</v>
      </c>
      <c r="J5">
        <v>0</v>
      </c>
      <c r="K5">
        <v>11956.766454000001</v>
      </c>
      <c r="N5" s="89" t="s">
        <v>385</v>
      </c>
      <c r="O5" s="90">
        <v>3.18</v>
      </c>
      <c r="P5" s="90">
        <v>2.11</v>
      </c>
      <c r="Q5" s="90">
        <v>1.65</v>
      </c>
      <c r="R5" s="90">
        <v>1.63</v>
      </c>
      <c r="S5" s="90">
        <v>1.63</v>
      </c>
      <c r="T5" s="90">
        <v>10.199999999999999</v>
      </c>
    </row>
    <row r="6" spans="1:20" ht="23.25" thickBot="1">
      <c r="A6" t="s">
        <v>386</v>
      </c>
      <c r="F6">
        <f>F5/1000</f>
        <v>2.0483167240000002</v>
      </c>
      <c r="G6">
        <f t="shared" ref="G6:J6" si="0">G5/1000</f>
        <v>2.5686205100000006</v>
      </c>
      <c r="H6">
        <f t="shared" si="0"/>
        <v>7.3398292200000004</v>
      </c>
      <c r="I6">
        <f t="shared" si="0"/>
        <v>0</v>
      </c>
      <c r="J6">
        <f t="shared" si="0"/>
        <v>0</v>
      </c>
      <c r="K6">
        <f>K5/1000</f>
        <v>11.956766454</v>
      </c>
      <c r="N6" s="93" t="s">
        <v>387</v>
      </c>
      <c r="O6" s="94">
        <v>30.1</v>
      </c>
      <c r="P6" s="94">
        <v>56.9</v>
      </c>
      <c r="Q6" s="94">
        <v>46.5</v>
      </c>
      <c r="R6" s="94">
        <v>37.6</v>
      </c>
      <c r="S6" s="94">
        <v>10.6</v>
      </c>
      <c r="T6" s="94">
        <v>27.52</v>
      </c>
    </row>
    <row r="7" spans="1:20" ht="123.75">
      <c r="N7" s="95" t="s">
        <v>388</v>
      </c>
      <c r="O7" s="95" t="s">
        <v>389</v>
      </c>
    </row>
    <row r="8" spans="1:20" ht="45">
      <c r="N8" s="95" t="s">
        <v>390</v>
      </c>
      <c r="O8" s="95" t="s">
        <v>391</v>
      </c>
    </row>
    <row r="9" spans="1:20">
      <c r="N9" s="95"/>
      <c r="O9" s="95"/>
    </row>
    <row r="10" spans="1:20">
      <c r="E10" t="s">
        <v>392</v>
      </c>
      <c r="F10" t="s">
        <v>377</v>
      </c>
      <c r="G10" t="s">
        <v>378</v>
      </c>
      <c r="H10" t="s">
        <v>379</v>
      </c>
      <c r="I10" t="s">
        <v>380</v>
      </c>
      <c r="J10" t="s">
        <v>225</v>
      </c>
      <c r="K10" t="s">
        <v>374</v>
      </c>
      <c r="L10" t="s">
        <v>227</v>
      </c>
      <c r="M10" t="s">
        <v>228</v>
      </c>
      <c r="N10" t="s">
        <v>229</v>
      </c>
      <c r="O10" t="s">
        <v>230</v>
      </c>
    </row>
    <row r="11" spans="1:20">
      <c r="A11" t="s">
        <v>393</v>
      </c>
      <c r="E11" s="96">
        <v>107.5</v>
      </c>
      <c r="F11" s="96">
        <v>108.6</v>
      </c>
      <c r="G11" s="96">
        <v>110.7</v>
      </c>
      <c r="H11" s="84">
        <f>'1.1 Input'!B11</f>
        <v>112.1</v>
      </c>
      <c r="I11" s="84">
        <f>'1.1 Input'!C11</f>
        <v>114.1</v>
      </c>
      <c r="J11" s="84">
        <f>'1.1 Input'!D11</f>
        <v>116.2</v>
      </c>
      <c r="K11" s="84">
        <f>'1.1 Input'!E11</f>
        <v>117.2</v>
      </c>
      <c r="L11" s="84">
        <f>'1.1 Input'!F11</f>
        <v>121.3</v>
      </c>
      <c r="M11" s="84">
        <f>'1.1 Input'!G11</f>
        <v>130.80000000000001</v>
      </c>
      <c r="N11" s="84">
        <f>'1.1 Input'!H11</f>
        <v>136.29360000000003</v>
      </c>
      <c r="O11" s="84">
        <f>'1.1 Input'!I11</f>
        <v>140.92758240000003</v>
      </c>
    </row>
    <row r="12" spans="1:20">
      <c r="A12" s="97" t="s">
        <v>394</v>
      </c>
      <c r="B12" s="97"/>
      <c r="C12" s="98">
        <v>2.2700000000000001E-2</v>
      </c>
      <c r="F12" s="99">
        <f>(F11/E11)/E11</f>
        <v>9.3975121687398591E-3</v>
      </c>
      <c r="G12" s="99">
        <f t="shared" ref="G12:J12" si="1">(G11/F11)/F11</f>
        <v>9.3861603736149699E-3</v>
      </c>
      <c r="H12" s="99">
        <f t="shared" si="1"/>
        <v>9.1476675079909479E-3</v>
      </c>
      <c r="I12" s="99">
        <f t="shared" si="1"/>
        <v>9.0797610455173768E-3</v>
      </c>
      <c r="J12" s="99">
        <f t="shared" si="1"/>
        <v>8.9255469585929909E-3</v>
      </c>
      <c r="K12" s="98">
        <v>2.2700000000000001E-2</v>
      </c>
      <c r="L12" s="98">
        <v>2.2700000000000001E-2</v>
      </c>
      <c r="M12" s="98">
        <v>2.2700000000000001E-2</v>
      </c>
      <c r="N12" s="98">
        <v>2.2700000000000001E-2</v>
      </c>
      <c r="O12" s="98">
        <v>2.2700000000000001E-2</v>
      </c>
    </row>
    <row r="13" spans="1:20">
      <c r="A13" s="97" t="s">
        <v>395</v>
      </c>
      <c r="B13" s="97"/>
      <c r="C13" s="97"/>
      <c r="F13" s="98">
        <f>G13-F12</f>
        <v>0.96298889890413697</v>
      </c>
      <c r="G13" s="98">
        <f>H13-G12</f>
        <v>0.97238641107287682</v>
      </c>
      <c r="H13" s="98">
        <f t="shared" ref="H13" si="2">I13-H12</f>
        <v>0.98177257144649177</v>
      </c>
      <c r="I13" s="98">
        <f>J13-I12</f>
        <v>0.99092023895448267</v>
      </c>
      <c r="J13" s="98">
        <v>1</v>
      </c>
      <c r="K13" s="98">
        <v>1.0229999999999999</v>
      </c>
      <c r="L13" s="98">
        <v>1.046</v>
      </c>
      <c r="M13" s="98">
        <v>1.07</v>
      </c>
      <c r="N13" s="98">
        <v>1.0940000000000001</v>
      </c>
      <c r="O13" s="98">
        <v>1.119</v>
      </c>
    </row>
    <row r="15" spans="1:20">
      <c r="A15" s="97" t="s">
        <v>396</v>
      </c>
      <c r="K15" s="97">
        <v>4.9000000000000004</v>
      </c>
      <c r="L15" s="97">
        <v>6.6</v>
      </c>
      <c r="M15" s="97">
        <v>5.5</v>
      </c>
      <c r="N15" s="97">
        <v>5</v>
      </c>
      <c r="O15" s="97">
        <v>3.9</v>
      </c>
    </row>
    <row r="16" spans="1:20">
      <c r="A16" s="97" t="s">
        <v>397</v>
      </c>
      <c r="K16" s="97">
        <v>5</v>
      </c>
      <c r="L16" s="97">
        <v>6.9</v>
      </c>
      <c r="M16" s="97">
        <v>5.9</v>
      </c>
      <c r="N16" s="97">
        <v>5.5</v>
      </c>
      <c r="O16" s="97">
        <v>4.4000000000000004</v>
      </c>
    </row>
    <row r="27" spans="1:14">
      <c r="D27" t="s">
        <v>398</v>
      </c>
      <c r="H27" t="s">
        <v>399</v>
      </c>
    </row>
    <row r="28" spans="1:14">
      <c r="D28" t="s">
        <v>377</v>
      </c>
      <c r="E28" t="s">
        <v>378</v>
      </c>
      <c r="F28" t="s">
        <v>379</v>
      </c>
      <c r="G28" t="s">
        <v>380</v>
      </c>
      <c r="H28" t="s">
        <v>225</v>
      </c>
      <c r="I28" t="s">
        <v>374</v>
      </c>
      <c r="J28" t="s">
        <v>227</v>
      </c>
      <c r="K28" t="s">
        <v>228</v>
      </c>
      <c r="L28" t="s">
        <v>229</v>
      </c>
      <c r="M28" t="s">
        <v>230</v>
      </c>
    </row>
    <row r="29" spans="1:14">
      <c r="A29" t="s">
        <v>400</v>
      </c>
      <c r="D29">
        <f>O3</f>
        <v>10.14</v>
      </c>
      <c r="E29">
        <f t="shared" ref="E29:H30" si="3">P3</f>
        <v>3.71</v>
      </c>
      <c r="F29">
        <f t="shared" si="3"/>
        <v>3.55</v>
      </c>
      <c r="G29">
        <f t="shared" si="3"/>
        <v>4.33</v>
      </c>
      <c r="H29">
        <f t="shared" si="3"/>
        <v>15.33</v>
      </c>
      <c r="I29">
        <f>'Capex chapter tables'!C5</f>
        <v>2.0483167239999998</v>
      </c>
      <c r="J29">
        <f>'Capex chapter tables'!D5</f>
        <v>2.5686205099999997</v>
      </c>
      <c r="K29">
        <f>'Capex chapter tables'!E5</f>
        <v>7.5532205400000008</v>
      </c>
      <c r="L29">
        <f>'Capex chapter tables'!F5</f>
        <v>12.120114600000001</v>
      </c>
      <c r="M29">
        <f>'Capex chapter tables'!G5</f>
        <v>4.7794433493066748</v>
      </c>
      <c r="N29">
        <f>SUM(I29:M29)</f>
        <v>29.069715723306675</v>
      </c>
    </row>
    <row r="30" spans="1:14">
      <c r="A30" t="s">
        <v>384</v>
      </c>
      <c r="D30">
        <f>O4</f>
        <v>7</v>
      </c>
      <c r="E30">
        <f t="shared" si="3"/>
        <v>1.6</v>
      </c>
      <c r="F30">
        <f t="shared" si="3"/>
        <v>1.9</v>
      </c>
      <c r="G30">
        <f t="shared" si="3"/>
        <v>2.7</v>
      </c>
      <c r="H30">
        <f t="shared" si="3"/>
        <v>13.7</v>
      </c>
      <c r="I30">
        <f>'Capex chapter tables'!C4</f>
        <v>4.8725651488499748</v>
      </c>
      <c r="J30">
        <f>'Capex chapter tables'!D4</f>
        <v>6.5732515165121201</v>
      </c>
      <c r="K30">
        <f>'Capex chapter tables'!E4</f>
        <v>5.4306567974545237</v>
      </c>
      <c r="L30">
        <f>'Capex chapter tables'!F4</f>
        <v>4.9604388885912227</v>
      </c>
      <c r="M30">
        <f>'Capex chapter tables'!G4</f>
        <v>3.8963656666381996</v>
      </c>
      <c r="N30">
        <f>SUM(I30:M30)</f>
        <v>25.733278018046043</v>
      </c>
    </row>
    <row r="31" spans="1:14">
      <c r="A31" t="s">
        <v>401</v>
      </c>
      <c r="D31">
        <f>D32/1000</f>
        <v>3.9470450799999997</v>
      </c>
      <c r="E31">
        <f t="shared" ref="E31:H31" si="4">E32/1000</f>
        <v>3.3402399950000001</v>
      </c>
      <c r="F31">
        <f t="shared" si="4"/>
        <v>9.9676239749999986</v>
      </c>
      <c r="G31">
        <f t="shared" si="4"/>
        <v>6.2488116500000004</v>
      </c>
      <c r="H31">
        <f t="shared" si="4"/>
        <v>7.8050743500000017</v>
      </c>
      <c r="I31" s="100">
        <f>'3.0 Outputs'!F$11/1000000</f>
        <v>2.0483167239999998</v>
      </c>
      <c r="J31" s="100">
        <f>'3.0 Outputs'!G$11/1000000</f>
        <v>2.5686205099999997</v>
      </c>
      <c r="K31" s="100">
        <f>'3.0 Outputs'!H$11/1000000</f>
        <v>7.5532205400000008</v>
      </c>
      <c r="L31" s="100">
        <f>'3.0 Outputs'!I$11/1000000</f>
        <v>12.120114600000001</v>
      </c>
      <c r="M31" s="100">
        <f>M32</f>
        <v>4.4100574241499997</v>
      </c>
      <c r="N31" s="84">
        <f>SUM(I31:M31)</f>
        <v>28.700329798150001</v>
      </c>
    </row>
    <row r="32" spans="1:14">
      <c r="D32" s="101">
        <v>3947.0450799999999</v>
      </c>
      <c r="E32" s="101">
        <v>3340.2399949999999</v>
      </c>
      <c r="F32" s="101">
        <v>9967.6239749999986</v>
      </c>
      <c r="G32" s="101">
        <v>6248.8116500000006</v>
      </c>
      <c r="H32" s="101">
        <v>7805.0743500000017</v>
      </c>
      <c r="I32" s="84">
        <v>2048.3167239999998</v>
      </c>
      <c r="J32" s="84">
        <v>2568.6205100000006</v>
      </c>
      <c r="K32">
        <v>7553.2205400000003</v>
      </c>
      <c r="L32">
        <v>12.752701762650004</v>
      </c>
      <c r="M32">
        <v>4.4100574241499997</v>
      </c>
    </row>
    <row r="33" spans="1:17">
      <c r="D33" t="s">
        <v>402</v>
      </c>
      <c r="E33" s="84"/>
      <c r="F33" s="84"/>
      <c r="G33" s="84"/>
      <c r="H33" s="84"/>
      <c r="I33" s="84" t="s">
        <v>402</v>
      </c>
      <c r="J33" s="84"/>
      <c r="L33" t="s">
        <v>403</v>
      </c>
    </row>
    <row r="34" spans="1:17">
      <c r="E34" s="84"/>
      <c r="F34" s="84"/>
      <c r="G34" s="84"/>
      <c r="H34" s="84"/>
      <c r="I34" s="84"/>
      <c r="J34" s="84"/>
    </row>
    <row r="35" spans="1:17">
      <c r="E35" s="84"/>
      <c r="F35" s="84"/>
      <c r="G35" s="84"/>
      <c r="H35" s="84"/>
      <c r="I35" s="84"/>
      <c r="J35" s="84"/>
    </row>
    <row r="36" spans="1:17">
      <c r="A36" t="s">
        <v>404</v>
      </c>
      <c r="B36" t="s">
        <v>377</v>
      </c>
      <c r="C36" t="s">
        <v>378</v>
      </c>
      <c r="D36" t="s">
        <v>379</v>
      </c>
      <c r="E36" t="s">
        <v>380</v>
      </c>
      <c r="F36" t="s">
        <v>225</v>
      </c>
      <c r="G36" t="s">
        <v>374</v>
      </c>
      <c r="H36" t="s">
        <v>227</v>
      </c>
      <c r="I36" t="s">
        <v>228</v>
      </c>
      <c r="J36" t="s">
        <v>296</v>
      </c>
      <c r="K36" t="s">
        <v>297</v>
      </c>
    </row>
    <row r="37" spans="1:17">
      <c r="A37" t="s">
        <v>400</v>
      </c>
      <c r="B37" s="102">
        <f>D29*(O13/F13)</f>
        <v>11.782752649498125</v>
      </c>
      <c r="C37" s="102">
        <f>E29*(O13/F13)</f>
        <v>4.3110465808321541</v>
      </c>
      <c r="D37" s="102">
        <f>F29*(O13/F13)</f>
        <v>4.1251254344889876</v>
      </c>
      <c r="E37" s="102">
        <f>G29*(O13/F13)</f>
        <v>5.0314910229119212</v>
      </c>
      <c r="F37" s="84">
        <f>H29*(N13/J13)</f>
        <v>16.77102</v>
      </c>
      <c r="G37" s="84">
        <f>I29*(O13/J13)</f>
        <v>2.2920664141559999</v>
      </c>
      <c r="H37" s="84">
        <f>J29*(O13/J13)</f>
        <v>2.8742863506899998</v>
      </c>
      <c r="I37" s="84">
        <f>K29*(O13/J13)</f>
        <v>8.4520537842600003</v>
      </c>
      <c r="J37" s="84">
        <f>L29*(O13/J13)</f>
        <v>13.562408237400001</v>
      </c>
      <c r="K37" s="84">
        <f>M29*(O13/J13)</f>
        <v>5.348197107874169</v>
      </c>
      <c r="L37" s="84">
        <f>N29*(O13/J13)</f>
        <v>32.529011894380169</v>
      </c>
      <c r="M37" s="84">
        <f>SUM(G37:K37)</f>
        <v>32.529011894380169</v>
      </c>
    </row>
    <row r="38" spans="1:17">
      <c r="A38" t="s">
        <v>384</v>
      </c>
      <c r="B38" s="102">
        <f>D30*(O13/F13)</f>
        <v>8.1340501525134972</v>
      </c>
      <c r="C38" s="102">
        <f>E30*(O13/F13)</f>
        <v>1.8592114634316568</v>
      </c>
      <c r="D38" s="102">
        <f>F30*(O13/F13)</f>
        <v>2.2078136128250923</v>
      </c>
      <c r="E38" s="102">
        <f>G30*(O13/F13)</f>
        <v>3.1374193445409206</v>
      </c>
      <c r="F38" s="84">
        <f>H30*(N13/J13)</f>
        <v>14.9878</v>
      </c>
      <c r="G38" s="84">
        <f>I30*(O13/J13)</f>
        <v>5.4524004015631222</v>
      </c>
      <c r="H38" s="84">
        <f>J30*(O13/J13)</f>
        <v>7.3554684469770626</v>
      </c>
      <c r="I38" s="84">
        <f>K30*(O13/J13)</f>
        <v>6.076904956351612</v>
      </c>
      <c r="J38" s="84">
        <f>L30*(O13/J13)</f>
        <v>5.5507311163335782</v>
      </c>
      <c r="K38" s="84">
        <f>M30*(O13/J13)</f>
        <v>4.360033180968145</v>
      </c>
      <c r="L38" s="84">
        <f>N30*(O13/J13)</f>
        <v>28.795538102193522</v>
      </c>
      <c r="M38" s="84">
        <f>SUM(G38:K38)</f>
        <v>28.795538102193518</v>
      </c>
    </row>
    <row r="39" spans="1:17">
      <c r="A39" t="s">
        <v>405</v>
      </c>
      <c r="B39" s="102">
        <f>D31*(O13/F13)</f>
        <v>4.5864946621359497</v>
      </c>
      <c r="C39" s="102">
        <f>E31*(O13/F13)</f>
        <v>3.8813828058230624</v>
      </c>
      <c r="D39" s="102">
        <f>F31*(O13/F13)</f>
        <v>11.582450473435134</v>
      </c>
      <c r="E39" s="103">
        <f>G31*(O13/F13)</f>
        <v>7.2611639078158037</v>
      </c>
      <c r="F39" s="84">
        <f>E3*(O13/J13)</f>
        <v>10.836677421795612</v>
      </c>
      <c r="G39" s="84">
        <f>F3*(O13/K13)</f>
        <v>2.274814264051265</v>
      </c>
      <c r="H39" s="84">
        <f>G6*(O13/K13)</f>
        <v>2.8096640769208223</v>
      </c>
      <c r="I39" s="84">
        <f>H3*(O13/K13)</f>
        <v>8.6667145802078203</v>
      </c>
      <c r="J39" s="84">
        <f>L31*(O13/L13)</f>
        <v>12.965973458317402</v>
      </c>
      <c r="K39" s="84">
        <f>M31*(O13/L13)</f>
        <v>4.7178338983019596</v>
      </c>
      <c r="L39" s="84">
        <f>SUM(G39:K39)</f>
        <v>31.435000277799269</v>
      </c>
    </row>
    <row r="40" spans="1:17">
      <c r="L40" s="84"/>
    </row>
    <row r="41" spans="1:17">
      <c r="B41" s="84">
        <f>SUM(B38:F38)</f>
        <v>30.326294573311166</v>
      </c>
      <c r="G41" s="84">
        <f>SUM(G38:K38)</f>
        <v>28.795538102193518</v>
      </c>
    </row>
    <row r="42" spans="1:17">
      <c r="B42" s="84">
        <f>SUM(B39:F39)</f>
        <v>38.148169271005557</v>
      </c>
      <c r="G42" s="84">
        <f>SUM(G39:K39)</f>
        <v>31.435000277799269</v>
      </c>
    </row>
    <row r="43" spans="1:17">
      <c r="B43" t="s">
        <v>377</v>
      </c>
      <c r="C43" t="s">
        <v>378</v>
      </c>
      <c r="D43" t="s">
        <v>379</v>
      </c>
      <c r="E43" t="s">
        <v>380</v>
      </c>
      <c r="F43" t="s">
        <v>225</v>
      </c>
      <c r="G43" t="s">
        <v>226</v>
      </c>
      <c r="H43" t="s">
        <v>227</v>
      </c>
      <c r="I43" t="s">
        <v>228</v>
      </c>
      <c r="J43" t="s">
        <v>296</v>
      </c>
      <c r="K43" t="s">
        <v>297</v>
      </c>
      <c r="L43" t="s">
        <v>231</v>
      </c>
      <c r="M43" t="s">
        <v>232</v>
      </c>
      <c r="N43" t="s">
        <v>233</v>
      </c>
      <c r="O43" t="s">
        <v>234</v>
      </c>
      <c r="P43" t="s">
        <v>235</v>
      </c>
    </row>
    <row r="44" spans="1:17">
      <c r="A44" t="s">
        <v>406</v>
      </c>
      <c r="L44">
        <f>'3.0 Outputs'!P104</f>
        <v>13.805901505692479</v>
      </c>
      <c r="M44">
        <f ca="1">'3.0 Outputs'!Q104</f>
        <v>4.5336386964198416</v>
      </c>
      <c r="N44">
        <f ca="1">'3.0 Outputs'!R104</f>
        <v>4.2003924382463236</v>
      </c>
      <c r="O44">
        <f ca="1">'3.0 Outputs'!S104</f>
        <v>3.8983903966009796</v>
      </c>
      <c r="P44">
        <f ca="1">'3.0 Outputs'!T104</f>
        <v>7.3634481841897141</v>
      </c>
      <c r="Q44">
        <f ca="1">SUM(L44:P44)</f>
        <v>33.801771221149338</v>
      </c>
    </row>
    <row r="50" spans="1:9">
      <c r="A50" t="s">
        <v>407</v>
      </c>
    </row>
    <row r="51" spans="1:9">
      <c r="A51" t="s">
        <v>408</v>
      </c>
    </row>
    <row r="52" spans="1:9">
      <c r="A52" t="s">
        <v>292</v>
      </c>
      <c r="B52" t="str">
        <f>'3.0 Outputs'!F61</f>
        <v>2020/21</v>
      </c>
      <c r="C52" t="str">
        <f>'3.0 Outputs'!G61</f>
        <v>2021/22</v>
      </c>
      <c r="D52" t="str">
        <f>'3.0 Outputs'!H61</f>
        <v>2022/23</v>
      </c>
      <c r="E52" t="str">
        <f>'3.0 Outputs'!I61</f>
        <v>2023/24</v>
      </c>
      <c r="F52" t="str">
        <f>'3.0 Outputs'!J61</f>
        <v>2024/25</v>
      </c>
      <c r="G52" t="str">
        <f>'3.0 Outputs'!K61</f>
        <v>Total</v>
      </c>
    </row>
    <row r="53" spans="1:9">
      <c r="A53" t="str">
        <f>'3.0 Outputs'!E63</f>
        <v>Augmentation Expenditure</v>
      </c>
      <c r="B53">
        <f>'3.0 Outputs'!F63</f>
        <v>0</v>
      </c>
      <c r="C53">
        <f>'3.0 Outputs'!G63</f>
        <v>0</v>
      </c>
      <c r="D53">
        <f>'3.0 Outputs'!H63</f>
        <v>0</v>
      </c>
      <c r="E53">
        <f>'3.0 Outputs'!I63</f>
        <v>0</v>
      </c>
      <c r="F53">
        <f>'3.0 Outputs'!J63</f>
        <v>0</v>
      </c>
      <c r="G53">
        <f>'3.0 Outputs'!K63</f>
        <v>0</v>
      </c>
    </row>
    <row r="54" spans="1:9">
      <c r="A54" t="str">
        <f>'3.0 Outputs'!E64</f>
        <v>Replacement expenditure</v>
      </c>
      <c r="B54">
        <f>'3.0 Outputs'!F64</f>
        <v>2048316.7239999999</v>
      </c>
      <c r="C54">
        <f>'3.0 Outputs'!G64</f>
        <v>2568620.5099999998</v>
      </c>
      <c r="D54">
        <f>'3.0 Outputs'!H64</f>
        <v>7553220.540000001</v>
      </c>
      <c r="E54">
        <f>'3.0 Outputs'!I64</f>
        <v>12120114.600000001</v>
      </c>
      <c r="F54">
        <f>'3.0 Outputs'!J64</f>
        <v>4779443.3493066747</v>
      </c>
      <c r="G54">
        <f>'3.0 Outputs'!K64</f>
        <v>29069715.723306678</v>
      </c>
    </row>
    <row r="55" spans="1:9">
      <c r="A55" t="str">
        <f>'3.0 Outputs'!E65</f>
        <v>Non-network</v>
      </c>
      <c r="B55">
        <f>'3.0 Outputs'!F65</f>
        <v>0</v>
      </c>
      <c r="C55">
        <f>'3.0 Outputs'!G65</f>
        <v>0</v>
      </c>
      <c r="D55">
        <f>'3.0 Outputs'!H65</f>
        <v>0</v>
      </c>
      <c r="E55">
        <f>'3.0 Outputs'!I65</f>
        <v>0</v>
      </c>
      <c r="F55">
        <f>'3.0 Outputs'!J65</f>
        <v>0</v>
      </c>
      <c r="G55">
        <f>'3.0 Outputs'!K65</f>
        <v>0</v>
      </c>
    </row>
    <row r="56" spans="1:9">
      <c r="A56" t="s">
        <v>409</v>
      </c>
    </row>
    <row r="57" spans="1:9">
      <c r="A57" t="s">
        <v>141</v>
      </c>
    </row>
    <row r="58" spans="1:9">
      <c r="A58" t="s">
        <v>28</v>
      </c>
    </row>
    <row r="59" spans="1:9">
      <c r="A59" t="s">
        <v>143</v>
      </c>
    </row>
    <row r="61" spans="1:9">
      <c r="C61" s="19"/>
      <c r="D61" s="19"/>
      <c r="E61" s="19"/>
      <c r="F61" s="19"/>
      <c r="G61" s="19"/>
      <c r="H61" s="19"/>
    </row>
    <row r="62" spans="1:9">
      <c r="C62" s="19"/>
      <c r="D62" s="19"/>
      <c r="E62" s="19"/>
      <c r="F62" s="19"/>
      <c r="G62" s="19"/>
      <c r="H62" s="19"/>
    </row>
    <row r="63" spans="1:9">
      <c r="C63" s="19"/>
      <c r="D63" s="19"/>
      <c r="E63" s="19"/>
      <c r="F63" s="19"/>
      <c r="G63" s="19"/>
      <c r="H63" s="19"/>
    </row>
    <row r="64" spans="1:9">
      <c r="C64" s="19"/>
      <c r="D64" s="19"/>
      <c r="E64" s="19"/>
      <c r="F64" s="19"/>
      <c r="G64" s="19"/>
      <c r="H64" s="19"/>
      <c r="I64" s="19"/>
    </row>
    <row r="65" spans="3:8">
      <c r="C65" s="19"/>
      <c r="D65" s="19"/>
      <c r="E65" s="19"/>
      <c r="F65" s="19"/>
      <c r="G65" s="19"/>
      <c r="H65" s="19"/>
    </row>
    <row r="66" spans="3:8">
      <c r="C66" s="19"/>
      <c r="D66" s="19"/>
      <c r="E66" s="19"/>
      <c r="F66" s="19"/>
      <c r="G66" s="19"/>
      <c r="H66" s="1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A789-4406-4067-A5DC-7E1891727722}">
  <dimension ref="A1:M58"/>
  <sheetViews>
    <sheetView zoomScale="200" zoomScaleNormal="200" workbookViewId="0">
      <selection activeCell="I7" sqref="I7"/>
    </sheetView>
  </sheetViews>
  <sheetFormatPr defaultRowHeight="15"/>
  <cols>
    <col min="1" max="1" width="29.375" customWidth="1"/>
    <col min="2" max="2" width="11.875" bestFit="1" customWidth="1"/>
    <col min="3" max="4" width="10.625" bestFit="1" customWidth="1"/>
    <col min="5" max="5" width="10.75" bestFit="1" customWidth="1"/>
    <col min="6" max="6" width="10.375" bestFit="1" customWidth="1"/>
    <col min="7" max="7" width="11.875" bestFit="1" customWidth="1"/>
    <col min="11" max="11" width="10.375" bestFit="1" customWidth="1"/>
  </cols>
  <sheetData>
    <row r="1" spans="1:13">
      <c r="H1" s="122" t="s">
        <v>178</v>
      </c>
      <c r="I1" s="122"/>
      <c r="J1" s="122"/>
      <c r="K1" s="122"/>
      <c r="L1" s="122"/>
      <c r="M1" s="122"/>
    </row>
    <row r="2" spans="1:13" ht="15.75" thickBot="1">
      <c r="A2" s="122" t="s">
        <v>410</v>
      </c>
      <c r="H2" s="122" t="s">
        <v>411</v>
      </c>
      <c r="I2" s="122" t="s">
        <v>412</v>
      </c>
      <c r="J2" s="122" t="s">
        <v>27</v>
      </c>
      <c r="K2" s="122" t="s">
        <v>413</v>
      </c>
      <c r="L2" s="122" t="s">
        <v>414</v>
      </c>
      <c r="M2" s="122" t="s">
        <v>415</v>
      </c>
    </row>
    <row r="3" spans="1:13" ht="15.75" thickBot="1">
      <c r="A3" s="123" t="s">
        <v>416</v>
      </c>
      <c r="B3" s="124" t="s">
        <v>417</v>
      </c>
      <c r="C3" s="124" t="s">
        <v>418</v>
      </c>
      <c r="D3" s="124" t="s">
        <v>419</v>
      </c>
      <c r="E3" s="124" t="s">
        <v>420</v>
      </c>
      <c r="F3" s="124" t="s">
        <v>421</v>
      </c>
      <c r="G3" s="125" t="s">
        <v>422</v>
      </c>
      <c r="H3" s="140">
        <f>G15</f>
        <v>8.6017076362378688</v>
      </c>
      <c r="I3" s="140">
        <f>G26</f>
        <v>1.28116736</v>
      </c>
      <c r="J3" s="140">
        <f>G43</f>
        <v>5.0565707187114652</v>
      </c>
      <c r="K3" s="140">
        <f>'3.0 Outputs'!U100</f>
        <v>12.511400000000004</v>
      </c>
      <c r="L3" s="140">
        <f>'3.0 Outputs'!U101</f>
        <v>6.0581484062000008</v>
      </c>
      <c r="M3" s="140">
        <f>'3.0 Outputs'!U102</f>
        <v>0.29277710000000001</v>
      </c>
    </row>
    <row r="4" spans="1:13" ht="15.75" thickBot="1">
      <c r="A4" s="126" t="s">
        <v>51</v>
      </c>
      <c r="B4" s="181">
        <f>SUMIF('2.1 Capex Real Dollars'!$L$9:$L$66,$A4,'2.1 Capex Real Dollars'!Q$9:Q$66)/1000000</f>
        <v>0.54595199999999999</v>
      </c>
      <c r="C4" s="181">
        <f>SUMIF('2.1 Capex Real Dollars'!$L$9:$L$66,$A4,'2.1 Capex Real Dollars'!R$9:R$66)/1000000</f>
        <v>0</v>
      </c>
      <c r="D4" s="181">
        <f>SUMIF('2.1 Capex Real Dollars'!$L$9:$L$66,$A4,'2.1 Capex Real Dollars'!S$9:S$66)/1000000</f>
        <v>0</v>
      </c>
      <c r="E4" s="181">
        <f>SUMIF('2.1 Capex Real Dollars'!$L$9:$L$66,$A4,'2.1 Capex Real Dollars'!T$9:T$66)/1000000</f>
        <v>0</v>
      </c>
      <c r="F4" s="181">
        <f>SUMIF('2.1 Capex Real Dollars'!$L$9:$L$66,$A4,'2.1 Capex Real Dollars'!U$9:U$66)/1000000</f>
        <v>0</v>
      </c>
      <c r="G4" s="181">
        <f>SUMIF('2.1 Capex Real Dollars'!$L$9:$L$66,$A4,'2.1 Capex Real Dollars'!V$9:V$66)/1000000</f>
        <v>0.54595199999999999</v>
      </c>
      <c r="H4" s="184">
        <f>SUM(H3:M3)</f>
        <v>33.801771221149345</v>
      </c>
      <c r="I4" s="140"/>
      <c r="J4" s="140"/>
      <c r="K4" s="140"/>
      <c r="L4" s="140"/>
      <c r="M4" s="140"/>
    </row>
    <row r="5" spans="1:13" ht="26.25" thickBot="1">
      <c r="A5" s="127" t="s">
        <v>423</v>
      </c>
      <c r="B5" s="140">
        <f>'2.1 Capex Real Dollars'!Q22/1000000</f>
        <v>0</v>
      </c>
      <c r="C5" s="181">
        <f>'2.1 Capex Real Dollars'!R22/1000000</f>
        <v>0.34122000000000002</v>
      </c>
      <c r="D5" s="140">
        <f>'2.1 Capex Real Dollars'!S22/1000000</f>
        <v>0</v>
      </c>
      <c r="E5" s="140">
        <f>'2.1 Capex Real Dollars'!T22/1000000</f>
        <v>0</v>
      </c>
      <c r="F5" s="140">
        <f>'2.1 Capex Real Dollars'!U22/1000000</f>
        <v>0</v>
      </c>
      <c r="G5" s="181">
        <f t="shared" ref="G5:G11" si="0">SUM(B5:F5)</f>
        <v>0.34122000000000002</v>
      </c>
    </row>
    <row r="6" spans="1:13" ht="15.75" thickBot="1">
      <c r="A6" s="126" t="s">
        <v>424</v>
      </c>
      <c r="B6" s="181">
        <f>'2.1 Capex Real Dollars'!Q25/1000000</f>
        <v>0.11917905171232164</v>
      </c>
      <c r="C6" s="181">
        <f>'2.1 Capex Real Dollars'!R25/1000000</f>
        <v>0.1204776588011096</v>
      </c>
      <c r="D6" s="181">
        <f>'2.1 Capex Real Dollars'!S25/1000000</f>
        <v>0.12156393291374719</v>
      </c>
      <c r="E6" s="181">
        <f>'2.1 Capex Real Dollars'!T25/1000000</f>
        <v>0.12299777898084531</v>
      </c>
      <c r="F6" s="181">
        <f>'2.1 Capex Real Dollars'!U25/1000000</f>
        <v>0.12463359898971195</v>
      </c>
      <c r="G6" s="181">
        <f t="shared" si="0"/>
        <v>0.60885202139773564</v>
      </c>
    </row>
    <row r="7" spans="1:13" ht="26.25" thickBot="1">
      <c r="A7" s="127" t="s">
        <v>425</v>
      </c>
      <c r="B7" s="181">
        <f>'2.1 Capex Real Dollars'!Q26/1000000</f>
        <v>0</v>
      </c>
      <c r="C7" s="181">
        <f>'2.1 Capex Real Dollars'!R26/1000000</f>
        <v>0</v>
      </c>
      <c r="D7" s="181">
        <f>'2.1 Capex Real Dollars'!S26/1000000</f>
        <v>0</v>
      </c>
      <c r="E7" s="181">
        <f>'2.1 Capex Real Dollars'!T26/1000000</f>
        <v>0.98804304668013399</v>
      </c>
      <c r="F7" s="181">
        <f>'2.1 Capex Real Dollars'!U26/1000000</f>
        <v>0</v>
      </c>
      <c r="G7" s="181">
        <f t="shared" si="0"/>
        <v>0.98804304668013399</v>
      </c>
    </row>
    <row r="8" spans="1:13" ht="26.25" thickBot="1">
      <c r="A8" s="126" t="s">
        <v>426</v>
      </c>
      <c r="B8" s="181">
        <f>'2.1 Capex Real Dollars'!Q40/1000000</f>
        <v>6.8243999999999999E-2</v>
      </c>
      <c r="C8" s="181">
        <f>'2.1 Capex Real Dollars'!R40/1000000</f>
        <v>6.8243999999999999E-2</v>
      </c>
      <c r="D8" s="181">
        <f>'2.1 Capex Real Dollars'!S40/1000000</f>
        <v>0.15423144</v>
      </c>
      <c r="E8" s="181">
        <f>'2.1 Capex Real Dollars'!T40/1000000</f>
        <v>0.47770800000000008</v>
      </c>
      <c r="F8" s="181">
        <f>'2.1 Capex Real Dollars'!U40/1000000</f>
        <v>6.8243999999999999E-2</v>
      </c>
      <c r="G8" s="181">
        <f t="shared" si="0"/>
        <v>0.83667144000000004</v>
      </c>
    </row>
    <row r="9" spans="1:13" ht="15.75" thickBot="1">
      <c r="A9" s="126" t="s">
        <v>427</v>
      </c>
      <c r="B9" s="181">
        <f t="shared" ref="B9:G9" si="1">SUM(B6:B8)</f>
        <v>0.18742305171232165</v>
      </c>
      <c r="C9" s="181">
        <f t="shared" si="1"/>
        <v>0.18872165880110958</v>
      </c>
      <c r="D9" s="181">
        <f t="shared" si="1"/>
        <v>0.27579537291374717</v>
      </c>
      <c r="E9" s="181">
        <f t="shared" si="1"/>
        <v>1.5887488256609794</v>
      </c>
      <c r="F9" s="181">
        <f t="shared" si="1"/>
        <v>0.19287759898971196</v>
      </c>
      <c r="G9" s="181">
        <f t="shared" si="1"/>
        <v>2.4335665080778695</v>
      </c>
    </row>
    <row r="10" spans="1:13" ht="15.75" thickBot="1">
      <c r="A10" s="127" t="s">
        <v>428</v>
      </c>
      <c r="B10" s="181">
        <f>'2.1 Capex Real Dollars'!Q55/1000000</f>
        <v>0.35623368</v>
      </c>
      <c r="C10" s="181">
        <f>'2.1 Capex Real Dollars'!R55/1000000</f>
        <v>0.85305000000000009</v>
      </c>
      <c r="D10" s="181">
        <f>'2.1 Capex Real Dollars'!S55/1000000</f>
        <v>0.85305000000000009</v>
      </c>
      <c r="E10" s="181">
        <f>'2.1 Capex Real Dollars'!T55/1000000</f>
        <v>0</v>
      </c>
      <c r="F10" s="181">
        <f>'2.1 Capex Real Dollars'!U55/1000000</f>
        <v>0</v>
      </c>
      <c r="G10" s="181">
        <f t="shared" si="0"/>
        <v>2.0623336800000001</v>
      </c>
    </row>
    <row r="11" spans="1:13" ht="15.75" thickBot="1">
      <c r="A11" s="126" t="s">
        <v>429</v>
      </c>
      <c r="B11" s="181">
        <f>'2.1 Capex Real Dollars'!Q24/1000000</f>
        <v>0.136488</v>
      </c>
      <c r="C11" s="181">
        <f>'2.1 Capex Real Dollars'!R24/1000000</f>
        <v>0.40946400000000005</v>
      </c>
      <c r="D11" s="181">
        <f>'2.1 Capex Real Dollars'!S24/1000000</f>
        <v>0.68244000000000005</v>
      </c>
      <c r="E11" s="181">
        <f>'2.1 Capex Real Dollars'!T24/1000000</f>
        <v>0.136488</v>
      </c>
      <c r="F11" s="181">
        <f>'2.1 Capex Real Dollars'!U24/1000000</f>
        <v>0.29028540815999998</v>
      </c>
      <c r="G11" s="181">
        <f t="shared" si="0"/>
        <v>1.6551654081599998</v>
      </c>
    </row>
    <row r="12" spans="1:13" ht="15.75" thickBot="1">
      <c r="A12" s="127" t="s">
        <v>430</v>
      </c>
      <c r="B12" s="181">
        <f>'2.1 Capex Real Dollars'!Q34/1000000</f>
        <v>0</v>
      </c>
      <c r="C12" s="181">
        <f>'2.1 Capex Real Dollars'!R34/1000000</f>
        <v>0</v>
      </c>
      <c r="D12" s="181">
        <f>'2.1 Capex Real Dollars'!S34/1000000</f>
        <v>0.21496860000000004</v>
      </c>
      <c r="E12" s="181">
        <f>'2.1 Capex Real Dollars'!T34/1000000</f>
        <v>0.21496860000000004</v>
      </c>
      <c r="F12" s="181">
        <f>'2.1 Capex Real Dollars'!U34/1000000</f>
        <v>0.21496860000000004</v>
      </c>
      <c r="G12" s="181">
        <f>'2.1 Capex Real Dollars'!V34/1000000</f>
        <v>0.64490580000000008</v>
      </c>
    </row>
    <row r="13" spans="1:13" ht="15.75" thickBot="1">
      <c r="A13" s="126" t="s">
        <v>431</v>
      </c>
      <c r="B13" s="181">
        <f>'2.1 Capex Real Dollars'!Q43/1000000</f>
        <v>3.2757120000000008E-2</v>
      </c>
      <c r="C13" s="181">
        <f>'2.1 Capex Real Dollars'!R43/1000000</f>
        <v>3.2757120000000008E-2</v>
      </c>
      <c r="D13" s="181">
        <f>'2.1 Capex Real Dollars'!S43/1000000</f>
        <v>0</v>
      </c>
      <c r="E13" s="181">
        <f>'2.1 Capex Real Dollars'!T43/1000000</f>
        <v>0</v>
      </c>
      <c r="F13" s="181">
        <f>'2.1 Capex Real Dollars'!U43/1000000</f>
        <v>0</v>
      </c>
      <c r="G13" s="181">
        <f>'2.1 Capex Real Dollars'!V43/1000000</f>
        <v>6.5514240000000015E-2</v>
      </c>
    </row>
    <row r="14" spans="1:13" ht="15.75" thickBot="1">
      <c r="A14" s="128" t="s">
        <v>432</v>
      </c>
      <c r="B14" s="181">
        <f>'2.1 Capex Real Dollars'!Q47/1000000</f>
        <v>0.17061000000000001</v>
      </c>
      <c r="C14" s="181">
        <f>'2.1 Capex Real Dollars'!R47/1000000</f>
        <v>0.17061000000000001</v>
      </c>
      <c r="D14" s="181">
        <f>'2.1 Capex Real Dollars'!S47/1000000</f>
        <v>0.17061000000000001</v>
      </c>
      <c r="E14" s="181">
        <f>'2.1 Capex Real Dollars'!T47/1000000</f>
        <v>0.17061000000000001</v>
      </c>
      <c r="F14" s="181">
        <f>'2.1 Capex Real Dollars'!U47/1000000</f>
        <v>0.17061000000000001</v>
      </c>
      <c r="G14" s="181">
        <f>'2.1 Capex Real Dollars'!V47/1000000</f>
        <v>0.85304999999999997</v>
      </c>
    </row>
    <row r="15" spans="1:13" ht="15.75" thickBot="1">
      <c r="A15" s="129" t="s">
        <v>16</v>
      </c>
      <c r="B15" s="80">
        <f>SUM(B4:B14)-B9</f>
        <v>1.4294638517123217</v>
      </c>
      <c r="C15" s="80">
        <f t="shared" ref="C15:F15" si="2">SUM(C4:C14)-C9</f>
        <v>1.9958227788011096</v>
      </c>
      <c r="D15" s="80">
        <f t="shared" si="2"/>
        <v>2.1968639729137478</v>
      </c>
      <c r="E15" s="80">
        <f t="shared" si="2"/>
        <v>2.1108154256609795</v>
      </c>
      <c r="F15" s="80">
        <f t="shared" si="2"/>
        <v>0.86874160714971205</v>
      </c>
      <c r="G15" s="80">
        <f>SUM(G4:G14)-G9</f>
        <v>8.6017076362378688</v>
      </c>
    </row>
    <row r="16" spans="1:13" ht="16.5" thickTop="1" thickBot="1">
      <c r="A16" s="130" t="s">
        <v>178</v>
      </c>
      <c r="B16" s="46">
        <f>B15-'3.0 Outputs'!P97</f>
        <v>0</v>
      </c>
      <c r="C16" s="46">
        <f>C15-'3.0 Outputs'!Q97</f>
        <v>0</v>
      </c>
      <c r="D16" s="46">
        <f>D15-'3.0 Outputs'!R97</f>
        <v>0</v>
      </c>
      <c r="E16" s="46">
        <f>E15-'3.0 Outputs'!S97</f>
        <v>0</v>
      </c>
      <c r="F16" s="46">
        <f>F15-'3.0 Outputs'!T97</f>
        <v>0</v>
      </c>
      <c r="G16" s="46">
        <f>G15-'3.0 Outputs'!U97</f>
        <v>0</v>
      </c>
    </row>
    <row r="17" spans="1:8" ht="15.75" thickTop="1"/>
    <row r="18" spans="1:8">
      <c r="A18" s="122" t="s">
        <v>433</v>
      </c>
      <c r="H18" t="s">
        <v>412</v>
      </c>
    </row>
    <row r="19" spans="1:8" ht="15.75" thickBot="1">
      <c r="A19" s="123" t="s">
        <v>416</v>
      </c>
      <c r="B19" s="124" t="s">
        <v>417</v>
      </c>
      <c r="C19" s="124" t="s">
        <v>418</v>
      </c>
      <c r="D19" s="124" t="s">
        <v>419</v>
      </c>
      <c r="E19" s="124" t="s">
        <v>420</v>
      </c>
      <c r="F19" s="124" t="s">
        <v>421</v>
      </c>
      <c r="G19" s="125" t="s">
        <v>422</v>
      </c>
    </row>
    <row r="20" spans="1:8" ht="30" customHeight="1" thickBot="1">
      <c r="A20" s="126" t="str">
        <f>'2.1 Capex Real Dollars'!L14</f>
        <v>Asset Integration - Asset Information (Placeholder)</v>
      </c>
      <c r="B20" s="182">
        <f>'2.1 Capex Real Dollars'!Q14/1000000</f>
        <v>0.25022800000000001</v>
      </c>
      <c r="C20" s="182">
        <f>'2.1 Capex Real Dollars'!R14/1000000</f>
        <v>0</v>
      </c>
      <c r="D20" s="182">
        <f>'2.1 Capex Real Dollars'!S14/1000000</f>
        <v>0</v>
      </c>
      <c r="E20" s="182">
        <f>'2.1 Capex Real Dollars'!T14/1000000</f>
        <v>0</v>
      </c>
      <c r="F20" s="182">
        <f>'2.1 Capex Real Dollars'!U14/1000000</f>
        <v>0</v>
      </c>
      <c r="G20" s="182">
        <f>'2.1 Capex Real Dollars'!V14/1000000</f>
        <v>0.25022800000000001</v>
      </c>
    </row>
    <row r="21" spans="1:8" ht="30" customHeight="1" thickBot="1">
      <c r="A21" s="126" t="str">
        <f>'2.1 Capex Real Dollars'!L15</f>
        <v>Asset Integration - CMMS Uplift (Placeholder)</v>
      </c>
      <c r="B21" s="182">
        <f>'2.1 Capex Real Dollars'!Q15/1000000</f>
        <v>0.272976</v>
      </c>
      <c r="C21" s="182">
        <f>'2.1 Capex Real Dollars'!R15/1000000</f>
        <v>0.136488</v>
      </c>
      <c r="D21" s="182">
        <f>'2.1 Capex Real Dollars'!S15/1000000</f>
        <v>0</v>
      </c>
      <c r="E21" s="182">
        <f>'2.1 Capex Real Dollars'!T15/1000000</f>
        <v>0</v>
      </c>
      <c r="F21" s="182">
        <f>'2.1 Capex Real Dollars'!U15/1000000</f>
        <v>0</v>
      </c>
      <c r="G21" s="182">
        <f>'2.1 Capex Real Dollars'!V15/1000000</f>
        <v>0.40946399999999999</v>
      </c>
    </row>
    <row r="22" spans="1:8" ht="30" customHeight="1" thickBot="1">
      <c r="A22" s="126" t="str">
        <f>'2.1 Capex Real Dollars'!L16</f>
        <v>Asset Integration - Maintenance Strategy (Placeholder)</v>
      </c>
      <c r="B22" s="182">
        <f>'2.1 Capex Real Dollars'!Q16/1000000</f>
        <v>0.11374000000000001</v>
      </c>
      <c r="C22" s="182">
        <f>'2.1 Capex Real Dollars'!R16/1000000</f>
        <v>0</v>
      </c>
      <c r="D22" s="182">
        <f>'2.1 Capex Real Dollars'!S16/1000000</f>
        <v>0</v>
      </c>
      <c r="E22" s="182">
        <f>'2.1 Capex Real Dollars'!T16/1000000</f>
        <v>0</v>
      </c>
      <c r="F22" s="182">
        <f>'2.1 Capex Real Dollars'!U16/1000000</f>
        <v>0</v>
      </c>
      <c r="G22" s="182">
        <f>'2.1 Capex Real Dollars'!V16/1000000</f>
        <v>0.11374000000000001</v>
      </c>
    </row>
    <row r="23" spans="1:8" ht="30" customHeight="1" thickBot="1">
      <c r="A23" s="126" t="s">
        <v>434</v>
      </c>
      <c r="B23" s="182">
        <f>SUM(B21:B22)</f>
        <v>0.386716</v>
      </c>
      <c r="C23" s="182">
        <f t="shared" ref="C23:G23" si="3">SUM(C21:C22)</f>
        <v>0.136488</v>
      </c>
      <c r="D23" s="182">
        <f t="shared" si="3"/>
        <v>0</v>
      </c>
      <c r="E23" s="182">
        <f t="shared" si="3"/>
        <v>0</v>
      </c>
      <c r="F23" s="182">
        <f t="shared" si="3"/>
        <v>0</v>
      </c>
      <c r="G23" s="182">
        <f t="shared" si="3"/>
        <v>0.523204</v>
      </c>
    </row>
    <row r="24" spans="1:8" ht="30" customHeight="1" thickBot="1">
      <c r="A24" s="126" t="str">
        <f>'2.1 Capex Real Dollars'!L44</f>
        <v>Master Controller- FEED</v>
      </c>
      <c r="B24" s="141">
        <f>'2.1 Capex Real Dollars'!Q44/1000000</f>
        <v>0</v>
      </c>
      <c r="C24" s="141">
        <f>'2.1 Capex Real Dollars'!R44/1000000</f>
        <v>0</v>
      </c>
      <c r="D24" s="141">
        <f>'2.1 Capex Real Dollars'!S44/1000000</f>
        <v>0</v>
      </c>
      <c r="E24" s="141">
        <f>'2.1 Capex Real Dollars'!T44/1000000</f>
        <v>0</v>
      </c>
      <c r="F24" s="182">
        <f>'2.1 Capex Real Dollars'!U44/1000000</f>
        <v>0.136488</v>
      </c>
      <c r="G24" s="182">
        <f>'2.1 Capex Real Dollars'!V44/1000000</f>
        <v>0.136488</v>
      </c>
    </row>
    <row r="25" spans="1:8" ht="30" customHeight="1" thickBot="1">
      <c r="A25" s="126" t="str">
        <f>'2.1 Capex Real Dollars'!L48</f>
        <v>Operations Asset Integration</v>
      </c>
      <c r="B25" s="182">
        <f>'2.1 Capex Real Dollars'!Q48/1000000</f>
        <v>9.2811839999999993E-2</v>
      </c>
      <c r="C25" s="182">
        <f>'2.1 Capex Real Dollars'!R48/1000000</f>
        <v>9.2811839999999993E-2</v>
      </c>
      <c r="D25" s="182">
        <f>'2.1 Capex Real Dollars'!S48/1000000</f>
        <v>9.2811839999999993E-2</v>
      </c>
      <c r="E25" s="182">
        <f>'2.1 Capex Real Dollars'!T48/1000000</f>
        <v>9.2811839999999993E-2</v>
      </c>
      <c r="F25" s="182">
        <f>'2.1 Capex Real Dollars'!U48/1000000</f>
        <v>0</v>
      </c>
      <c r="G25" s="182">
        <f>'2.1 Capex Real Dollars'!V48/1000000</f>
        <v>0.37124735999999997</v>
      </c>
    </row>
    <row r="26" spans="1:8" ht="15.75" thickBot="1">
      <c r="A26" s="129" t="s">
        <v>16</v>
      </c>
      <c r="B26" s="80">
        <f>SUM(B20:B25)-B23</f>
        <v>0.72975583999999993</v>
      </c>
      <c r="C26" s="80">
        <f t="shared" ref="C26:F26" si="4">SUM(C20:C25)</f>
        <v>0.36578783999999998</v>
      </c>
      <c r="D26" s="80">
        <f t="shared" si="4"/>
        <v>9.2811839999999993E-2</v>
      </c>
      <c r="E26" s="80">
        <f t="shared" si="4"/>
        <v>9.2811839999999993E-2</v>
      </c>
      <c r="F26" s="80">
        <f t="shared" si="4"/>
        <v>0.136488</v>
      </c>
      <c r="G26" s="80">
        <f>G20+G23+G24+G25</f>
        <v>1.28116736</v>
      </c>
    </row>
    <row r="27" spans="1:8" ht="16.5" thickTop="1" thickBot="1">
      <c r="A27" s="130" t="s">
        <v>178</v>
      </c>
      <c r="B27" s="46">
        <f>B26-'3.0 Outputs'!P99</f>
        <v>-2.7570576000000013E-2</v>
      </c>
      <c r="C27" s="46">
        <f>C26-'3.0 Outputs'!Q99</f>
        <v>0.13648799999999997</v>
      </c>
      <c r="D27" s="46">
        <f>D26-'3.0 Outputs'!R99</f>
        <v>0</v>
      </c>
      <c r="E27" s="46">
        <f>E26-'3.0 Outputs'!S99</f>
        <v>0</v>
      </c>
      <c r="F27" s="46">
        <f>F26-'3.0 Outputs'!T99</f>
        <v>0</v>
      </c>
      <c r="G27" s="46">
        <f>G26-'3.0 Outputs'!U99</f>
        <v>-2.7570576000000013E-2</v>
      </c>
    </row>
    <row r="28" spans="1:8" ht="15.75" thickTop="1"/>
    <row r="29" spans="1:8">
      <c r="A29" s="122" t="s">
        <v>435</v>
      </c>
      <c r="H29" t="s">
        <v>37</v>
      </c>
    </row>
    <row r="30" spans="1:8" ht="15.75" thickBot="1">
      <c r="A30" s="123" t="s">
        <v>416</v>
      </c>
      <c r="B30" s="124" t="s">
        <v>417</v>
      </c>
      <c r="C30" s="124" t="s">
        <v>418</v>
      </c>
      <c r="D30" s="124" t="s">
        <v>419</v>
      </c>
      <c r="E30" s="124" t="s">
        <v>420</v>
      </c>
      <c r="F30" s="124" t="s">
        <v>421</v>
      </c>
      <c r="G30" s="125" t="s">
        <v>422</v>
      </c>
    </row>
    <row r="31" spans="1:8" ht="15.75" thickBot="1">
      <c r="A31" s="126" t="str">
        <f>'2.1 Capex Real Dollars'!L9</f>
        <v>AC Isolators / Earth Switches</v>
      </c>
      <c r="B31" s="182">
        <f>'2.1 Capex Real Dollars'!Q9/1000000</f>
        <v>0.28075581600000005</v>
      </c>
      <c r="C31" s="182">
        <f>'2.1 Capex Real Dollars'!R9/1000000</f>
        <v>0</v>
      </c>
      <c r="D31" s="182">
        <f>'2.1 Capex Real Dollars'!S9/1000000</f>
        <v>0</v>
      </c>
      <c r="E31" s="182">
        <f>'2.1 Capex Real Dollars'!T9/1000000</f>
        <v>0</v>
      </c>
      <c r="F31" s="182">
        <f>'2.1 Capex Real Dollars'!U9/1000000</f>
        <v>0</v>
      </c>
      <c r="G31" s="182">
        <f>'2.1 Capex Real Dollars'!V9/1000000</f>
        <v>0.28075581600000005</v>
      </c>
    </row>
    <row r="32" spans="1:8" ht="15.75" thickBot="1">
      <c r="A32" s="126" t="str">
        <f>'2.1 Capex Real Dollars'!L18</f>
        <v>Bungalora Facilities Improvements</v>
      </c>
      <c r="B32" s="182">
        <f>'2.1 Capex Real Dollars'!Q18/1000000</f>
        <v>0.12531543354000002</v>
      </c>
      <c r="C32" s="182">
        <f>'2.1 Capex Real Dollars'!R18/1000000</f>
        <v>0</v>
      </c>
      <c r="D32" s="182">
        <f>'2.1 Capex Real Dollars'!S18/1000000</f>
        <v>0</v>
      </c>
      <c r="E32" s="182">
        <f>'2.1 Capex Real Dollars'!T18/1000000</f>
        <v>0</v>
      </c>
      <c r="F32" s="182">
        <f>'2.1 Capex Real Dollars'!U18/1000000</f>
        <v>0</v>
      </c>
      <c r="G32" s="182">
        <f>'2.1 Capex Real Dollars'!V18/1000000</f>
        <v>0.12531543354000002</v>
      </c>
    </row>
    <row r="33" spans="1:8" ht="15.75" thickBot="1">
      <c r="A33" s="126" t="str">
        <f>'2.1 Capex Real Dollars'!L19</f>
        <v>Bungalora Storage Facilities</v>
      </c>
      <c r="B33" s="182">
        <f>'2.1 Capex Real Dollars'!Q19/1000000</f>
        <v>0.33780779999999999</v>
      </c>
      <c r="C33" s="182">
        <f>'2.1 Capex Real Dollars'!R19/1000000</f>
        <v>0</v>
      </c>
      <c r="D33" s="182">
        <f>'2.1 Capex Real Dollars'!S19/1000000</f>
        <v>0</v>
      </c>
      <c r="E33" s="182">
        <f>'2.1 Capex Real Dollars'!T19/1000000</f>
        <v>0</v>
      </c>
      <c r="F33" s="182">
        <f>'2.1 Capex Real Dollars'!U19/1000000</f>
        <v>0</v>
      </c>
      <c r="G33" s="182">
        <f>'2.1 Capex Real Dollars'!V19/1000000</f>
        <v>0.33780779999999999</v>
      </c>
    </row>
    <row r="34" spans="1:8" ht="15.75" thickBot="1">
      <c r="A34" s="126" t="str">
        <f>'2.1 Capex Real Dollars'!L23</f>
        <v>Cameras for Inspections</v>
      </c>
      <c r="B34" s="141">
        <f>'2.1 Capex Real Dollars'!Q23/1000000</f>
        <v>0</v>
      </c>
      <c r="C34" s="141">
        <f>'2.1 Capex Real Dollars'!R23/1000000</f>
        <v>0</v>
      </c>
      <c r="D34" s="182">
        <f>'2.1 Capex Real Dollars'!S23/1000000</f>
        <v>8.819035632000001E-2</v>
      </c>
      <c r="E34" s="141">
        <f>'2.1 Capex Real Dollars'!T23/1000000</f>
        <v>0</v>
      </c>
      <c r="F34" s="141">
        <f>'2.1 Capex Real Dollars'!U23/1000000</f>
        <v>0</v>
      </c>
      <c r="G34" s="182">
        <f>'2.1 Capex Real Dollars'!V23/1000000</f>
        <v>8.819035632000001E-2</v>
      </c>
    </row>
    <row r="35" spans="1:8" ht="15.75" thickBot="1">
      <c r="A35" s="126" t="str">
        <f>'2.1 Capex Real Dollars'!L28</f>
        <v>DC disconnectors</v>
      </c>
      <c r="B35" s="182">
        <f>'2.1 Capex Real Dollars'!Q28/1000000</f>
        <v>0.44665698000000015</v>
      </c>
      <c r="C35" s="141">
        <f>'2.1 Capex Real Dollars'!R28/1000000</f>
        <v>0</v>
      </c>
      <c r="D35" s="141">
        <f>'2.1 Capex Real Dollars'!S28/1000000</f>
        <v>0</v>
      </c>
      <c r="E35" s="141">
        <f>'2.1 Capex Real Dollars'!T28/1000000</f>
        <v>0</v>
      </c>
      <c r="F35" s="141">
        <f>'2.1 Capex Real Dollars'!U28/1000000</f>
        <v>0</v>
      </c>
      <c r="G35" s="182">
        <f>'2.1 Capex Real Dollars'!V28/1000000</f>
        <v>0.44665698000000015</v>
      </c>
    </row>
    <row r="36" spans="1:8" ht="15.75" thickBot="1">
      <c r="A36" s="126" t="str">
        <f>'2.1 Capex Real Dollars'!L30</f>
        <v>Environmental Damage from Landslips</v>
      </c>
      <c r="B36" s="182">
        <f>'2.1 Capex Real Dollars'!Q30/1000000</f>
        <v>0.17936798000000001</v>
      </c>
      <c r="C36" s="182">
        <f>'2.1 Capex Real Dollars'!R30/1000000</f>
        <v>0</v>
      </c>
      <c r="D36" s="182">
        <f>'2.1 Capex Real Dollars'!S30/1000000</f>
        <v>0</v>
      </c>
      <c r="E36" s="182">
        <f>'2.1 Capex Real Dollars'!T30/1000000</f>
        <v>0</v>
      </c>
      <c r="F36" s="182">
        <f>'2.1 Capex Real Dollars'!U30/1000000</f>
        <v>0</v>
      </c>
      <c r="G36" s="182">
        <f>'2.1 Capex Real Dollars'!V30/1000000</f>
        <v>0.17936798000000001</v>
      </c>
    </row>
    <row r="37" spans="1:8" ht="26.25" thickBot="1">
      <c r="A37" s="126" t="str">
        <f>'2.1 Capex Real Dollars'!L49</f>
        <v>Physical Site Security and Public Protection - Bangalora</v>
      </c>
      <c r="B37" s="182">
        <f>'2.1 Capex Real Dollars'!Q49/1000000</f>
        <v>0.63934364828488777</v>
      </c>
      <c r="C37" s="182">
        <f>'2.1 Capex Real Dollars'!R49/1000000</f>
        <v>0.38835254807119507</v>
      </c>
      <c r="D37" s="182">
        <f>'2.1 Capex Real Dollars'!S49/1000000</f>
        <v>6.0678427852575989E-2</v>
      </c>
      <c r="E37" s="182">
        <f>'2.1 Capex Real Dollars'!T49/1000000</f>
        <v>0</v>
      </c>
      <c r="F37" s="182">
        <f>'2.1 Capex Real Dollars'!U49/1000000</f>
        <v>0</v>
      </c>
      <c r="G37" s="182">
        <f>'2.1 Capex Real Dollars'!V49/1000000</f>
        <v>1.0883746242086587</v>
      </c>
    </row>
    <row r="38" spans="1:8" ht="26.25" thickBot="1">
      <c r="A38" s="126" t="str">
        <f>'2.1 Capex Real Dollars'!L50</f>
        <v>Physical Site Security and Public Protection - Mullumbimby</v>
      </c>
      <c r="B38" s="182">
        <f>'2.1 Capex Real Dollars'!Q50/1000000</f>
        <v>1.4872578544152684</v>
      </c>
      <c r="C38" s="182">
        <f>'2.1 Capex Real Dollars'!R50/1000000</f>
        <v>0.70361629940753645</v>
      </c>
      <c r="D38" s="182">
        <f>'2.1 Capex Real Dollars'!S50/1000000</f>
        <v>0</v>
      </c>
      <c r="E38" s="182">
        <f>'2.1 Capex Real Dollars'!T50/1000000</f>
        <v>0</v>
      </c>
      <c r="F38" s="182">
        <f>'2.1 Capex Real Dollars'!U50/1000000</f>
        <v>0</v>
      </c>
      <c r="G38" s="182">
        <f>'2.1 Capex Real Dollars'!V50/1000000</f>
        <v>2.1908741538228047</v>
      </c>
    </row>
    <row r="39" spans="1:8" ht="26.25" thickBot="1">
      <c r="A39" s="126" t="s">
        <v>436</v>
      </c>
      <c r="B39" s="182">
        <f t="shared" ref="B39:G39" si="5">SUM(B37:B38)</f>
        <v>2.1266015027001561</v>
      </c>
      <c r="C39" s="182">
        <f t="shared" si="5"/>
        <v>1.0919688474787315</v>
      </c>
      <c r="D39" s="182">
        <f t="shared" si="5"/>
        <v>6.0678427852575989E-2</v>
      </c>
      <c r="E39" s="182">
        <f t="shared" si="5"/>
        <v>0</v>
      </c>
      <c r="F39" s="182">
        <f t="shared" si="5"/>
        <v>0</v>
      </c>
      <c r="G39" s="182">
        <f t="shared" si="5"/>
        <v>3.2792487780314632</v>
      </c>
    </row>
    <row r="40" spans="1:8" ht="15.75" thickBot="1">
      <c r="A40" s="126" t="str">
        <f>'2.1 Capex Real Dollars'!L56</f>
        <v>Reposition Nitrogen Tanks</v>
      </c>
      <c r="B40" s="182">
        <f>'2.1 Capex Real Dollars'!Q56/1000000</f>
        <v>0.22832053860000007</v>
      </c>
      <c r="C40" s="182">
        <f>'2.1 Capex Real Dollars'!R56/1000000</f>
        <v>0</v>
      </c>
      <c r="D40" s="182">
        <f>'2.1 Capex Real Dollars'!S56/1000000</f>
        <v>0</v>
      </c>
      <c r="E40" s="182">
        <f>'2.1 Capex Real Dollars'!T56/1000000</f>
        <v>0</v>
      </c>
      <c r="F40" s="182">
        <f>'2.1 Capex Real Dollars'!U56/1000000</f>
        <v>0</v>
      </c>
      <c r="G40" s="182">
        <f>'2.1 Capex Real Dollars'!V56/1000000</f>
        <v>0.22832053860000007</v>
      </c>
    </row>
    <row r="41" spans="1:8" ht="15.75" thickBot="1">
      <c r="A41" s="126" t="str">
        <f>'2.1 Capex Real Dollars'!L59</f>
        <v>Sound Wall Earthing</v>
      </c>
      <c r="B41" s="141">
        <f>'2.1 Capex Real Dollars'!Q59/1000000</f>
        <v>0</v>
      </c>
      <c r="C41" s="141">
        <f>'2.1 Capex Real Dollars'!R59/1000000</f>
        <v>0</v>
      </c>
      <c r="D41" s="182">
        <f>'2.1 Capex Real Dollars'!S59/1000000</f>
        <v>6.3336460220000002E-2</v>
      </c>
      <c r="E41" s="141">
        <f>'2.1 Capex Real Dollars'!T59/1000000</f>
        <v>0</v>
      </c>
      <c r="F41" s="141">
        <f>'2.1 Capex Real Dollars'!U59/1000000</f>
        <v>0</v>
      </c>
      <c r="G41" s="182">
        <f>'2.1 Capex Real Dollars'!V59/1000000</f>
        <v>6.3336460220000002E-2</v>
      </c>
    </row>
    <row r="42" spans="1:8">
      <c r="A42" s="129" t="s">
        <v>437</v>
      </c>
      <c r="B42" s="183">
        <f>'2.1 Capex Real Dollars'!Q61/1000000</f>
        <v>2.7570576000000003E-2</v>
      </c>
      <c r="C42" s="183">
        <f>'2.1 Capex Real Dollars'!R61/1000000</f>
        <v>0</v>
      </c>
      <c r="D42" s="183">
        <f>'2.1 Capex Real Dollars'!S61/1000000</f>
        <v>0</v>
      </c>
      <c r="E42" s="183">
        <f>'2.1 Capex Real Dollars'!T61/1000000</f>
        <v>0</v>
      </c>
      <c r="F42" s="183">
        <f>'2.1 Capex Real Dollars'!U61/1000000</f>
        <v>0</v>
      </c>
      <c r="G42" s="183">
        <f>'2.1 Capex Real Dollars'!V61/1000000</f>
        <v>2.7570576000000003E-2</v>
      </c>
    </row>
    <row r="43" spans="1:8" ht="15.75" thickBot="1">
      <c r="A43" s="129"/>
      <c r="B43" s="183">
        <f t="shared" ref="B43:G43" si="6">SUM(B31:B42)-B39</f>
        <v>3.7523966268401567</v>
      </c>
      <c r="C43" s="183">
        <f t="shared" si="6"/>
        <v>1.0919688474787315</v>
      </c>
      <c r="D43" s="183">
        <f t="shared" si="6"/>
        <v>0.21220524439257599</v>
      </c>
      <c r="E43" s="183">
        <f t="shared" si="6"/>
        <v>0</v>
      </c>
      <c r="F43" s="183">
        <f t="shared" si="6"/>
        <v>0</v>
      </c>
      <c r="G43" s="183">
        <f t="shared" si="6"/>
        <v>5.0565707187114652</v>
      </c>
    </row>
    <row r="44" spans="1:8" ht="16.5" thickTop="1" thickBot="1">
      <c r="A44" s="130" t="s">
        <v>178</v>
      </c>
      <c r="B44" s="46">
        <f>B43-'3.0 Outputs'!P96</f>
        <v>2.7570576000000013E-2</v>
      </c>
      <c r="C44" s="46">
        <f>C43-'3.0 Outputs'!Q96</f>
        <v>0</v>
      </c>
      <c r="D44" s="46">
        <f>D43-'3.0 Outputs'!R96</f>
        <v>0</v>
      </c>
      <c r="E44" s="46">
        <f>E43-'3.0 Outputs'!S96</f>
        <v>0</v>
      </c>
      <c r="F44" s="46">
        <f>F43-'3.0 Outputs'!T96</f>
        <v>0</v>
      </c>
      <c r="G44" s="46">
        <f>G43-'3.0 Outputs'!U96</f>
        <v>2.7570576000000457E-2</v>
      </c>
    </row>
    <row r="45" spans="1:8" ht="15.75" thickTop="1"/>
    <row r="47" spans="1:8" ht="15.75" thickBot="1"/>
    <row r="48" spans="1:8" ht="24.75" thickBot="1">
      <c r="A48" s="198" t="s">
        <v>438</v>
      </c>
      <c r="B48" s="199"/>
      <c r="C48" s="142" t="s">
        <v>439</v>
      </c>
      <c r="D48" s="143" t="s">
        <v>440</v>
      </c>
      <c r="E48" s="143" t="s">
        <v>441</v>
      </c>
      <c r="F48" s="143" t="s">
        <v>442</v>
      </c>
      <c r="G48" s="143" t="s">
        <v>443</v>
      </c>
      <c r="H48" s="143" t="s">
        <v>444</v>
      </c>
    </row>
    <row r="49" spans="1:8" ht="15.75" thickBot="1">
      <c r="A49" s="196" t="str">
        <f>'3.0 Outputs'!O96</f>
        <v>Safety and Protection</v>
      </c>
      <c r="B49" s="197"/>
      <c r="C49" s="145"/>
      <c r="D49" s="146">
        <f>'3.0 Outputs'!P96*1000</f>
        <v>3724.8260508401568</v>
      </c>
      <c r="E49" s="146">
        <f>'3.0 Outputs'!Q96*1000</f>
        <v>1091.9688474787315</v>
      </c>
      <c r="F49" s="146">
        <f>'3.0 Outputs'!R96*1000</f>
        <v>212.20524439257599</v>
      </c>
      <c r="G49" s="146">
        <f>'3.0 Outputs'!S96*1000</f>
        <v>0</v>
      </c>
      <c r="H49" s="146">
        <f>'3.0 Outputs'!T96*1000</f>
        <v>0</v>
      </c>
    </row>
    <row r="50" spans="1:8" ht="15.75" thickBot="1">
      <c r="A50" s="196" t="str">
        <f>'3.0 Outputs'!O97</f>
        <v>Major Maintenance</v>
      </c>
      <c r="B50" s="197"/>
      <c r="C50" s="145"/>
      <c r="D50" s="146">
        <f>'3.0 Outputs'!P97*1000</f>
        <v>1429.4638517123217</v>
      </c>
      <c r="E50" s="146">
        <f>'3.0 Outputs'!Q97*1000</f>
        <v>1995.8227788011095</v>
      </c>
      <c r="F50" s="146">
        <f>'3.0 Outputs'!R97*1000</f>
        <v>2196.8639729137471</v>
      </c>
      <c r="G50" s="146">
        <f>'3.0 Outputs'!S97*1000</f>
        <v>2110.8154256609796</v>
      </c>
      <c r="H50" s="146">
        <f>'3.0 Outputs'!T97*1000</f>
        <v>868.74160714971208</v>
      </c>
    </row>
    <row r="51" spans="1:8" ht="15.75" thickBot="1">
      <c r="A51" s="196" t="str">
        <f>'3.0 Outputs'!O98</f>
        <v>Corrosion Management</v>
      </c>
      <c r="B51" s="197"/>
      <c r="C51" s="145"/>
      <c r="D51" s="146">
        <f>'3.0 Outputs'!P98*1000</f>
        <v>0</v>
      </c>
      <c r="E51" s="146">
        <f>'3.0 Outputs'!Q98*1000</f>
        <v>0</v>
      </c>
      <c r="F51" s="146">
        <f>'3.0 Outputs'!R98*1000</f>
        <v>0</v>
      </c>
      <c r="G51" s="146">
        <f>'3.0 Outputs'!S98*1000</f>
        <v>0</v>
      </c>
      <c r="H51" s="146">
        <f>'3.0 Outputs'!T98*1000</f>
        <v>0</v>
      </c>
    </row>
    <row r="52" spans="1:8" ht="15.75" thickBot="1">
      <c r="A52" s="196" t="str">
        <f>'3.0 Outputs'!O99</f>
        <v>Asset Monitoring</v>
      </c>
      <c r="B52" s="197"/>
      <c r="C52" s="145"/>
      <c r="D52" s="146">
        <f>'3.0 Outputs'!P99*1000</f>
        <v>757.32641599999999</v>
      </c>
      <c r="E52" s="146">
        <f>'3.0 Outputs'!Q99*1000</f>
        <v>229.29984000000002</v>
      </c>
      <c r="F52" s="146">
        <f>'3.0 Outputs'!R99*1000</f>
        <v>92.811839999999989</v>
      </c>
      <c r="G52" s="146">
        <f>'3.0 Outputs'!S99*1000</f>
        <v>92.811839999999989</v>
      </c>
      <c r="H52" s="146">
        <f>'3.0 Outputs'!T99*1000</f>
        <v>136.488</v>
      </c>
    </row>
    <row r="53" spans="1:8" ht="15.75" thickBot="1">
      <c r="A53" s="196" t="str">
        <f>'3.0 Outputs'!O100</f>
        <v>Spares Management</v>
      </c>
      <c r="B53" s="197"/>
      <c r="C53" s="145"/>
      <c r="D53" s="146">
        <f>'3.0 Outputs'!P100*1000</f>
        <v>1836.1367809400001</v>
      </c>
      <c r="E53" s="146">
        <f>'3.0 Outputs'!Q100*1000</f>
        <v>1216.5472301400005</v>
      </c>
      <c r="F53" s="146">
        <f>'3.0 Outputs'!R100*1000</f>
        <v>1698.5113809400002</v>
      </c>
      <c r="G53" s="146">
        <f>'3.0 Outputs'!S100*1000</f>
        <v>1548.3745809400002</v>
      </c>
      <c r="H53" s="146">
        <f>'3.0 Outputs'!T100*1000</f>
        <v>6211.8300270400023</v>
      </c>
    </row>
    <row r="54" spans="1:8" ht="15.75" thickBot="1">
      <c r="A54" s="196" t="str">
        <f>'3.0 Outputs'!O101</f>
        <v>IGBTs</v>
      </c>
      <c r="B54" s="197"/>
      <c r="C54" s="145"/>
      <c r="D54" s="146">
        <f>'3.0 Outputs'!P101*1000</f>
        <v>6058.1484062000009</v>
      </c>
      <c r="E54" s="146">
        <f>'3.0 Outputs'!Q101*1000</f>
        <v>0</v>
      </c>
      <c r="F54" s="146">
        <f>'3.0 Outputs'!R101*1000</f>
        <v>0</v>
      </c>
      <c r="G54" s="146">
        <f>'3.0 Outputs'!S101*1000</f>
        <v>0</v>
      </c>
      <c r="H54" s="146">
        <f>'3.0 Outputs'!T101*1000</f>
        <v>0</v>
      </c>
    </row>
    <row r="55" spans="1:8" ht="15.75" thickBot="1">
      <c r="A55" s="196" t="str">
        <f>'3.0 Outputs'!O102</f>
        <v>Transmission Determination Costs</v>
      </c>
      <c r="B55" s="197"/>
      <c r="C55" s="145"/>
      <c r="D55" s="146">
        <f>'3.0 Outputs'!P102*1000</f>
        <v>0</v>
      </c>
      <c r="E55" s="146">
        <f>'3.0 Outputs'!Q102*1000</f>
        <v>0</v>
      </c>
      <c r="F55" s="146">
        <f>'3.0 Outputs'!R102*1000</f>
        <v>0</v>
      </c>
      <c r="G55" s="146">
        <f>'3.0 Outputs'!S102*1000</f>
        <v>146.38855000000001</v>
      </c>
      <c r="H55" s="146">
        <f>'3.0 Outputs'!T102*1000</f>
        <v>146.38855000000001</v>
      </c>
    </row>
    <row r="56" spans="1:8" ht="15.75" thickBot="1">
      <c r="A56" s="196" t="str">
        <f>'3.0 Outputs'!O103</f>
        <v/>
      </c>
      <c r="B56" s="197"/>
      <c r="C56" s="145"/>
      <c r="D56" s="146">
        <f>'3.0 Outputs'!P103*1000</f>
        <v>0</v>
      </c>
      <c r="E56" s="146">
        <f ca="1">'3.0 Outputs'!Q103*1000</f>
        <v>0</v>
      </c>
      <c r="F56" s="146">
        <f ca="1">'3.0 Outputs'!R103*1000</f>
        <v>0</v>
      </c>
      <c r="G56" s="146">
        <f ca="1">'3.0 Outputs'!S103*1000</f>
        <v>0</v>
      </c>
      <c r="H56" s="146">
        <f ca="1">'3.0 Outputs'!T103*1000</f>
        <v>0</v>
      </c>
    </row>
    <row r="57" spans="1:8" ht="15.75" thickBot="1">
      <c r="A57" s="196" t="s">
        <v>16</v>
      </c>
      <c r="B57" s="197"/>
      <c r="C57" s="145"/>
      <c r="D57" s="146">
        <f>'3.0 Outputs'!P104*1000</f>
        <v>13805.901505692478</v>
      </c>
      <c r="E57" s="146">
        <f ca="1">'3.0 Outputs'!Q104*1000</f>
        <v>4533.6386964198418</v>
      </c>
      <c r="F57" s="146">
        <f ca="1">'3.0 Outputs'!R104*1000</f>
        <v>4200.3924382463238</v>
      </c>
      <c r="G57" s="146">
        <f ca="1">'3.0 Outputs'!S104*1000</f>
        <v>3898.3903966009798</v>
      </c>
      <c r="H57" s="146">
        <f ca="1">'3.0 Outputs'!T104*1000</f>
        <v>7363.4481841897141</v>
      </c>
    </row>
    <row r="58" spans="1:8" ht="15.75" thickBot="1">
      <c r="A58" s="144"/>
      <c r="B58" s="194"/>
      <c r="C58" s="195"/>
      <c r="D58" s="146">
        <f>'3.0 Outputs'!P105*1000</f>
        <v>0</v>
      </c>
      <c r="E58" s="146">
        <f>'3.0 Outputs'!Q105*1000</f>
        <v>0</v>
      </c>
      <c r="F58" s="146">
        <f>'3.0 Outputs'!R105*1000</f>
        <v>0</v>
      </c>
      <c r="G58" s="146">
        <f>'3.0 Outputs'!S105*1000</f>
        <v>0</v>
      </c>
      <c r="H58" s="146">
        <f>'3.0 Outputs'!T105*1000</f>
        <v>0</v>
      </c>
    </row>
  </sheetData>
  <mergeCells count="11">
    <mergeCell ref="A48:B48"/>
    <mergeCell ref="A49:B49"/>
    <mergeCell ref="A50:B50"/>
    <mergeCell ref="A51:B51"/>
    <mergeCell ref="A52:B52"/>
    <mergeCell ref="B58:C58"/>
    <mergeCell ref="A53:B53"/>
    <mergeCell ref="A54:B54"/>
    <mergeCell ref="A55:B55"/>
    <mergeCell ref="A56:B56"/>
    <mergeCell ref="A57:B5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977982-925b-4afc-922b-76159132e2ea">
      <UserInfo>
        <DisplayName>Martyn, Annie</DisplayName>
        <AccountId>862</AccountId>
        <AccountType/>
      </UserInfo>
      <UserInfo>
        <DisplayName>Mckinnon, Paul</DisplayName>
        <AccountId>582</AccountId>
        <AccountType/>
      </UserInfo>
      <UserInfo>
        <DisplayName>Brandt, James</DisplayName>
        <AccountId>511</AccountId>
        <AccountType/>
      </UserInfo>
      <UserInfo>
        <DisplayName>Powell, Noel</DisplayName>
        <AccountId>863</AccountId>
        <AccountType/>
      </UserInfo>
      <UserInfo>
        <DisplayName>van Gastel, Anthony</DisplayName>
        <AccountId>277</AccountId>
        <AccountType/>
      </UserInfo>
      <UserInfo>
        <DisplayName>Allen, Mark</DisplayName>
        <AccountId>12</AccountId>
        <AccountType/>
      </UserInfo>
      <UserInfo>
        <DisplayName>Ferencz, Joska</DisplayName>
        <AccountId>864</AccountId>
        <AccountType/>
      </UserInfo>
    </SharedWithUsers>
    <lcf76f155ced4ddcb4097134ff3c332f xmlns="f8d0b45b-ed36-4138-b48f-2f995afadfe1">
      <Terms xmlns="http://schemas.microsoft.com/office/infopath/2007/PartnerControls"/>
    </lcf76f155ced4ddcb4097134ff3c332f>
    <TaxCatchAll xmlns="a7977982-925b-4afc-922b-76159132e2ea" xsi:nil="true"/>
    <Versiontype xmlns="f8d0b45b-ed36-4138-b48f-2f995afadfe1" xsi:nil="true"/>
    <Notes xmlns="f8d0b45b-ed36-4138-b48f-2f995afadfe1" xsi:nil="true"/>
    <Formattingcomplete xmlns="f8d0b45b-ed36-4138-b48f-2f995afadfe1">false</Formattingcomplete>
    <Figurescrosschecked xmlns="f8d0b45b-ed36-4138-b48f-2f995afadfe1">false</Figurescrosscheck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A668104AD73B409BF177FE55A62C7C" ma:contentTypeVersion="22" ma:contentTypeDescription="Create a new document." ma:contentTypeScope="" ma:versionID="659d4c5fe243346a6757b13c34d38e56">
  <xsd:schema xmlns:xsd="http://www.w3.org/2001/XMLSchema" xmlns:xs="http://www.w3.org/2001/XMLSchema" xmlns:p="http://schemas.microsoft.com/office/2006/metadata/properties" xmlns:ns2="f8d0b45b-ed36-4138-b48f-2f995afadfe1" xmlns:ns3="a7977982-925b-4afc-922b-76159132e2ea" targetNamespace="http://schemas.microsoft.com/office/2006/metadata/properties" ma:root="true" ma:fieldsID="8316925890fcb03dd1554c94f1628fb0" ns2:_="" ns3:_="">
    <xsd:import namespace="f8d0b45b-ed36-4138-b48f-2f995afadfe1"/>
    <xsd:import namespace="a7977982-925b-4afc-922b-76159132e2e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Versiontype" minOccurs="0"/>
                <xsd:element ref="ns2:Notes" minOccurs="0"/>
                <xsd:element ref="ns2:MediaServiceSearchProperties" minOccurs="0"/>
                <xsd:element ref="ns2:Formattingcomplete" minOccurs="0"/>
                <xsd:element ref="ns2:Figurescros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0b45b-ed36-4138-b48f-2f995afadf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3e7742f-285e-485e-85d6-cdf9f73a73c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Versiontype" ma:index="20" nillable="true" ma:displayName="Version type" ma:format="Dropdown" ma:internalName="Versiontype">
      <xsd:simpleType>
        <xsd:restriction base="dms:Choice">
          <xsd:enumeration value="Working file"/>
          <xsd:enumeration value="Draft"/>
          <xsd:enumeration value="Final"/>
        </xsd:restriction>
      </xsd:simpleType>
    </xsd:element>
    <xsd:element name="Notes" ma:index="21" nillable="true" ma:displayName="Notes" ma:format="Dropdown" ma:internalName="Notes">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Formattingcomplete" ma:index="23" nillable="true" ma:displayName="Formatting complete" ma:default="0" ma:format="Dropdown" ma:internalName="Formattingcomplete">
      <xsd:simpleType>
        <xsd:restriction base="dms:Boolean"/>
      </xsd:simpleType>
    </xsd:element>
    <xsd:element name="Figurescrosschecked" ma:index="24" nillable="true" ma:displayName="Figures cross checked" ma:default="0" ma:format="Dropdown" ma:internalName="Figurescros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7977982-925b-4afc-922b-76159132e2e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3607b90-19c7-451a-b9c7-793be0bdc71d}" ma:internalName="TaxCatchAll" ma:showField="CatchAllData" ma:web="a7977982-925b-4afc-922b-76159132e2e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94F3F-154C-4CF6-AD2F-B073CF1E15AF}"/>
</file>

<file path=customXml/itemProps2.xml><?xml version="1.0" encoding="utf-8"?>
<ds:datastoreItem xmlns:ds="http://schemas.openxmlformats.org/officeDocument/2006/customXml" ds:itemID="{09B274B1-897C-4573-928A-387714AAAE12}"/>
</file>

<file path=customXml/itemProps3.xml><?xml version="1.0" encoding="utf-8"?>
<ds:datastoreItem xmlns:ds="http://schemas.openxmlformats.org/officeDocument/2006/customXml" ds:itemID="{CC37B021-AD8B-4343-88E4-71EF17B4D2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Allen, Mark</cp:lastModifiedBy>
  <cp:revision>1</cp:revision>
  <dcterms:created xsi:type="dcterms:W3CDTF">2023-04-16T23:59:30Z</dcterms:created>
  <dcterms:modified xsi:type="dcterms:W3CDTF">2024-02-02T04:40:46Z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0x0101000EA668104AD73B409BF177FE55A62C7C</vt:lpwstr>
  </property>
  <property fmtid="{D5CDD505-2E9C-101B-9397-08002B2CF9AE}" pid="3" name="MediaServiceImageTags">
    <vt:lpwstr/>
  </property>
  <property fmtid="{D5CDD505-2E9C-101B-9397-08002B2CF9AE}" pid="4" name="MSIP_Label_8e2e509a-f02b-496b-97a8-09ffbb9893ea_Enabled">
    <vt:lpwstr>true</vt:lpwstr>
  </property>
  <property fmtid="{D5CDD505-2E9C-101B-9397-08002B2CF9AE}" pid="5" name="MSIP_Label_8e2e509a-f02b-496b-97a8-09ffbb9893ea_SetDate">
    <vt:lpwstr>2023-11-02T06:41:54Z</vt:lpwstr>
  </property>
  <property fmtid="{D5CDD505-2E9C-101B-9397-08002B2CF9AE}" pid="6" name="MSIP_Label_8e2e509a-f02b-496b-97a8-09ffbb9893ea_Method">
    <vt:lpwstr>Privileged</vt:lpwstr>
  </property>
  <property fmtid="{D5CDD505-2E9C-101B-9397-08002B2CF9AE}" pid="7" name="MSIP_Label_8e2e509a-f02b-496b-97a8-09ffbb9893ea_Name">
    <vt:lpwstr>APA-Internal</vt:lpwstr>
  </property>
  <property fmtid="{D5CDD505-2E9C-101B-9397-08002B2CF9AE}" pid="8" name="MSIP_Label_8e2e509a-f02b-496b-97a8-09ffbb9893ea_SiteId">
    <vt:lpwstr>234ac309-c216-4661-a5ba-18879f6c4c75</vt:lpwstr>
  </property>
  <property fmtid="{D5CDD505-2E9C-101B-9397-08002B2CF9AE}" pid="9" name="MSIP_Label_8e2e509a-f02b-496b-97a8-09ffbb9893ea_ActionId">
    <vt:lpwstr>5851e279-0843-4005-a8fa-fc156bd71146</vt:lpwstr>
  </property>
  <property fmtid="{D5CDD505-2E9C-101B-9397-08002B2CF9AE}" pid="10" name="MSIP_Label_8e2e509a-f02b-496b-97a8-09ffbb9893ea_ContentBits">
    <vt:lpwstr>0</vt:lpwstr>
  </property>
  <property fmtid="{D5CDD505-2E9C-101B-9397-08002B2CF9AE}" pid="11" name="Grammarcomplete">
    <vt:bool>false</vt:bool>
  </property>
</Properties>
</file>