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113" documentId="8_{B193139B-EE29-4792-B3F7-A8FE35E7A23D}" xr6:coauthVersionLast="47" xr6:coauthVersionMax="47" xr10:uidLastSave="{AFF48057-A7AD-4141-B90B-A9910030657F}"/>
  <bookViews>
    <workbookView xWindow="-28920" yWindow="-120" windowWidth="29040" windowHeight="15840" tabRatio="691" activeTab="6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AER allowance" sheetId="14" r:id="rId7"/>
  </sheets>
  <definedNames>
    <definedName name="dollars">#REF!</definedName>
    <definedName name="factor">#REF!</definedName>
    <definedName name="millions">#REF!</definedName>
    <definedName name="Nominal_to_Real">#REF!</definedName>
    <definedName name="number">#REF!</definedName>
    <definedName name="percent" localSheetId="5">#REF!</definedName>
    <definedName name="percent">#REF!</definedName>
    <definedName name="thousands">#REF!</definedName>
    <definedName name="uni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4" l="1"/>
  <c r="D2" i="14"/>
  <c r="E2" i="14"/>
  <c r="F2" i="14"/>
  <c r="B2" i="14"/>
  <c r="G4" i="14"/>
  <c r="B5" i="14" l="1"/>
  <c r="F8" i="3" l="1"/>
  <c r="G22" i="13" l="1"/>
  <c r="D39" i="4" l="1"/>
  <c r="D38" i="4"/>
  <c r="D33" i="4"/>
  <c r="D40" i="4" s="1"/>
  <c r="L22" i="13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12" i="3" s="1"/>
  <c r="F24" i="3" l="1"/>
  <c r="F10" i="3"/>
  <c r="F9" i="3"/>
  <c r="M7" i="13"/>
  <c r="N7" i="13"/>
  <c r="O7" i="13"/>
  <c r="P7" i="13"/>
  <c r="L7" i="13"/>
  <c r="H7" i="13"/>
  <c r="I7" i="13"/>
  <c r="J7" i="13"/>
  <c r="K7" i="13"/>
  <c r="D50" i="4" l="1"/>
  <c r="E50" i="4" s="1"/>
  <c r="F50" i="4" s="1"/>
  <c r="G50" i="4" s="1"/>
  <c r="H50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I16" i="3"/>
  <c r="L16" i="3"/>
  <c r="K16" i="3"/>
  <c r="J16" i="3"/>
  <c r="D9" i="4" l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C15" i="13"/>
  <c r="G15" i="13"/>
  <c r="C10" i="13"/>
  <c r="G8" i="4"/>
  <c r="F8" i="4"/>
  <c r="E8" i="4"/>
  <c r="F9" i="4"/>
  <c r="B1" i="2"/>
  <c r="B1" i="10" s="1"/>
  <c r="G9" i="4"/>
  <c r="D49" i="4"/>
  <c r="J6" i="10" s="1"/>
  <c r="F8" i="10" s="1"/>
  <c r="E49" i="4"/>
  <c r="K6" i="10" s="1"/>
  <c r="F49" i="4"/>
  <c r="L6" i="10" s="1"/>
  <c r="G49" i="4"/>
  <c r="M6" i="10" s="1"/>
  <c r="H49" i="4"/>
  <c r="N6" i="10" s="1"/>
  <c r="H24" i="4"/>
  <c r="G24" i="4"/>
  <c r="F24" i="4"/>
  <c r="E24" i="4"/>
  <c r="D24" i="4"/>
  <c r="H28" i="3"/>
  <c r="I28" i="3"/>
  <c r="J28" i="3"/>
  <c r="K28" i="3"/>
  <c r="L28" i="3"/>
  <c r="H15" i="13" l="1"/>
  <c r="C51" i="4"/>
  <c r="C53" i="4"/>
  <c r="G10" i="13"/>
  <c r="H10" i="13" s="1"/>
  <c r="I10" i="13" s="1"/>
  <c r="J10" i="13" s="1"/>
  <c r="K10" i="13" s="1"/>
  <c r="L10" i="13" s="1"/>
  <c r="I31" i="3" s="1"/>
  <c r="F19" i="4"/>
  <c r="E19" i="4" s="1"/>
  <c r="D19" i="4" s="1"/>
  <c r="E25" i="4"/>
  <c r="E27" i="4" s="1"/>
  <c r="N14" i="13"/>
  <c r="N22" i="13" s="1"/>
  <c r="B1" i="5"/>
  <c r="B1" i="3"/>
  <c r="B1" i="13"/>
  <c r="B1" i="4"/>
  <c r="I15" i="13" l="1"/>
  <c r="D21" i="4"/>
  <c r="H31" i="3"/>
  <c r="F25" i="4"/>
  <c r="F27" i="4" s="1"/>
  <c r="M10" i="13"/>
  <c r="N10" i="13" s="1"/>
  <c r="K31" i="3" s="1"/>
  <c r="O14" i="13"/>
  <c r="O22" i="13" s="1"/>
  <c r="J15" i="13" l="1"/>
  <c r="J31" i="3"/>
  <c r="O10" i="13"/>
  <c r="P10" i="13" s="1"/>
  <c r="P14" i="13"/>
  <c r="P22" i="13" s="1"/>
  <c r="G25" i="4"/>
  <c r="G27" i="4" s="1"/>
  <c r="K15" i="13" l="1"/>
  <c r="H25" i="4"/>
  <c r="H27" i="4" s="1"/>
  <c r="L31" i="3"/>
  <c r="L15" i="13" l="1"/>
  <c r="H32" i="3"/>
  <c r="D26" i="4" s="1"/>
  <c r="D28" i="4" s="1"/>
  <c r="M15" i="13" l="1"/>
  <c r="I32" i="3"/>
  <c r="E26" i="4" s="1"/>
  <c r="E28" i="4" s="1"/>
  <c r="N15" i="13" l="1"/>
  <c r="J32" i="3"/>
  <c r="F26" i="4" s="1"/>
  <c r="F28" i="4" s="1"/>
  <c r="K32" i="3" l="1"/>
  <c r="G26" i="4" s="1"/>
  <c r="G28" i="4" s="1"/>
  <c r="O15" i="13"/>
  <c r="P15" i="13" l="1"/>
  <c r="L32" i="3"/>
  <c r="H26" i="4" s="1"/>
  <c r="H28" i="4" s="1"/>
  <c r="C5" i="14" l="1"/>
  <c r="I8" i="3" s="1"/>
  <c r="I12" i="3" s="1"/>
  <c r="E10" i="4" s="1"/>
  <c r="F5" i="14"/>
  <c r="L8" i="3" s="1"/>
  <c r="L12" i="3" s="1"/>
  <c r="H10" i="4" s="1"/>
  <c r="E5" i="14"/>
  <c r="K8" i="3" s="1"/>
  <c r="K12" i="3" s="1"/>
  <c r="G10" i="4" s="1"/>
  <c r="D5" i="14"/>
  <c r="J8" i="3" s="1"/>
  <c r="J12" i="3" s="1"/>
  <c r="F10" i="4" s="1"/>
  <c r="G3" i="14" l="1"/>
  <c r="G5" i="14" s="1"/>
  <c r="H8" i="3" l="1"/>
  <c r="H12" i="3" s="1"/>
  <c r="D10" i="4" s="1"/>
  <c r="G6" i="14"/>
  <c r="H6" i="14" s="1"/>
  <c r="L23" i="3" l="1"/>
  <c r="K23" i="3" l="1"/>
  <c r="H11" i="4"/>
  <c r="H12" i="4" s="1"/>
  <c r="H20" i="4" s="1"/>
  <c r="L24" i="3"/>
  <c r="J23" i="3"/>
  <c r="I23" i="3"/>
  <c r="H23" i="3"/>
  <c r="E11" i="4" l="1"/>
  <c r="E12" i="4" s="1"/>
  <c r="I24" i="3"/>
  <c r="D11" i="4"/>
  <c r="D12" i="4" s="1"/>
  <c r="H24" i="3"/>
  <c r="G9" i="14"/>
  <c r="K24" i="3"/>
  <c r="G11" i="4"/>
  <c r="G12" i="4" s="1"/>
  <c r="F11" i="4"/>
  <c r="F12" i="4" s="1"/>
  <c r="J24" i="3"/>
  <c r="G20" i="4" l="1"/>
  <c r="H16" i="4"/>
  <c r="E13" i="4"/>
  <c r="E18" i="4" s="1"/>
  <c r="E21" i="4" s="1"/>
  <c r="G13" i="4"/>
  <c r="D20" i="4"/>
  <c r="H13" i="4"/>
  <c r="F13" i="4"/>
  <c r="F20" i="4"/>
  <c r="G15" i="4"/>
  <c r="H15" i="4"/>
  <c r="F14" i="4"/>
  <c r="H14" i="4"/>
  <c r="G14" i="4"/>
  <c r="E20" i="4"/>
  <c r="F18" i="4" l="1"/>
  <c r="F21" i="4" s="1"/>
  <c r="G18" i="4"/>
  <c r="G21" i="4" s="1"/>
  <c r="H18" i="4"/>
  <c r="H21" i="4" s="1"/>
  <c r="D41" i="4"/>
  <c r="D43" i="4" s="1"/>
  <c r="D44" i="4" l="1"/>
  <c r="D42" i="4"/>
  <c r="D45" i="4"/>
  <c r="D51" i="4" s="1"/>
  <c r="E51" i="4" l="1"/>
  <c r="J8" i="10"/>
  <c r="F51" i="4" l="1"/>
  <c r="K8" i="10"/>
  <c r="G51" i="4" l="1"/>
  <c r="L8" i="10"/>
  <c r="H51" i="4" l="1"/>
  <c r="M8" i="10"/>
  <c r="N8" i="10" l="1"/>
  <c r="O8" i="10" s="1"/>
  <c r="D53" i="4"/>
</calcChain>
</file>

<file path=xl/sharedStrings.xml><?xml version="1.0" encoding="utf-8"?>
<sst xmlns="http://schemas.openxmlformats.org/spreadsheetml/2006/main" count="223" uniqueCount="122">
  <si>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</si>
  <si>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</si>
  <si>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</si>
  <si>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</si>
  <si>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</si>
  <si>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</si>
  <si>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</si>
  <si>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</si>
  <si>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</si>
  <si>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</si>
  <si>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</si>
  <si>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</si>
  <si>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</si>
  <si>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</si>
  <si>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</si>
  <si>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</si>
  <si>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</si>
  <si>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</si>
  <si>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</si>
  <si>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Directlink</t>
  </si>
  <si>
    <t>Determination stage</t>
  </si>
  <si>
    <t>Final Decision</t>
  </si>
  <si>
    <t>Determination years</t>
  </si>
  <si>
    <t>2025-30</t>
  </si>
  <si>
    <t>Base regulatory year</t>
  </si>
  <si>
    <t>2025-26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</si>
  <si>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</si>
  <si>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</si>
  <si>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</si>
  <si>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</si>
  <si>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</si>
  <si>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</si>
  <si>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</si>
  <si>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</si>
  <si>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</si>
  <si>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</si>
  <si>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</si>
  <si>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</si>
  <si>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</si>
  <si>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</si>
  <si>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</si>
  <si>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</si>
  <si>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</si>
  <si>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</si>
  <si>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</si>
  <si>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</si>
  <si>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</si>
  <si>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</si>
  <si>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</si>
  <si>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</si>
  <si>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</si>
  <si>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</si>
  <si>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</si>
  <si>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</si>
  <si>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</si>
  <si>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</si>
  <si>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 without IGBT's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</si>
  <si>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</si>
  <si>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</si>
  <si>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</si>
  <si>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</si>
  <si>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</si>
  <si>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 without IGBTs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</si>
  <si>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</si>
  <si>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</si>
  <si>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</si>
  <si>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</si>
  <si>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</si>
  <si>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$ nominal, mid year</t>
  </si>
  <si>
    <t>$ real, Jun 2019</t>
  </si>
  <si>
    <t>Nominal 2020$</t>
  </si>
  <si>
    <t>AER allowance</t>
  </si>
  <si>
    <t>Total</t>
  </si>
  <si>
    <t>With IGBTS</t>
  </si>
  <si>
    <t>IGBTS</t>
  </si>
  <si>
    <t>Without IGBTS</t>
  </si>
  <si>
    <t>Check</t>
  </si>
  <si>
    <t>Actual spend without IGBT's</t>
  </si>
  <si>
    <t>Input | CESS Payments</t>
  </si>
  <si>
    <t>Calc | NPV of CESS payments</t>
  </si>
  <si>
    <t>Regulatory period 1 $nominal, end of year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</si>
  <si>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</si>
  <si>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</si>
  <si>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</si>
  <si>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</si>
  <si>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</si>
  <si>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</si>
  <si>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</si>
  <si>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</si>
  <si>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</si>
  <si>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</si>
  <si>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</si>
  <si>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</si>
  <si>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</si>
  <si>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</si>
  <si>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</si>
  <si>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</si>
  <si>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</si>
  <si>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</si>
  <si>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</si>
  <si>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</si>
  <si>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</si>
  <si>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Forecast capex</t>
  </si>
  <si>
    <t>Underspend or Overspend, %</t>
  </si>
  <si>
    <t>Relevant sharing ratio of overspend</t>
  </si>
  <si>
    <t>Relevant sharing ratio of underspend portion 10% or under</t>
  </si>
  <si>
    <t>Relevant sharing ratio of underpend portion greater than 10%</t>
  </si>
  <si>
    <t>Sharing ratio threshold, %</t>
  </si>
  <si>
    <t>Sharing ratio above threshold</t>
  </si>
  <si>
    <t>Sharing ratio below threshold</t>
  </si>
  <si>
    <t>Weighted average sharing ratio, %</t>
  </si>
  <si>
    <t>Total underspend (NPV) adjusted for deferrals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</si>
  <si>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</si>
  <si>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</si>
  <si>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</si>
  <si>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</si>
  <si>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</si>
  <si>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</si>
  <si>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</si>
  <si>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</si>
  <si>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</si>
  <si>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CESS increments as per NER 6A.5.4(a)(5)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</si>
</sst>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0.000"/>
    <numFmt numFmtId="190" formatCode="_(* #,##0.0_);_(* \(#,##0.0\);_(* &quot;-&quot;?_);_(@_)"/>
    <numFmt numFmtId="191" formatCode="_-* #,##0.00000_-;\-* #,##0.00000_-;_-* &quot;-&quot;??_-;_-@_-"/>
    <numFmt numFmtId="194" formatCode="_(#######\ ##0.00_);\(#######\ ##0.00\);_(&quot;-&quot;_)"/>
  </numFmts>
  <fonts count="10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31869B"/>
      <name val="Amasis MT Pro"/>
      <family val="1"/>
    </font>
  </fonts>
  <fills count="6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2CDDC"/>
      </left>
      <right style="thin">
        <color rgb="FF92CDDC"/>
      </right>
      <top style="thick">
        <color rgb="FF92CDDC"/>
      </top>
      <bottom style="thin">
        <color rgb="FF92CDDC"/>
      </bottom>
      <diagonal/>
    </border>
    <border>
      <left style="thick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</borders>
  <cellStyleXfs count="342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3" fillId="0" borderId="0"/>
    <xf numFmtId="170" fontId="23" fillId="0" borderId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0" borderId="0"/>
    <xf numFmtId="171" fontId="23" fillId="0" borderId="8">
      <alignment horizontal="right" vertical="center"/>
      <protection locked="0"/>
    </xf>
    <xf numFmtId="164" fontId="27" fillId="0" borderId="0" applyFont="0" applyFill="0" applyBorder="0" applyAlignment="0" applyProtection="0"/>
    <xf numFmtId="0" fontId="28" fillId="27" borderId="0" applyNumberFormat="0" applyBorder="0" applyAlignment="0" applyProtection="0"/>
    <xf numFmtId="0" fontId="29" fillId="0" borderId="0" applyNumberFormat="0" applyFill="0" applyBorder="0" applyAlignment="0"/>
    <xf numFmtId="165" fontId="22" fillId="28" borderId="0" applyNumberFormat="0" applyFont="0" applyBorder="0" applyAlignment="0">
      <alignment horizontal="right"/>
    </xf>
    <xf numFmtId="165" fontId="22" fillId="28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29" borderId="0"/>
    <xf numFmtId="0" fontId="32" fillId="11" borderId="9" applyNumberFormat="0" applyAlignment="0" applyProtection="0"/>
    <xf numFmtId="172" fontId="33" fillId="0" borderId="10">
      <alignment horizontal="center"/>
    </xf>
    <xf numFmtId="0" fontId="34" fillId="30" borderId="11" applyNumberFormat="0" applyAlignment="0" applyProtection="0"/>
    <xf numFmtId="0" fontId="35" fillId="31" borderId="6">
      <alignment horizontal="center" vertical="center"/>
    </xf>
    <xf numFmtId="165" fontId="2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3" fontId="3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2" fillId="35" borderId="9"/>
    <xf numFmtId="174" fontId="2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41" fillId="0" borderId="0"/>
    <xf numFmtId="0" fontId="42" fillId="0" borderId="0"/>
    <xf numFmtId="0" fontId="43" fillId="36" borderId="0" applyNumberFormat="0" applyBorder="0" applyAlignment="0" applyProtection="0"/>
    <xf numFmtId="0" fontId="44" fillId="0" borderId="0" applyFill="0" applyBorder="0"/>
    <xf numFmtId="0" fontId="45" fillId="0" borderId="0" applyNumberFormat="0" applyFill="0"/>
    <xf numFmtId="0" fontId="46" fillId="0" borderId="0" applyFill="0"/>
    <xf numFmtId="0" fontId="47" fillId="0" borderId="0" applyFill="0"/>
    <xf numFmtId="0" fontId="48" fillId="0" borderId="0" applyFill="0"/>
    <xf numFmtId="0" fontId="17" fillId="0" borderId="0" applyFill="0" applyBorder="0">
      <alignment vertical="center"/>
    </xf>
    <xf numFmtId="0" fontId="49" fillId="0" borderId="12" applyNumberFormat="0" applyFill="0" applyAlignment="0" applyProtection="0"/>
    <xf numFmtId="0" fontId="17" fillId="0" borderId="0" applyFill="0" applyBorder="0">
      <alignment vertical="center"/>
    </xf>
    <xf numFmtId="0" fontId="50" fillId="0" borderId="0" applyFill="0" applyBorder="0">
      <alignment vertical="center"/>
    </xf>
    <xf numFmtId="0" fontId="51" fillId="0" borderId="13" applyNumberFormat="0" applyFill="0" applyAlignment="0" applyProtection="0"/>
    <xf numFmtId="0" fontId="50" fillId="0" borderId="0" applyFill="0" applyBorder="0">
      <alignment vertical="center"/>
    </xf>
    <xf numFmtId="0" fontId="19" fillId="0" borderId="0" applyFill="0" applyBorder="0">
      <alignment vertical="center"/>
    </xf>
    <xf numFmtId="0" fontId="52" fillId="0" borderId="14" applyNumberFormat="0" applyFill="0" applyAlignment="0" applyProtection="0"/>
    <xf numFmtId="0" fontId="19" fillId="0" borderId="0" applyFill="0" applyBorder="0">
      <alignment vertical="center"/>
    </xf>
    <xf numFmtId="0" fontId="23" fillId="0" borderId="0" applyFill="0" applyBorder="0">
      <alignment vertical="center"/>
    </xf>
    <xf numFmtId="0" fontId="52" fillId="0" borderId="0" applyNumberFormat="0" applyFill="0" applyBorder="0" applyAlignment="0" applyProtection="0"/>
    <xf numFmtId="0" fontId="23" fillId="0" borderId="0" applyFill="0" applyBorder="0">
      <alignment vertical="center"/>
    </xf>
    <xf numFmtId="176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Fill="0" applyBorder="0">
      <alignment horizontal="center" vertical="center"/>
      <protection locked="0"/>
    </xf>
    <xf numFmtId="0" fontId="56" fillId="0" borderId="0" applyFill="0" applyBorder="0">
      <alignment horizontal="left" vertical="center"/>
      <protection locked="0"/>
    </xf>
    <xf numFmtId="0" fontId="57" fillId="9" borderId="9" applyNumberFormat="0" applyAlignment="0" applyProtection="0"/>
    <xf numFmtId="177" fontId="16" fillId="37" borderId="0" applyProtection="0"/>
    <xf numFmtId="165" fontId="22" fillId="38" borderId="0" applyFont="0" applyBorder="0" applyAlignment="0">
      <alignment horizontal="right"/>
      <protection locked="0"/>
    </xf>
    <xf numFmtId="165" fontId="22" fillId="38" borderId="0" applyFont="0" applyBorder="0" applyAlignment="0">
      <alignment horizontal="right"/>
      <protection locked="0"/>
    </xf>
    <xf numFmtId="178" fontId="22" fillId="5" borderId="0" applyFont="0" applyBorder="0">
      <alignment horizontal="right"/>
      <protection locked="0"/>
    </xf>
    <xf numFmtId="178" fontId="22" fillId="5" borderId="0" applyFont="0" applyBorder="0">
      <alignment horizontal="right"/>
      <protection locked="0"/>
    </xf>
    <xf numFmtId="165" fontId="22" fillId="39" borderId="0" applyFont="0" applyBorder="0">
      <alignment horizontal="right"/>
      <protection locked="0"/>
    </xf>
    <xf numFmtId="165" fontId="22" fillId="39" borderId="0" applyFont="0" applyBorder="0">
      <alignment horizontal="right"/>
      <protection locked="0"/>
    </xf>
    <xf numFmtId="0" fontId="31" fillId="40" borderId="0"/>
    <xf numFmtId="0" fontId="22" fillId="3" borderId="15" applyNumberFormat="0" applyFont="0" applyAlignment="0"/>
    <xf numFmtId="0" fontId="23" fillId="28" borderId="0"/>
    <xf numFmtId="0" fontId="58" fillId="0" borderId="16" applyNumberFormat="0" applyFill="0" applyAlignment="0" applyProtection="0"/>
    <xf numFmtId="179" fontId="59" fillId="0" borderId="0"/>
    <xf numFmtId="0" fontId="60" fillId="0" borderId="0" applyFill="0" applyBorder="0">
      <alignment horizontal="left" vertical="center"/>
    </xf>
    <xf numFmtId="0" fontId="61" fillId="12" borderId="0" applyNumberFormat="0" applyBorder="0" applyAlignment="0" applyProtection="0"/>
    <xf numFmtId="180" fontId="6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7" fillId="0" borderId="0"/>
    <xf numFmtId="0" fontId="22" fillId="7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10" borderId="17" applyNumberFormat="0" applyFont="0" applyAlignment="0" applyProtection="0"/>
    <xf numFmtId="0" fontId="63" fillId="37" borderId="18" applyNumberFormat="0"/>
    <xf numFmtId="0" fontId="64" fillId="11" borderId="19" applyNumberFormat="0" applyAlignment="0" applyProtection="0"/>
    <xf numFmtId="181" fontId="22" fillId="0" borderId="0" applyFill="0" applyBorder="0"/>
    <xf numFmtId="181" fontId="22" fillId="0" borderId="0" applyFill="0" applyBorder="0"/>
    <xf numFmtId="181" fontId="22" fillId="0" borderId="0" applyFill="0" applyBorder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66" fillId="0" borderId="0"/>
    <xf numFmtId="0" fontId="19" fillId="0" borderId="0" applyFill="0" applyBorder="0">
      <alignment vertical="center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82" fontId="67" fillId="0" borderId="4"/>
    <xf numFmtId="0" fontId="68" fillId="0" borderId="3">
      <alignment horizontal="center"/>
    </xf>
    <xf numFmtId="3" fontId="36" fillId="0" borderId="0" applyFont="0" applyFill="0" applyBorder="0" applyAlignment="0" applyProtection="0"/>
    <xf numFmtId="0" fontId="36" fillId="41" borderId="0" applyNumberFormat="0" applyFont="0" applyBorder="0" applyAlignment="0" applyProtection="0"/>
    <xf numFmtId="183" fontId="22" fillId="0" borderId="0"/>
    <xf numFmtId="183" fontId="22" fillId="0" borderId="0"/>
    <xf numFmtId="183" fontId="22" fillId="0" borderId="0"/>
    <xf numFmtId="184" fontId="23" fillId="0" borderId="0" applyFill="0" applyBorder="0">
      <alignment horizontal="right" vertical="center"/>
    </xf>
    <xf numFmtId="185" fontId="23" fillId="0" borderId="0" applyFill="0" applyBorder="0">
      <alignment horizontal="right" vertical="center"/>
    </xf>
    <xf numFmtId="186" fontId="23" fillId="0" borderId="0" applyFill="0" applyBorder="0">
      <alignment horizontal="right" vertical="center"/>
    </xf>
    <xf numFmtId="0" fontId="22" fillId="10" borderId="0" applyNumberFormat="0" applyFont="0" applyBorder="0" applyAlignment="0" applyProtection="0"/>
    <xf numFmtId="0" fontId="22" fillId="10" borderId="0" applyNumberFormat="0" applyFont="0" applyBorder="0" applyAlignment="0" applyProtection="0"/>
    <xf numFmtId="0" fontId="22" fillId="11" borderId="0" applyNumberFormat="0" applyFont="0" applyBorder="0" applyAlignment="0" applyProtection="0"/>
    <xf numFmtId="0" fontId="22" fillId="11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9" fillId="0" borderId="0" applyNumberFormat="0" applyFill="0" applyBorder="0" applyAlignment="0" applyProtection="0"/>
    <xf numFmtId="0" fontId="70" fillId="42" borderId="0"/>
    <xf numFmtId="0" fontId="71" fillId="42" borderId="0" applyNumberFormat="0"/>
    <xf numFmtId="0" fontId="72" fillId="42" borderId="0"/>
    <xf numFmtId="0" fontId="22" fillId="0" borderId="0"/>
    <xf numFmtId="0" fontId="22" fillId="0" borderId="0"/>
    <xf numFmtId="0" fontId="22" fillId="0" borderId="0"/>
    <xf numFmtId="0" fontId="60" fillId="0" borderId="0"/>
    <xf numFmtId="0" fontId="73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74" fillId="43" borderId="20" applyBorder="0" applyProtection="0">
      <alignment horizontal="centerContinuous" vertical="center"/>
    </xf>
    <xf numFmtId="0" fontId="75" fillId="0" borderId="0" applyBorder="0" applyProtection="0">
      <alignment vertical="center"/>
    </xf>
    <xf numFmtId="0" fontId="76" fillId="0" borderId="0">
      <alignment horizontal="left"/>
    </xf>
    <xf numFmtId="0" fontId="76" fillId="0" borderId="5" applyFill="0" applyBorder="0" applyProtection="0">
      <alignment horizontal="left" vertical="top"/>
    </xf>
    <xf numFmtId="0" fontId="77" fillId="44" borderId="6" applyNumberFormat="0">
      <alignment horizontal="center" vertical="center"/>
    </xf>
    <xf numFmtId="0" fontId="78" fillId="45" borderId="9" applyNumberFormat="0" applyAlignment="0">
      <alignment horizontal="right"/>
    </xf>
    <xf numFmtId="49" fontId="22" fillId="0" borderId="0" applyFont="0" applyFill="0" applyBorder="0" applyAlignment="0" applyProtection="0"/>
    <xf numFmtId="0" fontId="79" fillId="0" borderId="0"/>
    <xf numFmtId="49" fontId="22" fillId="0" borderId="0" applyFont="0" applyFill="0" applyBorder="0" applyAlignment="0" applyProtection="0"/>
    <xf numFmtId="0" fontId="80" fillId="0" borderId="0"/>
    <xf numFmtId="0" fontId="80" fillId="0" borderId="0"/>
    <xf numFmtId="0" fontId="79" fillId="0" borderId="0"/>
    <xf numFmtId="179" fontId="81" fillId="0" borderId="0"/>
    <xf numFmtId="0" fontId="69" fillId="0" borderId="0" applyNumberFormat="0" applyFill="0" applyBorder="0" applyAlignment="0" applyProtection="0"/>
    <xf numFmtId="0" fontId="82" fillId="0" borderId="0" applyFill="0" applyBorder="0">
      <alignment horizontal="left" vertical="center"/>
      <protection locked="0"/>
    </xf>
    <xf numFmtId="0" fontId="79" fillId="0" borderId="0"/>
    <xf numFmtId="0" fontId="83" fillId="0" borderId="0" applyFill="0" applyBorder="0">
      <alignment horizontal="left" vertical="center"/>
      <protection locked="0"/>
    </xf>
    <xf numFmtId="0" fontId="39" fillId="0" borderId="21" applyNumberFormat="0" applyFill="0" applyAlignment="0" applyProtection="0"/>
    <xf numFmtId="0" fontId="17" fillId="3" borderId="15" applyNumberFormat="0" applyAlignment="0"/>
    <xf numFmtId="0" fontId="33" fillId="0" borderId="0" applyNumberFormat="0" applyFill="0" applyBorder="0"/>
    <xf numFmtId="0" fontId="84" fillId="46" borderId="15" applyNumberFormat="0">
      <protection locked="0"/>
    </xf>
    <xf numFmtId="0" fontId="85" fillId="0" borderId="0" applyNumberFormat="0" applyFill="0" applyBorder="0" applyAlignment="0" applyProtection="0"/>
    <xf numFmtId="187" fontId="22" fillId="0" borderId="20" applyBorder="0" applyProtection="0">
      <alignment horizontal="right"/>
    </xf>
    <xf numFmtId="187" fontId="22" fillId="0" borderId="20" applyBorder="0" applyProtection="0">
      <alignment horizontal="right"/>
    </xf>
    <xf numFmtId="187" fontId="22" fillId="0" borderId="20" applyBorder="0" applyProtection="0">
      <alignment horizontal="right"/>
    </xf>
    <xf numFmtId="0" fontId="86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/>
    <xf numFmtId="0" fontId="14" fillId="0" borderId="0"/>
    <xf numFmtId="9" fontId="14" fillId="0" borderId="0" applyFont="0" applyFill="0" applyBorder="0" applyAlignment="0" applyProtection="0"/>
    <xf numFmtId="171" fontId="23" fillId="0" borderId="27">
      <alignment horizontal="right" vertical="center"/>
      <protection locked="0"/>
    </xf>
    <xf numFmtId="167" fontId="14" fillId="0" borderId="0" applyFont="0" applyFill="0" applyBorder="0" applyAlignment="0" applyProtection="0"/>
    <xf numFmtId="0" fontId="32" fillId="11" borderId="28" applyNumberFormat="0" applyAlignment="0" applyProtection="0"/>
    <xf numFmtId="0" fontId="57" fillId="9" borderId="28" applyNumberFormat="0" applyAlignment="0" applyProtection="0"/>
    <xf numFmtId="0" fontId="22" fillId="10" borderId="29" applyNumberFormat="0" applyFont="0" applyAlignment="0" applyProtection="0"/>
    <xf numFmtId="0" fontId="64" fillId="11" borderId="30" applyNumberFormat="0" applyAlignment="0" applyProtection="0"/>
    <xf numFmtId="0" fontId="39" fillId="0" borderId="31" applyNumberFormat="0" applyFill="0" applyAlignment="0" applyProtection="0"/>
    <xf numFmtId="172" fontId="33" fillId="0" borderId="32">
      <alignment horizontal="center"/>
    </xf>
    <xf numFmtId="0" fontId="10" fillId="0" borderId="0"/>
    <xf numFmtId="0" fontId="2" fillId="0" borderId="0" applyNumberFormat="0" applyFill="0" applyBorder="0" applyAlignment="0" applyProtection="0"/>
    <xf numFmtId="0" fontId="14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10" fillId="47" borderId="0" applyNumberFormat="0" applyBorder="0" applyAlignment="0" applyProtection="0"/>
    <xf numFmtId="190" fontId="22" fillId="39" borderId="0" applyFont="0" applyBorder="0">
      <alignment horizontal="right"/>
    </xf>
    <xf numFmtId="176" fontId="22" fillId="39" borderId="0" applyFont="0" applyBorder="0" applyAlignment="0"/>
    <xf numFmtId="190" fontId="22" fillId="39" borderId="0" applyFont="0" applyBorder="0">
      <alignment horizontal="right"/>
    </xf>
    <xf numFmtId="165" fontId="22" fillId="48" borderId="0" applyFont="0" applyBorder="0" applyAlignment="0">
      <alignment horizontal="right"/>
      <protection locked="0"/>
    </xf>
    <xf numFmtId="10" fontId="22" fillId="48" borderId="0" applyFont="0" applyBorder="0">
      <alignment horizontal="right"/>
      <protection locked="0"/>
    </xf>
    <xf numFmtId="165" fontId="22" fillId="48" borderId="0" applyFont="0" applyBorder="0" applyAlignment="0">
      <alignment horizontal="right"/>
      <protection locked="0"/>
    </xf>
    <xf numFmtId="3" fontId="22" fillId="49" borderId="0" applyFont="0" applyBorder="0">
      <protection locked="0"/>
    </xf>
    <xf numFmtId="176" fontId="50" fillId="49" borderId="0" applyBorder="0" applyAlignment="0">
      <protection locked="0"/>
    </xf>
    <xf numFmtId="176" fontId="94" fillId="50" borderId="0" applyBorder="0" applyAlignment="0"/>
    <xf numFmtId="190" fontId="95" fillId="28" borderId="35" applyFont="0" applyBorder="0" applyAlignment="0"/>
    <xf numFmtId="176" fontId="50" fillId="28" borderId="0" applyFont="0" applyBorder="0" applyAlignment="0"/>
    <xf numFmtId="167" fontId="10" fillId="0" borderId="0" applyFont="0" applyFill="0" applyBorder="0" applyAlignment="0" applyProtection="0"/>
    <xf numFmtId="165" fontId="22" fillId="28" borderId="0" applyNumberFormat="0" applyFont="0" applyBorder="0" applyAlignment="0">
      <alignment horizontal="right"/>
    </xf>
    <xf numFmtId="165" fontId="22" fillId="28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22" fillId="38" borderId="0" applyFont="0" applyBorder="0" applyAlignment="0">
      <alignment horizontal="right"/>
      <protection locked="0"/>
    </xf>
    <xf numFmtId="165" fontId="22" fillId="38" borderId="0" applyFont="0" applyBorder="0" applyAlignment="0">
      <alignment horizontal="right"/>
      <protection locked="0"/>
    </xf>
    <xf numFmtId="165" fontId="22" fillId="39" borderId="0" applyFont="0" applyBorder="0">
      <alignment horizontal="right"/>
      <protection locked="0"/>
    </xf>
    <xf numFmtId="165" fontId="22" fillId="39" borderId="0" applyFont="0" applyBorder="0">
      <alignment horizontal="right"/>
      <protection locked="0"/>
    </xf>
    <xf numFmtId="167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22" fillId="48" borderId="0" applyFont="0" applyBorder="0" applyAlignment="0">
      <alignment horizontal="right"/>
      <protection locked="0"/>
    </xf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5" fontId="104" fillId="59" borderId="44" applyAlignment="0" applyProtection="0"/>
    <xf numFmtId="165" fontId="104" fillId="59" borderId="45" applyAlignment="0" applyProtection="0"/>
  </cellStyleXfs>
  <cellXfs count="183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4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4" fillId="3" borderId="22" xfId="3" applyFill="1" applyBorder="1"/>
    <xf numFmtId="0" fontId="15" fillId="3" borderId="22" xfId="3" applyFont="1" applyFill="1" applyBorder="1" applyAlignment="1">
      <alignment horizontal="left"/>
    </xf>
    <xf numFmtId="0" fontId="15" fillId="3" borderId="22" xfId="3" applyFont="1" applyFill="1" applyBorder="1" applyAlignment="1">
      <alignment horizontal="left" indent="9"/>
    </xf>
    <xf numFmtId="0" fontId="11" fillId="3" borderId="23" xfId="3" applyFont="1" applyFill="1" applyBorder="1"/>
    <xf numFmtId="0" fontId="14" fillId="6" borderId="2" xfId="3" applyFill="1" applyBorder="1"/>
    <xf numFmtId="0" fontId="11" fillId="6" borderId="2" xfId="3" applyFont="1" applyFill="1" applyBorder="1"/>
    <xf numFmtId="0" fontId="17" fillId="6" borderId="2" xfId="3" applyFont="1" applyFill="1" applyBorder="1" applyAlignment="1">
      <alignment vertical="center"/>
    </xf>
    <xf numFmtId="0" fontId="13" fillId="6" borderId="2" xfId="3" applyFont="1" applyFill="1" applyBorder="1"/>
    <xf numFmtId="166" fontId="17" fillId="6" borderId="2" xfId="3" applyNumberFormat="1" applyFont="1" applyFill="1" applyBorder="1" applyAlignment="1">
      <alignment horizontal="center" wrapText="1"/>
    </xf>
    <xf numFmtId="0" fontId="14" fillId="6" borderId="2" xfId="3" applyFill="1" applyBorder="1" applyAlignment="1">
      <alignment wrapText="1"/>
    </xf>
    <xf numFmtId="0" fontId="14" fillId="0" borderId="0" xfId="3"/>
    <xf numFmtId="169" fontId="16" fillId="0" borderId="0" xfId="3" applyNumberFormat="1" applyFont="1"/>
    <xf numFmtId="169" fontId="18" fillId="0" borderId="0" xfId="3" applyNumberFormat="1" applyFont="1" applyAlignment="1">
      <alignment horizontal="center"/>
    </xf>
    <xf numFmtId="169" fontId="16" fillId="0" borderId="0" xfId="3" applyNumberFormat="1" applyFont="1" applyAlignment="1">
      <alignment horizontal="center"/>
    </xf>
    <xf numFmtId="169" fontId="21" fillId="0" borderId="0" xfId="3" applyNumberFormat="1" applyFont="1"/>
    <xf numFmtId="169" fontId="20" fillId="0" borderId="0" xfId="3" applyNumberFormat="1" applyFont="1" applyAlignment="1">
      <alignment horizontal="center"/>
    </xf>
    <xf numFmtId="169" fontId="21" fillId="0" borderId="20" xfId="3" applyNumberFormat="1" applyFont="1" applyBorder="1" applyAlignment="1">
      <alignment horizontal="center"/>
    </xf>
    <xf numFmtId="169" fontId="16" fillId="0" borderId="0" xfId="3" applyNumberFormat="1" applyFont="1" applyAlignment="1">
      <alignment horizontal="left" indent="1"/>
    </xf>
    <xf numFmtId="169" fontId="12" fillId="0" borderId="0" xfId="263" applyNumberFormat="1" applyFont="1" applyAlignment="1" applyProtection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9" fillId="4" borderId="2" xfId="0" applyFont="1" applyFill="1" applyBorder="1" applyAlignment="1">
      <alignment horizontal="center" vertical="center"/>
    </xf>
    <xf numFmtId="0" fontId="89" fillId="3" borderId="0" xfId="0" applyFont="1" applyFill="1" applyAlignment="1">
      <alignment horizontal="center" vertical="center"/>
    </xf>
    <xf numFmtId="169" fontId="18" fillId="3" borderId="0" xfId="0" applyNumberFormat="1" applyFont="1" applyFill="1" applyAlignment="1">
      <alignment horizontal="center" vertical="center"/>
    </xf>
    <xf numFmtId="0" fontId="9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4" borderId="2" xfId="0" applyFont="1" applyFill="1" applyBorder="1" applyAlignment="1">
      <alignment vertical="center"/>
    </xf>
    <xf numFmtId="0" fontId="88" fillId="3" borderId="0" xfId="0" applyFont="1" applyFill="1" applyAlignment="1">
      <alignment horizontal="center" vertical="center"/>
    </xf>
    <xf numFmtId="169" fontId="18" fillId="3" borderId="2" xfId="0" applyNumberFormat="1" applyFont="1" applyFill="1" applyBorder="1" applyAlignment="1">
      <alignment horizontal="center" vertical="center"/>
    </xf>
    <xf numFmtId="169" fontId="21" fillId="3" borderId="2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/>
    <xf numFmtId="49" fontId="16" fillId="3" borderId="0" xfId="0" applyNumberFormat="1" applyFont="1" applyFill="1" applyAlignment="1" applyProtection="1">
      <alignment horizontal="left" vertical="center"/>
      <protection locked="0"/>
    </xf>
    <xf numFmtId="0" fontId="91" fillId="4" borderId="2" xfId="0" applyFont="1" applyFill="1" applyBorder="1" applyAlignment="1">
      <alignment horizontal="center" vertical="center"/>
    </xf>
    <xf numFmtId="0" fontId="92" fillId="4" borderId="2" xfId="0" applyFont="1" applyFill="1" applyBorder="1" applyAlignment="1">
      <alignment horizontal="left" vertical="center"/>
    </xf>
    <xf numFmtId="0" fontId="91" fillId="4" borderId="2" xfId="0" applyFont="1" applyFill="1" applyBorder="1" applyAlignment="1">
      <alignment vertical="center"/>
    </xf>
    <xf numFmtId="49" fontId="16" fillId="3" borderId="0" xfId="0" applyNumberFormat="1" applyFont="1" applyFill="1" applyAlignment="1" applyProtection="1">
      <alignment horizontal="left" vertical="center" wrapText="1"/>
      <protection locked="0"/>
    </xf>
    <xf numFmtId="10" fontId="14" fillId="3" borderId="0" xfId="0" applyNumberFormat="1" applyFont="1" applyFill="1" applyAlignment="1">
      <alignment horizontal="center" vertical="center"/>
    </xf>
    <xf numFmtId="2" fontId="14" fillId="0" borderId="5" xfId="0" applyNumberFormat="1" applyFont="1" applyBorder="1" applyAlignment="1">
      <alignment horizontal="right"/>
    </xf>
    <xf numFmtId="2" fontId="14" fillId="0" borderId="33" xfId="0" applyNumberFormat="1" applyFont="1" applyBorder="1" applyAlignment="1">
      <alignment horizontal="right"/>
    </xf>
    <xf numFmtId="2" fontId="14" fillId="0" borderId="20" xfId="0" applyNumberFormat="1" applyFont="1" applyBorder="1" applyAlignment="1">
      <alignment horizontal="right"/>
    </xf>
    <xf numFmtId="2" fontId="14" fillId="0" borderId="36" xfId="0" applyNumberFormat="1" applyFont="1" applyBorder="1" applyAlignment="1">
      <alignment horizontal="right"/>
    </xf>
    <xf numFmtId="0" fontId="19" fillId="3" borderId="0" xfId="0" applyFont="1" applyFill="1" applyAlignment="1">
      <alignment horizontal="left" vertical="center"/>
    </xf>
    <xf numFmtId="0" fontId="93" fillId="3" borderId="0" xfId="0" applyFont="1" applyFill="1" applyAlignment="1">
      <alignment horizontal="left"/>
    </xf>
    <xf numFmtId="0" fontId="14" fillId="3" borderId="0" xfId="0" applyFont="1" applyFill="1"/>
    <xf numFmtId="0" fontId="90" fillId="3" borderId="0" xfId="0" applyFont="1" applyFill="1"/>
    <xf numFmtId="2" fontId="14" fillId="3" borderId="0" xfId="0" applyNumberFormat="1" applyFont="1" applyFill="1"/>
    <xf numFmtId="168" fontId="23" fillId="3" borderId="0" xfId="0" applyNumberFormat="1" applyFont="1" applyFill="1" applyAlignment="1">
      <alignment horizontal="center" vertical="center"/>
    </xf>
    <xf numFmtId="0" fontId="23" fillId="3" borderId="6" xfId="0" applyFont="1" applyFill="1" applyBorder="1" applyAlignment="1">
      <alignment horizontal="left" vertical="center"/>
    </xf>
    <xf numFmtId="9" fontId="14" fillId="0" borderId="4" xfId="0" applyNumberFormat="1" applyFont="1" applyBorder="1"/>
    <xf numFmtId="2" fontId="14" fillId="0" borderId="4" xfId="0" applyNumberFormat="1" applyFont="1" applyBorder="1"/>
    <xf numFmtId="2" fontId="14" fillId="0" borderId="38" xfId="0" applyNumberFormat="1" applyFont="1" applyBorder="1"/>
    <xf numFmtId="0" fontId="14" fillId="3" borderId="0" xfId="0" applyFont="1" applyFill="1" applyAlignment="1">
      <alignment horizontal="left" vertical="center" wrapText="1"/>
    </xf>
    <xf numFmtId="0" fontId="97" fillId="3" borderId="0" xfId="2" applyFont="1" applyFill="1" applyBorder="1" applyAlignment="1" applyProtection="1">
      <alignment vertical="center"/>
    </xf>
    <xf numFmtId="0" fontId="98" fillId="3" borderId="0" xfId="265" applyFont="1" applyFill="1" applyAlignment="1">
      <alignment horizontal="right" vertical="center"/>
    </xf>
    <xf numFmtId="0" fontId="98" fillId="3" borderId="0" xfId="0" applyFont="1" applyFill="1" applyAlignment="1">
      <alignment horizontal="center" vertical="center"/>
    </xf>
    <xf numFmtId="0" fontId="12" fillId="3" borderId="0" xfId="2" quotePrefix="1" applyFont="1" applyFill="1" applyBorder="1" applyAlignment="1">
      <alignment horizontal="left"/>
    </xf>
    <xf numFmtId="168" fontId="23" fillId="0" borderId="2" xfId="0" applyNumberFormat="1" applyFont="1" applyBorder="1" applyAlignment="1">
      <alignment horizontal="right" vertical="center"/>
    </xf>
    <xf numFmtId="0" fontId="11" fillId="0" borderId="34" xfId="0" applyFont="1" applyBorder="1"/>
    <xf numFmtId="0" fontId="14" fillId="0" borderId="38" xfId="0" applyFont="1" applyBorder="1" applyAlignment="1">
      <alignment horizontal="left" indent="1"/>
    </xf>
    <xf numFmtId="0" fontId="14" fillId="0" borderId="5" xfId="0" applyFont="1" applyBorder="1" applyAlignment="1">
      <alignment horizontal="left" indent="1"/>
    </xf>
    <xf numFmtId="0" fontId="14" fillId="0" borderId="33" xfId="0" applyFont="1" applyBorder="1" applyAlignment="1">
      <alignment horizontal="left" indent="1"/>
    </xf>
    <xf numFmtId="0" fontId="14" fillId="0" borderId="34" xfId="0" applyFont="1" applyBorder="1" applyAlignment="1">
      <alignment horizontal="left" indent="1"/>
    </xf>
    <xf numFmtId="0" fontId="14" fillId="0" borderId="39" xfId="0" applyFont="1" applyBorder="1" applyAlignment="1">
      <alignment horizontal="left" indent="1"/>
    </xf>
    <xf numFmtId="0" fontId="14" fillId="0" borderId="4" xfId="0" applyFont="1" applyBorder="1" applyAlignment="1">
      <alignment horizontal="left" indent="1"/>
    </xf>
    <xf numFmtId="0" fontId="11" fillId="3" borderId="34" xfId="0" applyFont="1" applyFill="1" applyBorder="1"/>
    <xf numFmtId="0" fontId="96" fillId="3" borderId="33" xfId="0" applyFont="1" applyFill="1" applyBorder="1"/>
    <xf numFmtId="0" fontId="96" fillId="3" borderId="20" xfId="0" applyFont="1" applyFill="1" applyBorder="1"/>
    <xf numFmtId="0" fontId="11" fillId="0" borderId="37" xfId="0" applyFont="1" applyBorder="1"/>
    <xf numFmtId="0" fontId="97" fillId="3" borderId="0" xfId="2" applyFont="1" applyFill="1" applyBorder="1" applyAlignment="1" applyProtection="1">
      <alignment horizontal="left" vertical="center"/>
    </xf>
    <xf numFmtId="2" fontId="14" fillId="3" borderId="0" xfId="0" applyNumberFormat="1" applyFont="1" applyFill="1" applyAlignment="1">
      <alignment horizontal="right"/>
    </xf>
    <xf numFmtId="2" fontId="14" fillId="3" borderId="35" xfId="0" applyNumberFormat="1" applyFont="1" applyFill="1" applyBorder="1" applyAlignment="1">
      <alignment horizontal="right"/>
    </xf>
    <xf numFmtId="10" fontId="14" fillId="3" borderId="40" xfId="0" applyNumberFormat="1" applyFont="1" applyFill="1" applyBorder="1" applyAlignment="1">
      <alignment horizontal="center" vertical="center"/>
    </xf>
    <xf numFmtId="10" fontId="14" fillId="3" borderId="41" xfId="0" applyNumberFormat="1" applyFont="1" applyFill="1" applyBorder="1" applyAlignment="1">
      <alignment horizontal="center" vertical="center"/>
    </xf>
    <xf numFmtId="10" fontId="23" fillId="3" borderId="0" xfId="0" applyNumberFormat="1" applyFont="1" applyFill="1" applyAlignment="1">
      <alignment horizontal="center" vertical="center"/>
    </xf>
    <xf numFmtId="191" fontId="16" fillId="0" borderId="0" xfId="3" applyNumberFormat="1" applyFont="1"/>
    <xf numFmtId="169" fontId="21" fillId="0" borderId="0" xfId="3" applyNumberFormat="1" applyFont="1" applyAlignment="1">
      <alignment horizontal="center"/>
    </xf>
    <xf numFmtId="188" fontId="19" fillId="0" borderId="0" xfId="55" applyNumberFormat="1" applyFont="1" applyBorder="1" applyAlignment="1" applyProtection="1">
      <alignment horizontal="center" vertical="center"/>
    </xf>
    <xf numFmtId="0" fontId="16" fillId="3" borderId="0" xfId="0" applyFont="1" applyFill="1" applyAlignment="1">
      <alignment horizontal="left" vertical="center"/>
    </xf>
    <xf numFmtId="49" fontId="101" fillId="51" borderId="0" xfId="0" applyNumberFormat="1" applyFont="1" applyFill="1" applyAlignment="1" applyProtection="1">
      <alignment horizontal="left" vertical="center"/>
      <protection locked="0"/>
    </xf>
    <xf numFmtId="0" fontId="102" fillId="51" borderId="0" xfId="0" applyFont="1" applyFill="1" applyAlignment="1">
      <alignment vertical="center"/>
    </xf>
    <xf numFmtId="2" fontId="14" fillId="0" borderId="0" xfId="0" applyNumberFormat="1" applyFont="1" applyAlignment="1">
      <alignment horizontal="right"/>
    </xf>
    <xf numFmtId="2" fontId="100" fillId="0" borderId="0" xfId="0" applyNumberFormat="1" applyFont="1" applyAlignment="1">
      <alignment horizontal="right"/>
    </xf>
    <xf numFmtId="0" fontId="14" fillId="0" borderId="6" xfId="0" applyFont="1" applyBorder="1" applyAlignment="1">
      <alignment horizontal="left" indent="1"/>
    </xf>
    <xf numFmtId="168" fontId="23" fillId="0" borderId="37" xfId="0" applyNumberFormat="1" applyFont="1" applyBorder="1" applyAlignment="1">
      <alignment horizontal="right" vertical="center"/>
    </xf>
    <xf numFmtId="2" fontId="14" fillId="0" borderId="35" xfId="0" applyNumberFormat="1" applyFont="1" applyBorder="1" applyAlignment="1">
      <alignment horizontal="right"/>
    </xf>
    <xf numFmtId="2" fontId="14" fillId="0" borderId="37" xfId="0" applyNumberFormat="1" applyFont="1" applyBorder="1" applyAlignment="1">
      <alignment horizontal="right"/>
    </xf>
    <xf numFmtId="49" fontId="16" fillId="0" borderId="0" xfId="0" applyNumberFormat="1" applyFont="1" applyAlignment="1" applyProtection="1">
      <alignment horizontal="left" vertical="center"/>
      <protection locked="0"/>
    </xf>
    <xf numFmtId="0" fontId="99" fillId="0" borderId="0" xfId="265" applyFont="1" applyAlignment="1">
      <alignment horizontal="center" vertical="center"/>
    </xf>
    <xf numFmtId="49" fontId="101" fillId="52" borderId="0" xfId="0" applyNumberFormat="1" applyFont="1" applyFill="1" applyAlignment="1" applyProtection="1">
      <alignment horizontal="left" vertical="center"/>
      <protection locked="0"/>
    </xf>
    <xf numFmtId="168" fontId="23" fillId="3" borderId="6" xfId="0" applyNumberFormat="1" applyFont="1" applyFill="1" applyBorder="1" applyAlignment="1">
      <alignment horizontal="right" vertical="center"/>
    </xf>
    <xf numFmtId="0" fontId="99" fillId="53" borderId="0" xfId="265" applyFont="1" applyFill="1" applyAlignment="1">
      <alignment horizontal="center" vertical="center"/>
    </xf>
    <xf numFmtId="0" fontId="23" fillId="53" borderId="24" xfId="1" applyFont="1" applyFill="1" applyBorder="1" applyAlignment="1">
      <alignment horizontal="center" vertical="center"/>
    </xf>
    <xf numFmtId="2" fontId="23" fillId="53" borderId="24" xfId="1" applyNumberFormat="1" applyFont="1" applyFill="1" applyBorder="1" applyAlignment="1">
      <alignment horizontal="center" vertical="center"/>
    </xf>
    <xf numFmtId="2" fontId="23" fillId="54" borderId="24" xfId="1" applyNumberFormat="1" applyFont="1" applyFill="1" applyBorder="1" applyAlignment="1">
      <alignment horizontal="center" vertical="center"/>
    </xf>
    <xf numFmtId="0" fontId="99" fillId="55" borderId="0" xfId="265" applyFont="1" applyFill="1" applyAlignment="1">
      <alignment horizontal="center" vertical="center"/>
    </xf>
    <xf numFmtId="10" fontId="16" fillId="55" borderId="34" xfId="268" applyNumberFormat="1" applyFont="1" applyFill="1" applyBorder="1" applyAlignment="1" applyProtection="1">
      <alignment horizontal="right" vertical="center"/>
    </xf>
    <xf numFmtId="10" fontId="16" fillId="55" borderId="2" xfId="268" applyNumberFormat="1" applyFont="1" applyFill="1" applyBorder="1" applyAlignment="1" applyProtection="1">
      <alignment horizontal="right" vertical="center"/>
    </xf>
    <xf numFmtId="10" fontId="16" fillId="55" borderId="37" xfId="268" applyNumberFormat="1" applyFont="1" applyFill="1" applyBorder="1" applyAlignment="1" applyProtection="1">
      <alignment horizontal="right" vertical="center"/>
    </xf>
    <xf numFmtId="2" fontId="16" fillId="55" borderId="43" xfId="265" applyNumberFormat="1" applyFont="1" applyFill="1" applyBorder="1" applyAlignment="1">
      <alignment horizontal="right" vertical="center"/>
    </xf>
    <xf numFmtId="2" fontId="16" fillId="55" borderId="0" xfId="265" applyNumberFormat="1" applyFont="1" applyFill="1" applyAlignment="1">
      <alignment horizontal="right" vertical="center"/>
    </xf>
    <xf numFmtId="2" fontId="16" fillId="55" borderId="35" xfId="265" applyNumberFormat="1" applyFont="1" applyFill="1" applyBorder="1" applyAlignment="1">
      <alignment horizontal="right" vertical="center"/>
    </xf>
    <xf numFmtId="2" fontId="16" fillId="55" borderId="5" xfId="265" applyNumberFormat="1" applyFont="1" applyFill="1" applyBorder="1" applyAlignment="1">
      <alignment horizontal="right" vertical="center"/>
    </xf>
    <xf numFmtId="10" fontId="16" fillId="55" borderId="7" xfId="268" applyNumberFormat="1" applyFont="1" applyFill="1" applyBorder="1" applyAlignment="1" applyProtection="1">
      <alignment horizontal="right" vertical="center"/>
    </xf>
    <xf numFmtId="10" fontId="16" fillId="55" borderId="42" xfId="268" applyNumberFormat="1" applyFont="1" applyFill="1" applyBorder="1" applyAlignment="1" applyProtection="1">
      <alignment horizontal="right" vertical="center"/>
    </xf>
    <xf numFmtId="167" fontId="23" fillId="0" borderId="2" xfId="304" applyFont="1" applyFill="1" applyBorder="1" applyAlignment="1">
      <alignment horizontal="right" vertical="center"/>
    </xf>
    <xf numFmtId="167" fontId="23" fillId="0" borderId="37" xfId="304" applyFont="1" applyFill="1" applyBorder="1" applyAlignment="1">
      <alignment horizontal="right" vertical="center"/>
    </xf>
    <xf numFmtId="0" fontId="21" fillId="3" borderId="0" xfId="304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8" fillId="0" borderId="25" xfId="0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0" fontId="21" fillId="3" borderId="37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right" vertical="center"/>
    </xf>
    <xf numFmtId="0" fontId="21" fillId="3" borderId="36" xfId="0" applyFont="1" applyFill="1" applyBorder="1" applyAlignment="1">
      <alignment horizontal="right" vertical="center"/>
    </xf>
    <xf numFmtId="0" fontId="21" fillId="3" borderId="0" xfId="0" applyFont="1" applyFill="1" applyAlignment="1">
      <alignment horizontal="right" vertical="center"/>
    </xf>
    <xf numFmtId="0" fontId="21" fillId="0" borderId="20" xfId="3" applyFont="1" applyBorder="1" applyAlignment="1">
      <alignment horizontal="center"/>
    </xf>
    <xf numFmtId="0" fontId="18" fillId="0" borderId="0" xfId="3" applyFont="1" applyAlignment="1">
      <alignment horizontal="center"/>
    </xf>
    <xf numFmtId="0" fontId="12" fillId="0" borderId="0" xfId="2" applyFont="1" applyFill="1" applyBorder="1" applyAlignment="1">
      <alignment horizontal="left"/>
    </xf>
    <xf numFmtId="0" fontId="23" fillId="0" borderId="24" xfId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10" fontId="23" fillId="3" borderId="40" xfId="0" applyNumberFormat="1" applyFont="1" applyFill="1" applyBorder="1" applyAlignment="1">
      <alignment horizontal="center" vertical="center"/>
    </xf>
    <xf numFmtId="0" fontId="95" fillId="4" borderId="2" xfId="0" applyFont="1" applyFill="1" applyBorder="1" applyAlignment="1">
      <alignment horizontal="center" vertical="center"/>
    </xf>
    <xf numFmtId="0" fontId="95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19" fillId="3" borderId="0" xfId="304" applyNumberFormat="1" applyFont="1" applyFill="1" applyBorder="1" applyAlignment="1" applyProtection="1">
      <alignment horizontal="center" vertical="center"/>
    </xf>
    <xf numFmtId="0" fontId="103" fillId="3" borderId="0" xfId="0" applyFont="1" applyFill="1"/>
    <xf numFmtId="10" fontId="23" fillId="53" borderId="26" xfId="0" applyNumberFormat="1" applyFont="1" applyFill="1" applyBorder="1" applyAlignment="1">
      <alignment horizontal="center" vertical="center"/>
    </xf>
    <xf numFmtId="0" fontId="23" fillId="55" borderId="24" xfId="1" applyFont="1" applyFill="1" applyBorder="1" applyAlignment="1">
      <alignment horizontal="center" vertical="center"/>
    </xf>
    <xf numFmtId="189" fontId="23" fillId="55" borderId="26" xfId="0" applyNumberFormat="1" applyFont="1" applyFill="1" applyBorder="1" applyAlignment="1">
      <alignment horizontal="center" vertical="center"/>
    </xf>
    <xf numFmtId="189" fontId="14" fillId="55" borderId="26" xfId="268" applyNumberFormat="1" applyFont="1" applyFill="1" applyBorder="1" applyAlignment="1">
      <alignment horizontal="center" vertical="center"/>
    </xf>
    <xf numFmtId="10" fontId="23" fillId="55" borderId="26" xfId="0" applyNumberFormat="1" applyFont="1" applyFill="1" applyBorder="1" applyAlignment="1">
      <alignment horizontal="center" vertical="center"/>
    </xf>
    <xf numFmtId="189" fontId="23" fillId="55" borderId="26" xfId="268" applyNumberFormat="1" applyFont="1" applyFill="1" applyBorder="1" applyAlignment="1">
      <alignment horizontal="center" vertical="center"/>
    </xf>
    <xf numFmtId="10" fontId="14" fillId="55" borderId="26" xfId="0" applyNumberFormat="1" applyFont="1" applyFill="1" applyBorder="1" applyAlignment="1">
      <alignment horizontal="center" vertical="center"/>
    </xf>
    <xf numFmtId="2" fontId="23" fillId="55" borderId="24" xfId="1" applyNumberFormat="1" applyFont="1" applyFill="1" applyBorder="1" applyAlignment="1">
      <alignment horizontal="center" vertical="center"/>
    </xf>
    <xf numFmtId="2" fontId="23" fillId="55" borderId="2" xfId="1" applyNumberFormat="1" applyFont="1" applyFill="1" applyBorder="1" applyAlignment="1">
      <alignment horizontal="center" vertical="center"/>
    </xf>
    <xf numFmtId="0" fontId="18" fillId="55" borderId="25" xfId="0" applyFont="1" applyFill="1" applyBorder="1" applyAlignment="1">
      <alignment horizontal="center" vertical="center"/>
    </xf>
    <xf numFmtId="2" fontId="23" fillId="55" borderId="0" xfId="1" applyNumberFormat="1" applyFont="1" applyFill="1" applyBorder="1" applyAlignment="1">
      <alignment horizontal="center" vertical="center"/>
    </xf>
    <xf numFmtId="0" fontId="87" fillId="3" borderId="23" xfId="3" applyFont="1" applyFill="1" applyBorder="1" applyAlignment="1">
      <alignment horizontal="center"/>
    </xf>
    <xf numFmtId="10" fontId="23" fillId="56" borderId="26" xfId="0" applyNumberFormat="1" applyFont="1" applyFill="1" applyBorder="1" applyAlignment="1">
      <alignment horizontal="center" vertical="center"/>
    </xf>
    <xf numFmtId="10" fontId="0" fillId="57" borderId="0" xfId="0" applyNumberFormat="1" applyFill="1"/>
    <xf numFmtId="10" fontId="0" fillId="58" borderId="0" xfId="0" applyNumberFormat="1" applyFill="1"/>
    <xf numFmtId="10" fontId="0" fillId="0" borderId="0" xfId="0" applyNumberFormat="1"/>
    <xf numFmtId="10" fontId="23" fillId="0" borderId="26" xfId="0" applyNumberFormat="1" applyFont="1" applyBorder="1" applyAlignment="1">
      <alignment horizontal="center" vertical="center"/>
    </xf>
    <xf numFmtId="0" fontId="99" fillId="60" borderId="0" xfId="265" applyFont="1" applyFill="1" applyAlignment="1">
      <alignment horizontal="center" vertical="center"/>
    </xf>
    <xf numFmtId="2" fontId="0" fillId="0" borderId="0" xfId="0" applyNumberFormat="1"/>
    <xf numFmtId="189" fontId="23" fillId="55" borderId="24" xfId="1" applyNumberFormat="1" applyFont="1" applyFill="1" applyBorder="1" applyAlignment="1">
      <alignment horizontal="center" vertical="center"/>
    </xf>
    <xf numFmtId="194" fontId="19" fillId="55" borderId="24" xfId="55" applyNumberFormat="1" applyFont="1" applyFill="1" applyBorder="1" applyAlignment="1" applyProtection="1">
      <alignment horizontal="center" vertical="center"/>
    </xf>
    <xf numFmtId="0" fontId="87" fillId="3" borderId="23" xfId="3" applyFont="1" applyFill="1" applyBorder="1" applyAlignment="1">
      <alignment horizontal="center"/>
    </xf>
  </cellXfs>
  <cellStyles count="342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06" xfId="339" xr:uid="{D4B143B1-B431-414A-B984-3F64BDDE0F7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 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- horizontal" xfId="341" xr:uid="{A662F672-73F9-4821-9D1B-81CB9A0E9DA3}"/>
    <cellStyle name="Total - vertical" xfId="340" xr:uid="{C46C0A16-9214-45EA-A77B-BB00B01363E8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0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4" s="5" customFormat="1" ht="18" customHeight="1">
      <c r="B1" s="3" t="str">
        <f>'Input | General'!$B$1</f>
        <v>Directlink 2025-30 Final Decision - Capital expenditure sharing scheme model</v>
      </c>
      <c r="D1" s="4"/>
    </row>
    <row r="2" spans="2:4" ht="18" customHeight="1">
      <c r="B2" s="25" t="s">
        <v>0</v>
      </c>
    </row>
    <row r="3" spans="2:4" ht="3" customHeight="1">
      <c r="C3" s="2"/>
    </row>
    <row r="4" spans="2:4" s="8" customFormat="1" ht="12.75" customHeight="1">
      <c r="C4" s="21" t="s">
        <v>1</v>
      </c>
      <c r="D4" s="7"/>
    </row>
    <row r="5" spans="2:4" ht="11.25" customHeight="1"/>
    <row r="6" spans="2:4" ht="11.25" customHeight="1">
      <c r="C6" s="23" t="s">
        <v>2</v>
      </c>
      <c r="D6" s="23" t="s">
        <v>3</v>
      </c>
    </row>
    <row r="7" spans="2:4" ht="11.25" customHeight="1">
      <c r="C7" s="88" t="s">
        <v>4</v>
      </c>
      <c r="D7" s="24" t="s">
        <v>5</v>
      </c>
    </row>
    <row r="8" spans="2:4" ht="11.25" customHeight="1">
      <c r="C8" s="88" t="s">
        <v>6</v>
      </c>
      <c r="D8" s="24" t="s">
        <v>7</v>
      </c>
    </row>
    <row r="9" spans="2:4" ht="11.25" customHeight="1">
      <c r="C9" s="88" t="s">
        <v>8</v>
      </c>
      <c r="D9" s="24" t="s">
        <v>9</v>
      </c>
    </row>
    <row r="10" spans="2:4" ht="11.25" customHeight="1">
      <c r="C10" s="88" t="s">
        <v>10</v>
      </c>
      <c r="D10" s="24" t="s">
        <v>11</v>
      </c>
    </row>
    <row r="11" spans="2:4" ht="11.25" customHeight="1">
      <c r="C11" s="88" t="s">
        <v>12</v>
      </c>
      <c r="D11" s="24" t="s">
        <v>13</v>
      </c>
    </row>
    <row r="12" spans="2:4" ht="12.75" customHeight="1"/>
    <row r="13" spans="2:4" s="8" customFormat="1" ht="12.75" customHeight="1">
      <c r="C13" s="21" t="s">
        <v>14</v>
      </c>
      <c r="D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workbookViewId="0">
      <selection activeCell="D10" sqref="D10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20.5703125" style="11" customWidth="1"/>
    <col min="5" max="8" width="12.7109375" style="11" customWidth="1"/>
    <col min="9" max="9" width="9.42578125" style="11" customWidth="1"/>
    <col min="10" max="10" width="9.285156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2:9" s="2" customFormat="1" ht="18" customHeight="1">
      <c r="B1" s="3" t="str">
        <f>$D$6&amp;" "&amp;$D$8&amp;" "&amp;D7&amp;" - "&amp;"Capital expenditure sharing scheme model"</f>
        <v>Directlink 2025-30 Final Decision - Capital expenditure sharing scheme model</v>
      </c>
      <c r="F1" s="85"/>
      <c r="G1" s="86" t="s">
        <v>15</v>
      </c>
      <c r="H1" s="123" t="s">
        <v>16</v>
      </c>
      <c r="I1" s="127" t="s">
        <v>17</v>
      </c>
    </row>
    <row r="2" spans="2:9" s="2" customFormat="1" ht="18" customHeight="1">
      <c r="B2" s="10" t="s">
        <v>4</v>
      </c>
    </row>
    <row r="3" spans="2:9" s="2" customFormat="1" ht="3" customHeight="1">
      <c r="B3" s="1"/>
    </row>
    <row r="4" spans="2:9" s="48" customFormat="1" ht="12.75" customHeight="1">
      <c r="B4" s="21" t="s">
        <v>4</v>
      </c>
    </row>
    <row r="5" spans="2:9" s="22" customFormat="1" ht="11.25" customHeight="1">
      <c r="C5" s="23"/>
    </row>
    <row r="6" spans="2:9" s="55" customFormat="1" ht="11.25" customHeight="1">
      <c r="C6" s="54" t="s">
        <v>18</v>
      </c>
      <c r="D6" s="124" t="s">
        <v>19</v>
      </c>
    </row>
    <row r="7" spans="2:9" s="55" customFormat="1" ht="11.25" customHeight="1">
      <c r="C7" s="54" t="s">
        <v>20</v>
      </c>
      <c r="D7" s="124" t="s">
        <v>21</v>
      </c>
      <c r="I7" s="63"/>
    </row>
    <row r="8" spans="2:9" s="55" customFormat="1" ht="11.25" customHeight="1">
      <c r="C8" s="54" t="s">
        <v>22</v>
      </c>
      <c r="D8" s="124" t="s">
        <v>23</v>
      </c>
    </row>
    <row r="9" spans="2:9" s="55" customFormat="1" ht="11.25" customHeight="1">
      <c r="C9" s="152" t="s">
        <v>24</v>
      </c>
      <c r="D9" s="124" t="s">
        <v>25</v>
      </c>
    </row>
    <row r="10" spans="2:9" s="55" customFormat="1" ht="11.25" customHeight="1">
      <c r="C10" s="54"/>
    </row>
    <row r="11" spans="2:9" s="55" customFormat="1" ht="11.25" customHeight="1">
      <c r="C11" s="74" t="s">
        <v>26</v>
      </c>
    </row>
    <row r="12" spans="2:9" s="55" customFormat="1" ht="11.25" customHeight="1">
      <c r="C12" s="54"/>
      <c r="D12" s="56" t="s">
        <v>27</v>
      </c>
      <c r="E12" s="56" t="s">
        <v>28</v>
      </c>
      <c r="F12" s="56" t="s">
        <v>29</v>
      </c>
      <c r="G12" s="56" t="s">
        <v>30</v>
      </c>
      <c r="H12" s="56" t="s">
        <v>31</v>
      </c>
    </row>
    <row r="13" spans="2:9" s="55" customFormat="1" ht="11.25" customHeight="1">
      <c r="C13" s="54" t="s">
        <v>32</v>
      </c>
      <c r="D13" s="151" t="str">
        <f t="shared" ref="D13:F13" si="0">IF(LEN(E13)&gt;4,CONCATENATE(LEFT(E13,4)-1&amp;"–"&amp;IF(RIGHT(E13,2)="00","99",IF(RIGHT(E13,2)-1&lt;10,"0","")&amp;RIGHT(E13,2)-1)),E13-1)</f>
        <v>2020–21</v>
      </c>
      <c r="E13" s="151" t="str">
        <f t="shared" si="0"/>
        <v>2021–22</v>
      </c>
      <c r="F13" s="151" t="str">
        <f t="shared" si="0"/>
        <v>2022–23</v>
      </c>
      <c r="G13" s="151" t="str">
        <f>IF(LEN(H13)&gt;4,CONCATENATE(LEFT(H13,4)-1&amp;"–"&amp;IF(RIGHT(H13,2)="00","99",IF(RIGHT(H13,2)-1&lt;10,"0","")&amp;RIGHT(H13,2)-1)),H13-1)</f>
        <v>2023–24</v>
      </c>
      <c r="H13" s="151" t="str">
        <f>IF(LEN(D9)&gt;4,CONCATENATE(LEFT(D9,4)-1&amp;"–"&amp;IF(RIGHT(D9,2)="00","99",IF(RIGHT(D9,2)-1&lt;10,"0","")&amp;RIGHT(D9,2)-1)),D9-1)</f>
        <v>2024–25</v>
      </c>
    </row>
    <row r="14" spans="2:9" s="55" customFormat="1" ht="11.25" customHeight="1">
      <c r="C14" s="54" t="s">
        <v>33</v>
      </c>
      <c r="D14" s="124" t="s">
        <v>34</v>
      </c>
      <c r="E14" s="124" t="s">
        <v>34</v>
      </c>
      <c r="F14" s="124" t="s">
        <v>34</v>
      </c>
      <c r="G14" s="124" t="s">
        <v>34</v>
      </c>
      <c r="H14" s="124" t="s">
        <v>34</v>
      </c>
    </row>
    <row r="15" spans="2:9" s="55" customFormat="1" ht="11.25" customHeight="1">
      <c r="C15" s="54" t="s">
        <v>35</v>
      </c>
      <c r="D15" s="124" t="s">
        <v>36</v>
      </c>
      <c r="E15" s="124" t="s">
        <v>36</v>
      </c>
      <c r="F15" s="124" t="s">
        <v>36</v>
      </c>
      <c r="G15" s="124" t="s">
        <v>37</v>
      </c>
      <c r="H15" s="124" t="s">
        <v>37</v>
      </c>
    </row>
    <row r="17" spans="2:8" s="55" customFormat="1" ht="11.25" customHeight="1">
      <c r="C17" s="54"/>
      <c r="D17" s="56" t="s">
        <v>27</v>
      </c>
      <c r="E17" s="56" t="s">
        <v>28</v>
      </c>
      <c r="F17" s="56" t="s">
        <v>29</v>
      </c>
      <c r="G17" s="56" t="s">
        <v>30</v>
      </c>
      <c r="H17" s="56" t="s">
        <v>31</v>
      </c>
    </row>
    <row r="18" spans="2:8" s="55" customFormat="1" ht="11.25" customHeight="1">
      <c r="C18" s="54" t="s">
        <v>38</v>
      </c>
      <c r="D18" s="162" t="str">
        <f>D9</f>
        <v>2025-26</v>
      </c>
      <c r="E18" s="162" t="str">
        <f>IF(LEN(D18)&gt;4,CONCATENATE(LEFT(D18,4)+1&amp;"–"&amp;IF(RIGHT(D18,2)+1&gt;9,"","0")&amp;RIGHT(D18,2)+1),D18+1)</f>
        <v>2026–27</v>
      </c>
      <c r="F18" s="162" t="str">
        <f t="shared" ref="F18:H18" si="1">IF(LEN(E18)&gt;4,CONCATENATE(LEFT(E18,4)+1&amp;"–"&amp;IF(RIGHT(E18,2)+1&gt;9,"","0")&amp;RIGHT(E18,2)+1),E18+1)</f>
        <v>2027–28</v>
      </c>
      <c r="G18" s="162" t="str">
        <f t="shared" si="1"/>
        <v>2028–29</v>
      </c>
      <c r="H18" s="162" t="str">
        <f t="shared" si="1"/>
        <v>2029–30</v>
      </c>
    </row>
    <row r="19" spans="2:8" s="55" customFormat="1" ht="11.25" customHeight="1">
      <c r="C19" s="63"/>
      <c r="D19" s="63"/>
      <c r="E19" s="63"/>
      <c r="F19" s="63"/>
      <c r="G19" s="63"/>
      <c r="H19" s="63"/>
    </row>
    <row r="20" spans="2:8" s="55" customFormat="1" ht="11.25" customHeight="1"/>
    <row r="21" spans="2:8" s="48" customFormat="1" ht="12.75" customHeight="1">
      <c r="B21" s="21" t="s">
        <v>14</v>
      </c>
    </row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24"/>
  <sheetViews>
    <sheetView showGridLines="0" zoomScaleNormal="100" workbookViewId="0">
      <selection activeCell="K8" sqref="K8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2:16" s="2" customFormat="1" ht="18" customHeight="1">
      <c r="B1" s="3" t="str">
        <f>'Input | General'!$B$1</f>
        <v>Directlink 2025-30 Final Decision - Capital expenditure sharing scheme model</v>
      </c>
      <c r="D1" s="3"/>
      <c r="E1" s="3"/>
      <c r="F1" s="3"/>
      <c r="G1" s="85"/>
      <c r="H1" s="86" t="s">
        <v>15</v>
      </c>
      <c r="I1" s="123" t="s">
        <v>16</v>
      </c>
      <c r="J1" s="127" t="s">
        <v>17</v>
      </c>
      <c r="K1" s="120"/>
      <c r="N1" s="87"/>
      <c r="O1" s="63"/>
      <c r="P1" s="63"/>
    </row>
    <row r="2" spans="2:16" s="2" customFormat="1" ht="18" customHeight="1">
      <c r="C2" s="10" t="s">
        <v>39</v>
      </c>
      <c r="D2" s="10"/>
      <c r="E2" s="10"/>
      <c r="F2" s="10"/>
    </row>
    <row r="3" spans="2:16" s="2" customFormat="1" ht="3" customHeight="1">
      <c r="C3" s="1"/>
      <c r="D3" s="1"/>
      <c r="E3" s="1"/>
      <c r="F3" s="1"/>
      <c r="M3" s="17"/>
    </row>
    <row r="4" spans="2:16" s="65" customFormat="1" ht="12.75" customHeight="1">
      <c r="C4" s="21" t="s">
        <v>40</v>
      </c>
      <c r="D4" s="66"/>
      <c r="E4" s="66"/>
      <c r="F4" s="66"/>
      <c r="M4" s="67"/>
    </row>
    <row r="5" spans="2:16" ht="11.25" customHeight="1">
      <c r="B5" s="2"/>
      <c r="C5" s="13"/>
      <c r="D5" s="63"/>
      <c r="E5" s="63"/>
      <c r="F5" s="63"/>
      <c r="N5" s="2"/>
    </row>
    <row r="6" spans="2:16" ht="11.25" customHeight="1">
      <c r="B6" s="2"/>
      <c r="C6" s="13"/>
      <c r="D6" s="59" t="s">
        <v>41</v>
      </c>
      <c r="E6" s="59" t="s">
        <v>42</v>
      </c>
      <c r="F6" s="59"/>
      <c r="N6" s="2"/>
    </row>
    <row r="7" spans="2:16" ht="11.25" customHeight="1">
      <c r="B7" s="2"/>
      <c r="C7" s="13"/>
      <c r="D7" s="63"/>
      <c r="E7" s="63"/>
      <c r="F7" s="140" t="str">
        <f>IF(LEN(G7)&gt;4,CONCATENATE(LEFT(G7,4)-1&amp;"–"&amp;IF(RIGHT(G7,2)="00","99",IF(RIGHT(G7,2)-1&lt;10,"0","")&amp;RIGHT(G7,2)-1)),G7-1)</f>
        <v>2019–20</v>
      </c>
      <c r="G7" s="139" t="str">
        <f>'Input | General'!D13</f>
        <v>2020–21</v>
      </c>
      <c r="H7" s="139" t="str">
        <f>'Input | General'!E13</f>
        <v>2021–22</v>
      </c>
      <c r="I7" s="139" t="str">
        <f>'Input | General'!F13</f>
        <v>2022–23</v>
      </c>
      <c r="J7" s="139" t="str">
        <f>'Input | General'!G13</f>
        <v>2023–24</v>
      </c>
      <c r="K7" s="139" t="str">
        <f>'Input | General'!H13</f>
        <v>2024–25</v>
      </c>
      <c r="L7" s="139" t="str">
        <f>'Input | General'!D18</f>
        <v>2025-26</v>
      </c>
      <c r="M7" s="139" t="str">
        <f>'Input | General'!E18</f>
        <v>2026–27</v>
      </c>
      <c r="N7" s="139" t="str">
        <f>'Input | General'!F18</f>
        <v>2027–28</v>
      </c>
      <c r="O7" s="139" t="str">
        <f>'Input | General'!G18</f>
        <v>2028–29</v>
      </c>
      <c r="P7" s="139" t="str">
        <f>'Input | General'!H18</f>
        <v>2029–30</v>
      </c>
    </row>
    <row r="8" spans="2:16" ht="11.25" customHeight="1">
      <c r="B8" s="2"/>
      <c r="C8" s="64" t="s">
        <v>43</v>
      </c>
      <c r="D8" s="62" t="s">
        <v>44</v>
      </c>
      <c r="E8" s="62" t="s">
        <v>45</v>
      </c>
      <c r="F8" s="177"/>
      <c r="G8" s="174">
        <v>-3.4843205574912606E-3</v>
      </c>
      <c r="H8" s="174">
        <v>3.8461538461538325E-2</v>
      </c>
      <c r="I8" s="174">
        <v>6.1447811447811418E-2</v>
      </c>
      <c r="J8" s="174">
        <v>6.0269627279936566E-2</v>
      </c>
      <c r="K8" s="175">
        <v>3.5000000000000003E-2</v>
      </c>
      <c r="L8" s="176"/>
      <c r="M8" s="69"/>
      <c r="N8" s="69"/>
      <c r="O8" s="69"/>
      <c r="P8" s="69"/>
    </row>
    <row r="9" spans="2:16" ht="11.25" customHeight="1">
      <c r="B9" s="2"/>
      <c r="C9" s="64" t="s">
        <v>46</v>
      </c>
      <c r="D9" s="62" t="s">
        <v>44</v>
      </c>
      <c r="E9" s="62" t="s">
        <v>45</v>
      </c>
      <c r="F9" s="62"/>
      <c r="G9" s="105"/>
      <c r="H9" s="105"/>
      <c r="I9" s="105"/>
      <c r="J9" s="105"/>
      <c r="K9" s="105"/>
      <c r="L9" s="161">
        <v>3.125E-2</v>
      </c>
      <c r="M9" s="161">
        <v>2.9687499999999999E-2</v>
      </c>
      <c r="N9" s="161">
        <v>2.8125000000000001E-2</v>
      </c>
      <c r="O9" s="161">
        <v>2.6562500000000003E-2</v>
      </c>
      <c r="P9" s="161">
        <v>2.5000000000000001E-2</v>
      </c>
    </row>
    <row r="10" spans="2:16" ht="11.25" customHeight="1">
      <c r="B10" s="2"/>
      <c r="C10" s="110" t="str">
        <f>"CPI Index (base year "&amp;F7&amp;")"</f>
        <v>CPI Index (base year 2019–20)</v>
      </c>
      <c r="D10" s="62" t="s">
        <v>44</v>
      </c>
      <c r="E10" s="62" t="s">
        <v>0</v>
      </c>
      <c r="F10" s="163">
        <v>1</v>
      </c>
      <c r="G10" s="164">
        <f>IF(G7&lt;&gt;"",(F10*(1+G8)),"")</f>
        <v>0.99651567944250874</v>
      </c>
      <c r="H10" s="164">
        <f>IF(H7&lt;&gt;"",(G10*(1+H8)),"")</f>
        <v>1.0348432055749128</v>
      </c>
      <c r="I10" s="164">
        <f>IF(I7&lt;&gt;"",(H10*(1+I8)),"")</f>
        <v>1.0984320557491287</v>
      </c>
      <c r="J10" s="164">
        <f>IF(J7&lt;&gt;"",(I10*(1+J8)),"")</f>
        <v>1.1646341463414631</v>
      </c>
      <c r="K10" s="164">
        <f>IF(K7&lt;&gt;"",(J10*(1+K8)),"")</f>
        <v>1.2053963414634141</v>
      </c>
      <c r="L10" s="164">
        <f>IF(L7&lt;&gt;"",(K10*(1+L9)),"")</f>
        <v>1.2430649771341458</v>
      </c>
      <c r="M10" s="164">
        <f>IF(M7&lt;&gt;"",(L10*(1+M9)),"")</f>
        <v>1.2799684686428159</v>
      </c>
      <c r="N10" s="164">
        <f>IF(N7&lt;&gt;"",(M10*(1+N9)),"")</f>
        <v>1.3159675818233951</v>
      </c>
      <c r="O10" s="164">
        <f>IF(O7&lt;&gt;"",(N10*(1+O9)),"")</f>
        <v>1.3509229707155792</v>
      </c>
      <c r="P10" s="164">
        <f>IF(P7&lt;&gt;"",(O10*(1+P9)),"")</f>
        <v>1.3846960449834687</v>
      </c>
    </row>
    <row r="11" spans="2:16" ht="11.25" customHeight="1">
      <c r="B11" s="2"/>
      <c r="C11" s="64"/>
      <c r="D11" s="62"/>
      <c r="E11" s="62"/>
      <c r="F11" s="62"/>
      <c r="G11" s="69"/>
      <c r="H11" s="69"/>
      <c r="I11" s="69"/>
      <c r="J11" s="69"/>
      <c r="K11" s="106"/>
      <c r="L11" s="106"/>
      <c r="M11" s="106"/>
      <c r="N11" s="106"/>
      <c r="O11" s="106"/>
      <c r="P11" s="106"/>
    </row>
    <row r="12" spans="2:16" ht="11.25" customHeight="1">
      <c r="B12" s="2"/>
      <c r="C12" s="64"/>
      <c r="D12" s="62"/>
      <c r="E12" s="62"/>
      <c r="F12" s="62"/>
      <c r="G12" s="104"/>
      <c r="H12" s="104"/>
      <c r="I12" s="104"/>
      <c r="J12" s="104"/>
      <c r="K12" s="19"/>
      <c r="L12" s="19"/>
      <c r="M12" s="19"/>
    </row>
    <row r="13" spans="2:16" ht="11.25" customHeight="1">
      <c r="B13" s="2"/>
      <c r="C13" s="64" t="s">
        <v>43</v>
      </c>
      <c r="D13" s="62" t="s">
        <v>47</v>
      </c>
      <c r="E13" s="62" t="s">
        <v>45</v>
      </c>
      <c r="F13" s="62"/>
      <c r="G13" s="161">
        <v>2.5000000000000001E-2</v>
      </c>
      <c r="H13" s="161">
        <v>2.5000000000000001E-2</v>
      </c>
      <c r="I13" s="161">
        <v>2.5000000000000001E-2</v>
      </c>
      <c r="J13" s="161">
        <v>2.5000000000000001E-2</v>
      </c>
      <c r="K13" s="161">
        <v>2.5000000000000001E-2</v>
      </c>
      <c r="L13" s="154"/>
      <c r="M13" s="154"/>
      <c r="N13" s="154"/>
      <c r="O13" s="154"/>
      <c r="P13" s="154"/>
    </row>
    <row r="14" spans="2:16" ht="11.25" customHeight="1">
      <c r="B14" s="2"/>
      <c r="C14" s="64" t="s">
        <v>46</v>
      </c>
      <c r="D14" s="62" t="s">
        <v>47</v>
      </c>
      <c r="E14" s="62" t="s">
        <v>45</v>
      </c>
      <c r="F14" s="62"/>
      <c r="G14" s="69"/>
      <c r="H14" s="69"/>
      <c r="I14" s="69"/>
      <c r="J14" s="106"/>
      <c r="K14" s="106"/>
      <c r="L14" s="161">
        <v>2.5000000000000001E-2</v>
      </c>
      <c r="M14" s="165">
        <f t="shared" ref="M14:P14" si="0">L14</f>
        <v>2.5000000000000001E-2</v>
      </c>
      <c r="N14" s="165">
        <f t="shared" si="0"/>
        <v>2.5000000000000001E-2</v>
      </c>
      <c r="O14" s="165">
        <f t="shared" si="0"/>
        <v>2.5000000000000001E-2</v>
      </c>
      <c r="P14" s="165">
        <f t="shared" si="0"/>
        <v>2.5000000000000001E-2</v>
      </c>
    </row>
    <row r="15" spans="2:16" ht="11.25" customHeight="1">
      <c r="B15" s="2"/>
      <c r="C15" s="110" t="str">
        <f>"CPI Index (base year "&amp;F7&amp;")"</f>
        <v>CPI Index (base year 2019–20)</v>
      </c>
      <c r="D15" s="62" t="s">
        <v>47</v>
      </c>
      <c r="E15" s="62" t="s">
        <v>0</v>
      </c>
      <c r="F15" s="163">
        <v>1</v>
      </c>
      <c r="G15" s="164">
        <f>IF(G7&lt;&gt;"",(F15*(1+G13)),"")</f>
        <v>1.0249999999999999</v>
      </c>
      <c r="H15" s="164">
        <f>IF(H7&lt;&gt;"",(G15*(1+H13)),"")</f>
        <v>1.0506249999999999</v>
      </c>
      <c r="I15" s="164">
        <f>IF(I7&lt;&gt;"",(H15*(1+I13)),"")</f>
        <v>1.0768906249999999</v>
      </c>
      <c r="J15" s="166">
        <f>IF(J7&lt;&gt;"",(I15*(1+J13)),"")</f>
        <v>1.1038128906249998</v>
      </c>
      <c r="K15" s="166">
        <f>IF(K7&lt;&gt;"",(J15*(1+K13)),"")</f>
        <v>1.1314082128906247</v>
      </c>
      <c r="L15" s="166">
        <f t="shared" ref="L15:P15" si="1">IF(L7&lt;&gt;"",(K15*(1+L14)),"")</f>
        <v>1.1596934182128902</v>
      </c>
      <c r="M15" s="166">
        <f t="shared" si="1"/>
        <v>1.1886857536682123</v>
      </c>
      <c r="N15" s="166">
        <f t="shared" si="1"/>
        <v>1.2184028975099175</v>
      </c>
      <c r="O15" s="166">
        <f t="shared" si="1"/>
        <v>1.2488629699476652</v>
      </c>
      <c r="P15" s="166">
        <f t="shared" si="1"/>
        <v>1.2800845441963566</v>
      </c>
    </row>
    <row r="17" spans="2:16" s="65" customFormat="1" ht="12.75" customHeight="1">
      <c r="C17" s="21" t="s">
        <v>48</v>
      </c>
      <c r="D17" s="66"/>
      <c r="E17" s="66"/>
      <c r="F17" s="66"/>
      <c r="J17" s="155"/>
      <c r="K17" s="155"/>
      <c r="L17" s="155"/>
      <c r="M17" s="156"/>
      <c r="N17" s="155"/>
      <c r="O17" s="155"/>
      <c r="P17" s="155"/>
    </row>
    <row r="18" spans="2:16" ht="11.25" customHeight="1">
      <c r="B18" s="63"/>
      <c r="C18" s="63"/>
      <c r="D18" s="63"/>
      <c r="E18" s="63"/>
      <c r="F18" s="59"/>
      <c r="J18" s="11"/>
      <c r="K18" s="11"/>
      <c r="L18" s="11"/>
      <c r="M18" s="157"/>
      <c r="N18" s="11"/>
      <c r="O18" s="158"/>
      <c r="P18" s="158"/>
    </row>
    <row r="19" spans="2:16" ht="11.25" customHeight="1">
      <c r="C19" s="13"/>
      <c r="D19" s="59" t="s">
        <v>41</v>
      </c>
      <c r="E19" s="59" t="s">
        <v>42</v>
      </c>
      <c r="F19" s="63"/>
      <c r="G19" s="139" t="str">
        <f>G7</f>
        <v>2020–21</v>
      </c>
      <c r="H19" s="139" t="str">
        <f t="shared" ref="H19:P19" si="2">H7</f>
        <v>2021–22</v>
      </c>
      <c r="I19" s="139" t="str">
        <f t="shared" si="2"/>
        <v>2022–23</v>
      </c>
      <c r="J19" s="159" t="str">
        <f t="shared" si="2"/>
        <v>2023–24</v>
      </c>
      <c r="K19" s="159" t="str">
        <f t="shared" si="2"/>
        <v>2024–25</v>
      </c>
      <c r="L19" s="159" t="str">
        <f t="shared" si="2"/>
        <v>2025-26</v>
      </c>
      <c r="M19" s="159" t="str">
        <f t="shared" si="2"/>
        <v>2026–27</v>
      </c>
      <c r="N19" s="159" t="str">
        <f t="shared" si="2"/>
        <v>2027–28</v>
      </c>
      <c r="O19" s="159" t="str">
        <f t="shared" si="2"/>
        <v>2028–29</v>
      </c>
      <c r="P19" s="159" t="str">
        <f t="shared" si="2"/>
        <v>2029–30</v>
      </c>
    </row>
    <row r="20" spans="2:16" ht="11.25" customHeight="1">
      <c r="C20" s="64" t="s">
        <v>49</v>
      </c>
      <c r="D20" s="62" t="s">
        <v>47</v>
      </c>
      <c r="E20" s="62" t="s">
        <v>45</v>
      </c>
      <c r="F20" s="63"/>
      <c r="G20" s="173">
        <v>3.0099999999999998E-2</v>
      </c>
      <c r="H20" s="173">
        <v>2.75E-2</v>
      </c>
      <c r="I20" s="173">
        <v>2.5700000000000001E-2</v>
      </c>
      <c r="J20" s="173">
        <v>2.58E-2</v>
      </c>
      <c r="K20" s="173">
        <v>2.9700000000000001E-2</v>
      </c>
      <c r="L20" s="106"/>
      <c r="M20" s="106"/>
      <c r="N20" s="106"/>
      <c r="O20" s="106"/>
      <c r="P20" s="106"/>
    </row>
    <row r="21" spans="2:16" ht="11.25" customHeight="1">
      <c r="C21" s="119" t="s">
        <v>50</v>
      </c>
      <c r="D21" s="62" t="s">
        <v>47</v>
      </c>
      <c r="E21" s="62" t="s">
        <v>45</v>
      </c>
      <c r="F21" s="63"/>
      <c r="G21" s="63"/>
      <c r="H21" s="63"/>
      <c r="I21" s="63"/>
      <c r="J21" s="160"/>
      <c r="K21" s="160"/>
      <c r="L21" s="173">
        <v>3.0300000000000001E-2</v>
      </c>
      <c r="M21" s="173">
        <v>3.1099999999999999E-2</v>
      </c>
      <c r="N21" s="173">
        <v>3.1899999999999998E-2</v>
      </c>
      <c r="O21" s="173">
        <v>3.2899999999999999E-2</v>
      </c>
      <c r="P21" s="173">
        <v>3.2899999999999999E-2</v>
      </c>
    </row>
    <row r="22" spans="2:16" ht="11.25" customHeight="1">
      <c r="C22" s="64" t="s">
        <v>51</v>
      </c>
      <c r="D22" s="62" t="s">
        <v>52</v>
      </c>
      <c r="E22" s="62" t="s">
        <v>45</v>
      </c>
      <c r="F22" s="63"/>
      <c r="G22" s="167">
        <f>IF(AND(G13&lt;&gt;"",G20&lt;&gt;""),((1+G20)*(1+G13)-1),"")</f>
        <v>5.5852499999999861E-2</v>
      </c>
      <c r="H22" s="167">
        <f>IF(AND(H13&lt;&gt;"",H20&lt;&gt;""),((1+H20)*(1+H13)-1),"")</f>
        <v>5.3187499999999943E-2</v>
      </c>
      <c r="I22" s="167">
        <f>IF(AND(I13&lt;&gt;"",I20&lt;&gt;""),((1+I20)*(1+I13)-1),"")</f>
        <v>5.1342500000000069E-2</v>
      </c>
      <c r="J22" s="167">
        <f>IF(AND(J13&lt;&gt;"",J20&lt;&gt;""),((1+J20)*(1+J13)-1),"")</f>
        <v>5.1444999999999963E-2</v>
      </c>
      <c r="K22" s="167">
        <f>IF(AND(K13&lt;&gt;"",K20&lt;&gt;""),((1+K20)*(1+K13)-1),"")</f>
        <v>5.5442500000000061E-2</v>
      </c>
      <c r="L22" s="167">
        <f>IF(AND(L14&lt;&gt;"",L21&lt;&gt;""),((1+L21)*(1+L14)-1),"")</f>
        <v>5.6057499999999871E-2</v>
      </c>
      <c r="M22" s="167">
        <f t="shared" ref="M22:P22" si="3">IF(AND(M14&lt;&gt;"",M21&lt;&gt;""),((1+M21)*(1+M14)-1),"")</f>
        <v>5.6877499999999914E-2</v>
      </c>
      <c r="N22" s="167">
        <f t="shared" si="3"/>
        <v>5.7697499999999957E-2</v>
      </c>
      <c r="O22" s="167">
        <f t="shared" si="3"/>
        <v>5.8722499999999789E-2</v>
      </c>
      <c r="P22" s="167">
        <f t="shared" si="3"/>
        <v>5.8722499999999789E-2</v>
      </c>
    </row>
    <row r="23" spans="2:16" ht="11.25" customHeight="1">
      <c r="B23" s="2"/>
      <c r="C23" s="64"/>
      <c r="D23" s="62"/>
      <c r="E23" s="62"/>
      <c r="F23" s="63"/>
      <c r="G23" s="69"/>
      <c r="H23" s="16"/>
      <c r="I23" s="16"/>
      <c r="J23" s="16"/>
      <c r="K23" s="16"/>
      <c r="N23" s="2"/>
    </row>
    <row r="24" spans="2:16" s="48" customFormat="1" ht="12.75" customHeight="1">
      <c r="B24" s="21" t="s">
        <v>14</v>
      </c>
      <c r="D24" s="49"/>
      <c r="E24" s="4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34"/>
  <sheetViews>
    <sheetView workbookViewId="0">
      <selection activeCell="H8" sqref="H8:L8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15.8554687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2" ht="18" customHeight="1">
      <c r="B1" s="3" t="str">
        <f>'Input | General'!$B$1</f>
        <v>Directlink 2025-30 Final Decision - Capital expenditure sharing scheme model</v>
      </c>
      <c r="D1" s="3"/>
      <c r="E1" s="3"/>
      <c r="F1" s="3"/>
      <c r="G1" s="3"/>
      <c r="H1" s="85"/>
      <c r="I1" s="86" t="s">
        <v>15</v>
      </c>
      <c r="J1" s="123" t="s">
        <v>16</v>
      </c>
      <c r="K1" s="127" t="s">
        <v>17</v>
      </c>
      <c r="L1" s="178" t="s">
        <v>37</v>
      </c>
    </row>
    <row r="2" spans="2:12" ht="18" customHeight="1">
      <c r="B2" s="10" t="s">
        <v>53</v>
      </c>
      <c r="D2" s="10"/>
      <c r="E2" s="10"/>
      <c r="F2" s="10"/>
      <c r="G2" s="10"/>
    </row>
    <row r="3" spans="2:12" ht="3" customHeight="1">
      <c r="C3" s="1"/>
      <c r="D3" s="1"/>
      <c r="E3" s="1"/>
      <c r="F3" s="1"/>
      <c r="G3" s="1"/>
    </row>
    <row r="4" spans="2:12" s="8" customFormat="1" ht="12.75" customHeight="1">
      <c r="B4" s="21" t="s">
        <v>54</v>
      </c>
      <c r="D4" s="6"/>
      <c r="E4" s="6"/>
      <c r="F4" s="6"/>
      <c r="G4" s="6"/>
    </row>
    <row r="5" spans="2:12" ht="10.5" customHeight="1">
      <c r="D5" s="53"/>
      <c r="E5" s="53"/>
      <c r="F5" s="53"/>
      <c r="G5" s="53"/>
    </row>
    <row r="6" spans="2:12" s="53" customFormat="1" ht="10.5" customHeight="1">
      <c r="D6" s="59" t="s">
        <v>41</v>
      </c>
      <c r="E6" s="59" t="s">
        <v>42</v>
      </c>
      <c r="F6" s="59" t="s">
        <v>55</v>
      </c>
      <c r="G6" s="50"/>
      <c r="H6" s="141" t="str">
        <f>IF('Input | General'!D14="Yes",'Input | General'!D13,"n/a")</f>
        <v>2020–21</v>
      </c>
      <c r="I6" s="141" t="str">
        <f>IF('Input | General'!E14="Yes",'Input | General'!E13,"n/a")</f>
        <v>2021–22</v>
      </c>
      <c r="J6" s="141" t="str">
        <f>IF('Input | General'!F14="Yes",'Input | General'!F13,"n/a")</f>
        <v>2022–23</v>
      </c>
      <c r="K6" s="141" t="str">
        <f>IF('Input | General'!G14="Yes",'Input | General'!G13,"n/a")</f>
        <v>2023–24</v>
      </c>
      <c r="L6" s="141" t="str">
        <f>IF('Input | General'!H14="Yes",'Input | General'!H13,"n/a")</f>
        <v>2024–25</v>
      </c>
    </row>
    <row r="7" spans="2:12" s="53" customFormat="1" ht="10.5" customHeight="1"/>
    <row r="8" spans="2:12" ht="10.5" customHeight="1">
      <c r="C8" s="64" t="s">
        <v>56</v>
      </c>
      <c r="D8" s="62" t="s">
        <v>47</v>
      </c>
      <c r="E8" s="62" t="s">
        <v>57</v>
      </c>
      <c r="F8" s="62" t="str">
        <f>'Input | Inflation and Disc Rate'!$F$7</f>
        <v>2019–20</v>
      </c>
      <c r="G8" s="53"/>
      <c r="H8" s="125">
        <f>'AER allowance'!B5</f>
        <v>3.1445398276310694</v>
      </c>
      <c r="I8" s="125">
        <f>'AER allowance'!C5</f>
        <v>3.1172008740743089</v>
      </c>
      <c r="J8" s="125">
        <f>'AER allowance'!D5</f>
        <v>1.9746061550167124</v>
      </c>
      <c r="K8" s="125">
        <f>'AER allowance'!E5</f>
        <v>1.5043882461534115</v>
      </c>
      <c r="L8" s="125">
        <f>'AER allowance'!F5</f>
        <v>0.44031502420038837</v>
      </c>
    </row>
    <row r="9" spans="2:12" ht="10.5" customHeight="1">
      <c r="C9" s="64" t="s">
        <v>58</v>
      </c>
      <c r="D9" s="62" t="s">
        <v>47</v>
      </c>
      <c r="E9" s="62" t="s">
        <v>57</v>
      </c>
      <c r="F9" s="62" t="str">
        <f>'Input | Inflation and Disc Rate'!$F$7</f>
        <v>2019–20</v>
      </c>
      <c r="G9" s="53"/>
      <c r="H9" s="125">
        <v>0</v>
      </c>
      <c r="I9" s="125">
        <v>0</v>
      </c>
      <c r="J9" s="125">
        <v>0</v>
      </c>
      <c r="K9" s="125">
        <v>0</v>
      </c>
      <c r="L9" s="125">
        <v>0</v>
      </c>
    </row>
    <row r="10" spans="2:12" ht="10.5" customHeight="1">
      <c r="C10" s="64" t="s">
        <v>59</v>
      </c>
      <c r="D10" s="62" t="s">
        <v>47</v>
      </c>
      <c r="E10" s="62" t="s">
        <v>57</v>
      </c>
      <c r="F10" s="62" t="str">
        <f>'Input | Inflation and Disc Rate'!$F$7</f>
        <v>2019–20</v>
      </c>
      <c r="G10" s="53"/>
      <c r="H10" s="125">
        <v>0</v>
      </c>
      <c r="I10" s="125">
        <v>0</v>
      </c>
      <c r="J10" s="125">
        <v>0</v>
      </c>
      <c r="K10" s="125">
        <v>0</v>
      </c>
      <c r="L10" s="125">
        <v>0</v>
      </c>
    </row>
    <row r="11" spans="2:12" s="53" customFormat="1" ht="10.5" customHeight="1">
      <c r="H11" s="52"/>
      <c r="I11" s="52"/>
      <c r="J11" s="52"/>
      <c r="K11" s="52"/>
      <c r="L11" s="52"/>
    </row>
    <row r="12" spans="2:12" ht="10.5" customHeight="1">
      <c r="C12" s="61" t="s">
        <v>60</v>
      </c>
      <c r="D12" s="60" t="s">
        <v>52</v>
      </c>
      <c r="E12" s="142" t="s">
        <v>57</v>
      </c>
      <c r="F12" s="170" t="str">
        <f>'Input | Inflation and Disc Rate'!$F$7</f>
        <v>2019–20</v>
      </c>
      <c r="G12" s="53"/>
      <c r="H12" s="169">
        <f>IF(H6="", "", H8-H9-H10)</f>
        <v>3.1445398276310694</v>
      </c>
      <c r="I12" s="169">
        <f t="shared" ref="I12:L12" si="0">IF(I6="", "", I8-I9-I10)</f>
        <v>3.1172008740743089</v>
      </c>
      <c r="J12" s="169">
        <f t="shared" si="0"/>
        <v>1.9746061550167124</v>
      </c>
      <c r="K12" s="169">
        <f t="shared" si="0"/>
        <v>1.5043882461534115</v>
      </c>
      <c r="L12" s="169">
        <f t="shared" si="0"/>
        <v>0.44031502420038837</v>
      </c>
    </row>
    <row r="13" spans="2:12" ht="10.5" customHeight="1">
      <c r="D13" s="53"/>
      <c r="E13" s="53"/>
      <c r="F13" s="53"/>
      <c r="G13" s="53"/>
    </row>
    <row r="14" spans="2:12" s="8" customFormat="1" ht="12.75" customHeight="1">
      <c r="B14" s="58" t="s">
        <v>61</v>
      </c>
      <c r="D14" s="15"/>
      <c r="E14" s="15"/>
      <c r="F14" s="15"/>
      <c r="G14" s="15"/>
    </row>
    <row r="15" spans="2:12" ht="10.5" customHeight="1">
      <c r="B15" s="57"/>
      <c r="C15" s="2"/>
    </row>
    <row r="16" spans="2:12" ht="10.5" customHeight="1">
      <c r="B16" s="57"/>
      <c r="C16" s="53"/>
      <c r="D16" s="59" t="s">
        <v>41</v>
      </c>
      <c r="E16" s="59" t="s">
        <v>42</v>
      </c>
      <c r="F16" s="59" t="s">
        <v>55</v>
      </c>
      <c r="G16" s="50"/>
      <c r="H16" s="141" t="str">
        <f>H6</f>
        <v>2020–21</v>
      </c>
      <c r="I16" s="141" t="str">
        <f>I6</f>
        <v>2021–22</v>
      </c>
      <c r="J16" s="141" t="str">
        <f>J6</f>
        <v>2022–23</v>
      </c>
      <c r="K16" s="141" t="str">
        <f>K6</f>
        <v>2023–24</v>
      </c>
      <c r="L16" s="141" t="str">
        <f>L6</f>
        <v>2024–25</v>
      </c>
    </row>
    <row r="18" spans="2:12" ht="10.5" customHeight="1">
      <c r="B18" s="57"/>
      <c r="C18" s="64" t="s">
        <v>62</v>
      </c>
      <c r="D18" s="62" t="s">
        <v>47</v>
      </c>
      <c r="E18" s="62" t="s">
        <v>57</v>
      </c>
      <c r="F18" s="62" t="s">
        <v>63</v>
      </c>
      <c r="G18" s="53"/>
      <c r="H18" s="125">
        <v>2.0483167239999998</v>
      </c>
      <c r="I18" s="125">
        <v>1.4343280699999998</v>
      </c>
      <c r="J18" s="125">
        <v>1.4173941500000005</v>
      </c>
      <c r="K18" s="125">
        <v>1.8422799999999999</v>
      </c>
      <c r="L18" s="125">
        <v>3.3413571945271658</v>
      </c>
    </row>
    <row r="19" spans="2:12" ht="10.5" customHeight="1">
      <c r="B19" s="57"/>
      <c r="C19" s="64" t="s">
        <v>58</v>
      </c>
      <c r="D19" s="62" t="s">
        <v>47</v>
      </c>
      <c r="E19" s="62" t="s">
        <v>57</v>
      </c>
      <c r="F19" s="62" t="s">
        <v>63</v>
      </c>
      <c r="G19" s="112"/>
      <c r="H19" s="126">
        <v>0</v>
      </c>
      <c r="I19" s="125">
        <v>0</v>
      </c>
      <c r="J19" s="125">
        <v>0</v>
      </c>
      <c r="K19" s="125">
        <v>0</v>
      </c>
      <c r="L19" s="125">
        <v>0</v>
      </c>
    </row>
    <row r="20" spans="2:12" ht="10.5" customHeight="1">
      <c r="B20" s="57"/>
      <c r="C20" s="111" t="s">
        <v>59</v>
      </c>
      <c r="D20" s="62" t="s">
        <v>47</v>
      </c>
      <c r="E20" s="62" t="s">
        <v>57</v>
      </c>
      <c r="F20" s="62" t="s">
        <v>63</v>
      </c>
      <c r="G20" s="112"/>
      <c r="H20" s="126">
        <v>0</v>
      </c>
      <c r="I20" s="125">
        <v>0</v>
      </c>
      <c r="J20" s="125">
        <v>0</v>
      </c>
      <c r="K20" s="125">
        <v>0</v>
      </c>
      <c r="L20" s="125">
        <v>0</v>
      </c>
    </row>
    <row r="21" spans="2:12" ht="10.5" customHeight="1">
      <c r="B21" s="57"/>
      <c r="C21" s="121" t="s">
        <v>64</v>
      </c>
      <c r="D21" s="62" t="s">
        <v>47</v>
      </c>
      <c r="E21" s="62" t="s">
        <v>57</v>
      </c>
      <c r="F21" s="62" t="s">
        <v>63</v>
      </c>
      <c r="G21" s="53"/>
      <c r="H21" s="126">
        <v>0</v>
      </c>
      <c r="I21" s="125">
        <v>0</v>
      </c>
      <c r="J21" s="125">
        <v>0</v>
      </c>
      <c r="K21" s="125">
        <v>0</v>
      </c>
      <c r="L21" s="125">
        <v>0</v>
      </c>
    </row>
    <row r="22" spans="2:12" ht="10.5" customHeight="1">
      <c r="B22" s="57"/>
      <c r="C22" s="53"/>
      <c r="D22" s="53"/>
      <c r="E22" s="53"/>
      <c r="F22" s="53"/>
      <c r="G22" s="53"/>
      <c r="H22" s="52"/>
      <c r="I22" s="52"/>
      <c r="J22" s="52"/>
      <c r="K22" s="52"/>
      <c r="L22" s="52"/>
    </row>
    <row r="23" spans="2:12" ht="10.5" customHeight="1">
      <c r="B23" s="57"/>
      <c r="C23" s="61" t="s">
        <v>65</v>
      </c>
      <c r="D23" s="60" t="s">
        <v>52</v>
      </c>
      <c r="E23" s="143" t="s">
        <v>57</v>
      </c>
      <c r="F23" s="143" t="s">
        <v>63</v>
      </c>
      <c r="G23" s="53"/>
      <c r="H23" s="169">
        <f>IF(H16="", "", H18-H19-H20-H21)</f>
        <v>2.0483167239999998</v>
      </c>
      <c r="I23" s="169">
        <f t="shared" ref="I23:L23" si="1">IF(I16="", "", I18-I19-I20-I21)</f>
        <v>1.4343280699999998</v>
      </c>
      <c r="J23" s="169">
        <f t="shared" si="1"/>
        <v>1.4173941500000005</v>
      </c>
      <c r="K23" s="169">
        <f t="shared" si="1"/>
        <v>1.8422799999999999</v>
      </c>
      <c r="L23" s="169">
        <f t="shared" si="1"/>
        <v>3.3413571945271658</v>
      </c>
    </row>
    <row r="24" spans="2:12" ht="10.5" customHeight="1">
      <c r="B24" s="57"/>
      <c r="C24" s="61" t="s">
        <v>65</v>
      </c>
      <c r="D24" s="60" t="s">
        <v>52</v>
      </c>
      <c r="E24" s="143" t="s">
        <v>57</v>
      </c>
      <c r="F24" s="170" t="str">
        <f>'Input | Inflation and Disc Rate'!$F$7</f>
        <v>2019–20</v>
      </c>
      <c r="G24" s="53"/>
      <c r="H24" s="171">
        <f>H23/'Input | Inflation and Disc Rate'!G15</f>
        <v>1.998357779512195</v>
      </c>
      <c r="I24" s="171">
        <f>I23/'Input | Inflation and Disc Rate'!H15</f>
        <v>1.3652141058893514</v>
      </c>
      <c r="J24" s="171">
        <f>J23/'Input | Inflation and Disc Rate'!I15</f>
        <v>1.3161913727310985</v>
      </c>
      <c r="K24" s="171">
        <f>K23/'Input | Inflation and Disc Rate'!J15</f>
        <v>1.6690147539016926</v>
      </c>
      <c r="L24" s="171">
        <f>L23/'Input | Inflation and Disc Rate'!K15</f>
        <v>2.953272882817743</v>
      </c>
    </row>
    <row r="25" spans="2:12" ht="10.5" customHeight="1">
      <c r="B25" s="57"/>
      <c r="C25" s="2"/>
    </row>
    <row r="26" spans="2:12" s="8" customFormat="1" ht="12.75" customHeight="1">
      <c r="B26" s="58" t="s">
        <v>66</v>
      </c>
      <c r="D26" s="15"/>
      <c r="E26" s="15"/>
      <c r="F26" s="15"/>
      <c r="G26" s="15"/>
    </row>
    <row r="27" spans="2:12" ht="10.5" customHeight="1">
      <c r="D27" s="53"/>
      <c r="E27" s="53"/>
      <c r="F27" s="53"/>
      <c r="G27" s="53"/>
    </row>
    <row r="28" spans="2:12" ht="10.5" customHeight="1">
      <c r="D28" s="53"/>
      <c r="E28" s="53"/>
      <c r="F28" s="53"/>
      <c r="G28" s="53"/>
      <c r="H28" s="141" t="str">
        <f>'Input | General'!D18</f>
        <v>2025-26</v>
      </c>
      <c r="I28" s="141" t="str">
        <f>'Input | General'!E18</f>
        <v>2026–27</v>
      </c>
      <c r="J28" s="141" t="str">
        <f>'Input | General'!F18</f>
        <v>2027–28</v>
      </c>
      <c r="K28" s="141" t="str">
        <f>'Input | General'!G18</f>
        <v>2028–29</v>
      </c>
      <c r="L28" s="141" t="str">
        <f>'Input | General'!H18</f>
        <v>2029–30</v>
      </c>
    </row>
    <row r="29" spans="2:12" s="14" customFormat="1" ht="10.5" customHeight="1">
      <c r="C29" s="13"/>
      <c r="D29" s="53"/>
      <c r="E29" s="53"/>
      <c r="F29" s="53"/>
      <c r="G29" s="53"/>
    </row>
    <row r="30" spans="2:12" ht="11.25" customHeight="1">
      <c r="C30" s="68" t="s">
        <v>67</v>
      </c>
      <c r="D30" s="51" t="s">
        <v>44</v>
      </c>
      <c r="E30" s="62" t="s">
        <v>57</v>
      </c>
      <c r="F30" s="62" t="s">
        <v>68</v>
      </c>
      <c r="G30" s="53"/>
      <c r="H30" s="125">
        <v>0</v>
      </c>
      <c r="I30" s="125">
        <v>0</v>
      </c>
      <c r="J30" s="125">
        <v>0</v>
      </c>
      <c r="K30" s="125">
        <v>0</v>
      </c>
      <c r="L30" s="125">
        <v>0</v>
      </c>
    </row>
    <row r="31" spans="2:12" ht="11.25" customHeight="1">
      <c r="C31" s="68" t="s">
        <v>67</v>
      </c>
      <c r="D31" s="51" t="s">
        <v>52</v>
      </c>
      <c r="E31" s="62" t="s">
        <v>57</v>
      </c>
      <c r="F31" s="62" t="s">
        <v>69</v>
      </c>
      <c r="G31" s="53"/>
      <c r="H31" s="168">
        <f>IF(H30&lt;&gt;"",H30/('Input | Inflation and Disc Rate'!K10*(1+'Input | Inflation and Disc Rate'!L9)^0.5),"")</f>
        <v>0</v>
      </c>
      <c r="I31" s="168">
        <f>IF(I30&lt;&gt;"",I30/('Input | Inflation and Disc Rate'!L10*(1+'Input | Inflation and Disc Rate'!M9)^0.5),"")</f>
        <v>0</v>
      </c>
      <c r="J31" s="168">
        <f>IF(J30&lt;&gt;"",J30/('Input | Inflation and Disc Rate'!M10*(1+'Input | Inflation and Disc Rate'!N9)^0.5),"")</f>
        <v>0</v>
      </c>
      <c r="K31" s="168">
        <f>IF(K30&lt;&gt;"",K30/('Input | Inflation and Disc Rate'!N10*(1+'Input | Inflation and Disc Rate'!O9)^0.5),"")</f>
        <v>0</v>
      </c>
      <c r="L31" s="168">
        <f>IF(L30&lt;&gt;"",L30/('Input | Inflation and Disc Rate'!O10*(1+'Input | Inflation and Disc Rate'!P9)^0.5),"")</f>
        <v>0</v>
      </c>
    </row>
    <row r="32" spans="2:12" ht="11.25" customHeight="1">
      <c r="C32" s="68" t="s">
        <v>67</v>
      </c>
      <c r="D32" s="51" t="s">
        <v>47</v>
      </c>
      <c r="E32" s="62" t="s">
        <v>57</v>
      </c>
      <c r="F32" s="62" t="s">
        <v>68</v>
      </c>
      <c r="G32" s="53"/>
      <c r="H32" s="168">
        <f>IF(H30&lt;&gt;"",H31*'Input | Inflation and Disc Rate'!K15*(1+'Input | Inflation and Disc Rate'!L14)^0.5,"")</f>
        <v>0</v>
      </c>
      <c r="I32" s="168">
        <f>IF(I30&lt;&gt;"",I31*'Input | Inflation and Disc Rate'!L15*(1+'Input | Inflation and Disc Rate'!M14)^0.5,"")</f>
        <v>0</v>
      </c>
      <c r="J32" s="168">
        <f>IF(J30&lt;&gt;"",J31*'Input | Inflation and Disc Rate'!M15*(1+'Input | Inflation and Disc Rate'!N14)^0.5,"")</f>
        <v>0</v>
      </c>
      <c r="K32" s="168">
        <f>IF(K30&lt;&gt;"",K31*'Input | Inflation and Disc Rate'!N15*(1+'Input | Inflation and Disc Rate'!O14)^0.5,"")</f>
        <v>0</v>
      </c>
      <c r="L32" s="168">
        <f>IF(L30&lt;&gt;"",L31*'Input | Inflation and Disc Rate'!O15*(1+'Input | Inflation and Disc Rate'!P14)^0.5,"")</f>
        <v>0</v>
      </c>
    </row>
    <row r="34" spans="2:2" s="48" customFormat="1" ht="12.75" customHeight="1">
      <c r="B34" s="21" t="s">
        <v>14</v>
      </c>
    </row>
  </sheetData>
  <conditionalFormatting sqref="H8:H10 I8:L9">
    <cfRule type="expression" dxfId="9" priority="20">
      <formula>IF($H$6&lt;&gt;"","FALSE","TRUE")</formula>
    </cfRule>
  </conditionalFormatting>
  <conditionalFormatting sqref="H19:H20">
    <cfRule type="expression" dxfId="8" priority="10">
      <formula>IF($H$6&lt;&gt;"","FALSE","TRUE")</formula>
    </cfRule>
  </conditionalFormatting>
  <conditionalFormatting sqref="I10:L10">
    <cfRule type="expression" dxfId="7" priority="6">
      <formula>IF($H$6&lt;&gt;"","FALSE","TRUE")</formula>
    </cfRule>
  </conditionalFormatting>
  <conditionalFormatting sqref="I19:L20">
    <cfRule type="expression" dxfId="6" priority="5">
      <formula>IF($H$6&lt;&gt;"","FALSE","TRUE")</formula>
    </cfRule>
  </conditionalFormatting>
  <conditionalFormatting sqref="H30:L30">
    <cfRule type="expression" dxfId="5" priority="4">
      <formula>IF($H$6&lt;&gt;"","FALSE","TRUE")</formula>
    </cfRule>
  </conditionalFormatting>
  <conditionalFormatting sqref="H21">
    <cfRule type="expression" dxfId="4" priority="3">
      <formula>IF($H$6&lt;&gt;"","FALSE","TRUE")</formula>
    </cfRule>
  </conditionalFormatting>
  <conditionalFormatting sqref="I21:L21">
    <cfRule type="expression" dxfId="3" priority="2">
      <formula>IF($H$6&lt;&gt;"","FALSE","TRUE")</formula>
    </cfRule>
  </conditionalFormatting>
  <conditionalFormatting sqref="H18:L18">
    <cfRule type="expression" dxfId="2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6"/>
  <sheetViews>
    <sheetView zoomScaleNormal="100" workbookViewId="0">
      <selection activeCell="F31" sqref="F31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13" ht="18" customHeight="1">
      <c r="B1" s="3" t="str">
        <f>'Input | General'!$B$1</f>
        <v>Directlink 2025-30 Final Decision - Capital expenditure sharing scheme model</v>
      </c>
      <c r="C1" s="2"/>
      <c r="J1" s="101"/>
      <c r="K1" s="86" t="s">
        <v>15</v>
      </c>
      <c r="L1" s="123" t="s">
        <v>16</v>
      </c>
      <c r="M1" s="127" t="s">
        <v>17</v>
      </c>
    </row>
    <row r="2" spans="2:13" ht="18" customHeight="1">
      <c r="B2" s="10" t="s">
        <v>78</v>
      </c>
      <c r="C2" s="2"/>
      <c r="J2" s="17"/>
      <c r="K2" s="17"/>
      <c r="L2" s="17"/>
    </row>
    <row r="3" spans="2:13" ht="3" customHeight="1">
      <c r="C3" s="1"/>
      <c r="J3" s="17"/>
      <c r="K3" s="17"/>
    </row>
    <row r="4" spans="2:13" s="8" customFormat="1" ht="12" customHeight="1">
      <c r="B4" s="21" t="s">
        <v>79</v>
      </c>
      <c r="J4" s="18"/>
      <c r="K4" s="18"/>
    </row>
    <row r="5" spans="2:13" ht="11.25" customHeight="1">
      <c r="C5" s="75"/>
      <c r="D5" s="75"/>
      <c r="E5" s="75"/>
      <c r="F5" s="75"/>
      <c r="G5" s="75"/>
      <c r="H5" s="75"/>
      <c r="I5" s="63"/>
      <c r="J5" s="63"/>
      <c r="K5" s="63"/>
      <c r="L5" s="63"/>
      <c r="M5" s="63"/>
    </row>
    <row r="6" spans="2:13" ht="11.25" customHeight="1">
      <c r="C6" s="97" t="s">
        <v>80</v>
      </c>
      <c r="D6" s="98"/>
      <c r="E6" s="99"/>
      <c r="F6" s="99"/>
      <c r="G6" s="99"/>
      <c r="H6" s="99"/>
      <c r="I6" s="77"/>
    </row>
    <row r="7" spans="2:13" ht="11.25" customHeight="1">
      <c r="C7" s="96" t="s">
        <v>81</v>
      </c>
      <c r="D7" s="141" t="str">
        <f>IF('Input | General'!D14="Yes",'Input | General'!D13,"n/a")</f>
        <v>2020–21</v>
      </c>
      <c r="E7" s="141" t="str">
        <f>IF('Input | General'!E14="Yes",'Input | General'!E13,"n/a")</f>
        <v>2021–22</v>
      </c>
      <c r="F7" s="141" t="str">
        <f>IF('Input | General'!F14="Yes",'Input | General'!F13,"n/a")</f>
        <v>2022–23</v>
      </c>
      <c r="G7" s="141" t="str">
        <f>IF('Input | General'!G14="Yes",'Input | General'!G13,"n/a")</f>
        <v>2023–24</v>
      </c>
      <c r="H7" s="144" t="str">
        <f>IF('Input | General'!H14="Yes",'Input | General'!H13,"n/a")</f>
        <v>2024–25</v>
      </c>
      <c r="I7" s="77"/>
    </row>
    <row r="8" spans="2:13" ht="11.25" customHeight="1">
      <c r="C8" s="94" t="s">
        <v>82</v>
      </c>
      <c r="D8" s="128">
        <f>'Input | Inflation and Disc Rate'!G20</f>
        <v>3.0099999999999998E-2</v>
      </c>
      <c r="E8" s="129">
        <f>'Input | Inflation and Disc Rate'!H20</f>
        <v>2.75E-2</v>
      </c>
      <c r="F8" s="129">
        <f>'Input | Inflation and Disc Rate'!I20</f>
        <v>2.5700000000000001E-2</v>
      </c>
      <c r="G8" s="129">
        <f>'Input | Inflation and Disc Rate'!J20</f>
        <v>2.58E-2</v>
      </c>
      <c r="H8" s="130">
        <f>'Input | Inflation and Disc Rate'!K20</f>
        <v>2.9700000000000001E-2</v>
      </c>
      <c r="I8" s="77"/>
      <c r="J8" s="63"/>
      <c r="K8" s="63"/>
    </row>
    <row r="9" spans="2:13" ht="11.25" customHeight="1">
      <c r="C9" s="115" t="s">
        <v>83</v>
      </c>
      <c r="D9" s="129">
        <f>'Input | Inflation and Disc Rate'!G22</f>
        <v>5.5852499999999861E-2</v>
      </c>
      <c r="E9" s="129">
        <f>'Input | Inflation and Disc Rate'!H22</f>
        <v>5.3187499999999943E-2</v>
      </c>
      <c r="F9" s="129">
        <f>'Input | Inflation and Disc Rate'!I22</f>
        <v>5.1342500000000069E-2</v>
      </c>
      <c r="G9" s="129">
        <f>'Input | Inflation and Disc Rate'!J22</f>
        <v>5.1444999999999963E-2</v>
      </c>
      <c r="H9" s="130">
        <f>'Input | Inflation and Disc Rate'!K22</f>
        <v>5.5442500000000061E-2</v>
      </c>
      <c r="I9" s="77"/>
      <c r="J9" s="63"/>
      <c r="K9" s="63"/>
    </row>
    <row r="10" spans="2:13" ht="11.25" customHeight="1">
      <c r="C10" s="92" t="s">
        <v>84</v>
      </c>
      <c r="D10" s="131">
        <f>'Input | Reported Capex'!H$12*'Input | Inflation and Disc Rate'!G$15*(1+'Input | Inflation and Disc Rate'!G$20)^0.5</f>
        <v>3.2713021471188566</v>
      </c>
      <c r="E10" s="132">
        <f>'Input | Reported Capex'!I$12*'Input | Inflation and Disc Rate'!H$15*(1+'Input | Inflation and Disc Rate'!H$20)^0.5</f>
        <v>3.3197351387656049</v>
      </c>
      <c r="F10" s="132">
        <f>'Input | Reported Capex'!J$12*'Input | Inflation and Disc Rate'!I$15*(1+'Input | Inflation and Disc Rate'!I$20)^0.5</f>
        <v>2.1535862035534081</v>
      </c>
      <c r="G10" s="132">
        <f>'Input | Reported Capex'!K$12*'Input | Inflation and Disc Rate'!J$15*(1+'Input | Inflation and Disc Rate'!J$20)^0.5</f>
        <v>1.6818479900660028</v>
      </c>
      <c r="H10" s="133">
        <f>'Input | Reported Capex'!L$12*'Input | Inflation and Disc Rate'!K$15*(1+'Input | Inflation and Disc Rate'!K$20)^0.5</f>
        <v>0.5055198201112554</v>
      </c>
      <c r="I10" s="77"/>
      <c r="J10" s="63"/>
      <c r="K10" s="63"/>
    </row>
    <row r="11" spans="2:13" ht="11.25" customHeight="1">
      <c r="C11" s="92" t="s">
        <v>85</v>
      </c>
      <c r="D11" s="134">
        <f>'Input | Reported Capex'!H23*(1+D$9)^0.5</f>
        <v>2.1047413686990462</v>
      </c>
      <c r="E11" s="132">
        <f>'Input | Reported Capex'!I23*(1+E$9)^0.5</f>
        <v>1.4719780899308297</v>
      </c>
      <c r="F11" s="132">
        <f>'Input | Reported Capex'!J23*(1+F$9)^0.5</f>
        <v>1.4533250070334662</v>
      </c>
      <c r="G11" s="132">
        <f>'Input | Reported Capex'!K23*(1+G$9)^0.5</f>
        <v>1.8890737682683776</v>
      </c>
      <c r="H11" s="133">
        <f>'Input | Reported Capex'!L23*(1+H$9)^0.5</f>
        <v>3.4327343330853393</v>
      </c>
      <c r="I11" s="77"/>
      <c r="J11" s="63"/>
      <c r="K11" s="63"/>
    </row>
    <row r="12" spans="2:13" s="14" customFormat="1" ht="11.25" customHeight="1">
      <c r="C12" s="92" t="s">
        <v>86</v>
      </c>
      <c r="D12" s="70">
        <f>(D10-D11)</f>
        <v>1.1665607784198104</v>
      </c>
      <c r="E12" s="113">
        <f>(E10-E11)</f>
        <v>1.8477570488347752</v>
      </c>
      <c r="F12" s="113">
        <f t="shared" ref="F12:H12" si="0">(F10-F11)</f>
        <v>0.7002611965199419</v>
      </c>
      <c r="G12" s="113">
        <f t="shared" si="0"/>
        <v>-0.20722577820237476</v>
      </c>
      <c r="H12" s="117">
        <f t="shared" si="0"/>
        <v>-2.9272145129740839</v>
      </c>
      <c r="I12" s="77"/>
      <c r="J12" s="63"/>
      <c r="K12" s="63"/>
    </row>
    <row r="13" spans="2:13" ht="11.25" customHeight="1">
      <c r="C13" s="92" t="s">
        <v>87</v>
      </c>
      <c r="D13" s="70"/>
      <c r="E13" s="113">
        <f>$D$12*$E$8</f>
        <v>3.2080421406544789E-2</v>
      </c>
      <c r="F13" s="113">
        <f>$D$12*$F$8*(1+'Input | Inflation and Disc Rate'!H13)</f>
        <v>3.0730127305523856E-2</v>
      </c>
      <c r="G13" s="113">
        <f>$D$12*$G$8*(1+'Input | Inflation and Disc Rate'!H13)*(1+'Input | Inflation and Disc Rate'!I13)</f>
        <v>3.1620942279944678E-2</v>
      </c>
      <c r="H13" s="117">
        <f>$D$12*$H$8*(1+'Input | Inflation and Disc Rate'!H13)*(1+'Input | Inflation and Disc Rate'!I13)*(1+'Input | Inflation and Disc Rate'!J13)</f>
        <v>3.7310873463457975E-2</v>
      </c>
      <c r="I13" s="77"/>
      <c r="J13" s="63"/>
      <c r="K13" s="63"/>
      <c r="L13" s="76"/>
      <c r="M13" s="76"/>
    </row>
    <row r="14" spans="2:13" ht="11.25" customHeight="1">
      <c r="C14" s="92" t="s">
        <v>88</v>
      </c>
      <c r="D14" s="70"/>
      <c r="E14" s="114"/>
      <c r="F14" s="113">
        <f>$E$12*F$8</f>
        <v>4.7487356155053721E-2</v>
      </c>
      <c r="G14" s="113">
        <f>$E$12*G$8*(1+'Input | Inflation and Disc Rate'!I13)</f>
        <v>4.8863935156435626E-2</v>
      </c>
      <c r="H14" s="117">
        <f>$E$12*H$8*(1+'Input | Inflation and Disc Rate'!I13)*(1+'Input | Inflation and Disc Rate'!J13)</f>
        <v>5.7656602558131452E-2</v>
      </c>
      <c r="I14" s="77"/>
      <c r="J14" s="63"/>
      <c r="K14" s="63"/>
      <c r="L14" s="76"/>
      <c r="M14" s="76"/>
    </row>
    <row r="15" spans="2:13" ht="11.25" customHeight="1">
      <c r="C15" s="92" t="s">
        <v>89</v>
      </c>
      <c r="D15" s="70"/>
      <c r="E15" s="113"/>
      <c r="F15" s="113"/>
      <c r="G15" s="113">
        <f>$F$12*G$8</f>
        <v>1.80667388702145E-2</v>
      </c>
      <c r="H15" s="117">
        <f>$F$12*$H$8*(1+'Input | Inflation and Disc Rate'!J13)</f>
        <v>2.1317701475058331E-2</v>
      </c>
      <c r="I15" s="77"/>
      <c r="J15" s="63"/>
      <c r="K15" s="63"/>
      <c r="L15" s="76"/>
      <c r="M15" s="76"/>
    </row>
    <row r="16" spans="2:13" ht="11.25" customHeight="1">
      <c r="C16" s="92" t="s">
        <v>90</v>
      </c>
      <c r="D16" s="70"/>
      <c r="E16" s="113"/>
      <c r="F16" s="113"/>
      <c r="G16" s="113"/>
      <c r="H16" s="117">
        <f>$G$12*$H$8</f>
        <v>-6.1546056126105305E-3</v>
      </c>
      <c r="I16" s="77"/>
      <c r="J16" s="63"/>
      <c r="K16" s="63"/>
      <c r="L16" s="76"/>
      <c r="M16" s="76"/>
    </row>
    <row r="17" spans="3:8" ht="11.25" customHeight="1">
      <c r="C17" s="92" t="s">
        <v>91</v>
      </c>
      <c r="D17" s="70"/>
      <c r="E17" s="113"/>
      <c r="F17" s="113"/>
      <c r="G17" s="113"/>
      <c r="H17" s="117"/>
    </row>
    <row r="18" spans="3:8" s="14" customFormat="1" ht="11.25" customHeight="1">
      <c r="C18" s="93" t="s">
        <v>92</v>
      </c>
      <c r="D18" s="71">
        <f>SUM(D13:D17)</f>
        <v>0</v>
      </c>
      <c r="E18" s="72">
        <f>SUM(E13:E17)</f>
        <v>3.2080421406544789E-2</v>
      </c>
      <c r="F18" s="72">
        <f t="shared" ref="F18:H18" si="1">SUM(F13:F17)</f>
        <v>7.821748346057758E-2</v>
      </c>
      <c r="G18" s="72">
        <f t="shared" si="1"/>
        <v>9.85516163065948E-2</v>
      </c>
      <c r="H18" s="73">
        <f t="shared" si="1"/>
        <v>0.11013057188403723</v>
      </c>
    </row>
    <row r="19" spans="3:8" ht="11.25" customHeight="1">
      <c r="C19" s="94" t="s">
        <v>93</v>
      </c>
      <c r="D19" s="71">
        <f>E19*(1+E$9)</f>
        <v>1.2287712885918973</v>
      </c>
      <c r="E19" s="72">
        <f>F19*(1+F$9)</f>
        <v>1.1667165519832863</v>
      </c>
      <c r="F19" s="72">
        <f>G19*(1+G$9)</f>
        <v>1.1097397394124999</v>
      </c>
      <c r="G19" s="72">
        <f>H19*(1+H$9)</f>
        <v>1.0554425000000001</v>
      </c>
      <c r="H19" s="118">
        <v>1</v>
      </c>
    </row>
    <row r="20" spans="3:8" s="14" customFormat="1" ht="11.25" customHeight="1">
      <c r="C20" s="92" t="s">
        <v>94</v>
      </c>
      <c r="D20" s="70">
        <f>D12*D19</f>
        <v>1.4334363909196772</v>
      </c>
      <c r="E20" s="113">
        <f>E12*E19</f>
        <v>2.1558087329193216</v>
      </c>
      <c r="F20" s="113">
        <f t="shared" ref="F20:H20" si="2">F12*F19</f>
        <v>0.77710767774672573</v>
      </c>
      <c r="G20" s="113">
        <f t="shared" si="2"/>
        <v>-0.21871489341035993</v>
      </c>
      <c r="H20" s="117">
        <f t="shared" si="2"/>
        <v>-2.9272145129740839</v>
      </c>
    </row>
    <row r="21" spans="3:8" s="14" customFormat="1" ht="11.25" customHeight="1">
      <c r="C21" s="93" t="s">
        <v>95</v>
      </c>
      <c r="D21" s="71">
        <f>D18*D19</f>
        <v>0</v>
      </c>
      <c r="E21" s="72">
        <f>E18*E19</f>
        <v>3.7428758649614743E-2</v>
      </c>
      <c r="F21" s="72">
        <f t="shared" ref="F21:H21" si="3">F18*F19</f>
        <v>8.6801049713042894E-2</v>
      </c>
      <c r="G21" s="72">
        <f t="shared" si="3"/>
        <v>0.10401556429367319</v>
      </c>
      <c r="H21" s="73">
        <f t="shared" si="3"/>
        <v>0.11013057188403723</v>
      </c>
    </row>
    <row r="22" spans="3:8" s="63" customFormat="1" ht="11.25" customHeight="1"/>
    <row r="23" spans="3:8" ht="11.25" customHeight="1">
      <c r="C23" s="97" t="s">
        <v>96</v>
      </c>
      <c r="D23" s="98"/>
      <c r="E23" s="99"/>
      <c r="F23" s="99"/>
      <c r="G23" s="99"/>
      <c r="H23" s="99"/>
    </row>
    <row r="24" spans="3:8" ht="11.25" customHeight="1">
      <c r="C24" s="91" t="s">
        <v>81</v>
      </c>
      <c r="D24" s="145" t="str">
        <f>'Input | General'!$D$18</f>
        <v>2025-26</v>
      </c>
      <c r="E24" s="145" t="str">
        <f>'Input | General'!$E$18</f>
        <v>2026–27</v>
      </c>
      <c r="F24" s="145" t="str">
        <f>'Input | General'!$F$18</f>
        <v>2027–28</v>
      </c>
      <c r="G24" s="145" t="str">
        <f>'Input | General'!$G$18</f>
        <v>2028–29</v>
      </c>
      <c r="H24" s="146" t="str">
        <f>'Input | General'!$H$18</f>
        <v>2029–30</v>
      </c>
    </row>
    <row r="25" spans="3:8" ht="11.25" customHeight="1">
      <c r="C25" s="95" t="s">
        <v>97</v>
      </c>
      <c r="D25" s="135">
        <f>'Input | Inflation and Disc Rate'!L$22</f>
        <v>5.6057499999999871E-2</v>
      </c>
      <c r="E25" s="135">
        <f>'Input | Inflation and Disc Rate'!M$22</f>
        <v>5.6877499999999914E-2</v>
      </c>
      <c r="F25" s="135">
        <f>'Input | Inflation and Disc Rate'!N$22</f>
        <v>5.7697499999999957E-2</v>
      </c>
      <c r="G25" s="135">
        <f>'Input | Inflation and Disc Rate'!O$22</f>
        <v>5.8722499999999789E-2</v>
      </c>
      <c r="H25" s="136">
        <f>'Input | Inflation and Disc Rate'!P$22</f>
        <v>5.8722499999999789E-2</v>
      </c>
    </row>
    <row r="26" spans="3:8" ht="11.25" customHeight="1">
      <c r="C26" s="96" t="s">
        <v>98</v>
      </c>
      <c r="D26" s="132">
        <f>'Input | Reported Capex'!H32</f>
        <v>0</v>
      </c>
      <c r="E26" s="132">
        <f>'Input | Reported Capex'!I32</f>
        <v>0</v>
      </c>
      <c r="F26" s="132">
        <f>'Input | Reported Capex'!J32</f>
        <v>0</v>
      </c>
      <c r="G26" s="132">
        <f>'Input | Reported Capex'!K32</f>
        <v>0</v>
      </c>
      <c r="H26" s="133">
        <f>'Input | Reported Capex'!L32</f>
        <v>0</v>
      </c>
    </row>
    <row r="27" spans="3:8" ht="11.25" customHeight="1">
      <c r="C27" s="96" t="s">
        <v>99</v>
      </c>
      <c r="D27" s="102">
        <f>1/(1+D25)^(0.5)</f>
        <v>0.97309718762300368</v>
      </c>
      <c r="E27" s="102">
        <f>1/((1+E25)^(0.5)*(1+D25))</f>
        <v>0.92108584589906417</v>
      </c>
      <c r="F27" s="102">
        <f>1/((1+F25)^(0.5)*(1+E25)*(1+D25))</f>
        <v>0.87117828892723237</v>
      </c>
      <c r="G27" s="102">
        <f>1/((1+G25)^(0.5)*(1+F25)*(1+E25)*(1+D25))</f>
        <v>0.82325662306791902</v>
      </c>
      <c r="H27" s="103">
        <f>1/((1+H25)^(0.5)*(1+G25)*(1+F25)*(1+E25)*(1+D25))</f>
        <v>0.77759433946848133</v>
      </c>
    </row>
    <row r="28" spans="3:8" ht="11.25" customHeight="1">
      <c r="C28" s="91" t="s">
        <v>100</v>
      </c>
      <c r="D28" s="72">
        <f>D26*D27</f>
        <v>0</v>
      </c>
      <c r="E28" s="72">
        <f t="shared" ref="E28:G28" si="4">E26*E27</f>
        <v>0</v>
      </c>
      <c r="F28" s="72">
        <f t="shared" si="4"/>
        <v>0</v>
      </c>
      <c r="G28" s="72">
        <f t="shared" si="4"/>
        <v>0</v>
      </c>
      <c r="H28" s="73">
        <f>H26*H27</f>
        <v>0</v>
      </c>
    </row>
    <row r="29" spans="3:8" ht="11.25" customHeight="1">
      <c r="C29" s="76"/>
      <c r="D29" s="78"/>
      <c r="E29" s="78"/>
      <c r="F29" s="78"/>
      <c r="G29" s="78"/>
      <c r="H29" s="78"/>
    </row>
    <row r="30" spans="3:8" ht="11.25" customHeight="1">
      <c r="C30" s="90" t="s">
        <v>101</v>
      </c>
      <c r="D30" s="100"/>
      <c r="E30" s="76"/>
      <c r="F30" s="76"/>
      <c r="G30" s="76"/>
      <c r="H30" s="76"/>
    </row>
    <row r="31" spans="3:8" ht="11.25" customHeight="1">
      <c r="C31" s="92" t="s">
        <v>102</v>
      </c>
      <c r="D31" s="82">
        <v>500</v>
      </c>
      <c r="E31" s="76"/>
      <c r="F31" s="76"/>
      <c r="G31" s="76"/>
      <c r="H31" s="76"/>
    </row>
    <row r="32" spans="3:8" ht="11.25" customHeight="1">
      <c r="C32" s="92" t="s">
        <v>85</v>
      </c>
      <c r="D32" s="82">
        <v>400</v>
      </c>
      <c r="E32" s="76"/>
      <c r="F32" s="76"/>
      <c r="G32" s="76"/>
      <c r="H32" s="76"/>
    </row>
    <row r="33" spans="2:4" ht="11.25" customHeight="1">
      <c r="C33" s="92" t="s">
        <v>103</v>
      </c>
      <c r="D33" s="81">
        <f>(D31-D32)/D31</f>
        <v>0.2</v>
      </c>
    </row>
    <row r="34" spans="2:4" ht="11.25" customHeight="1">
      <c r="C34" s="92" t="s">
        <v>104</v>
      </c>
      <c r="D34" s="81">
        <v>0.3</v>
      </c>
    </row>
    <row r="35" spans="2:4" ht="11.25" customHeight="1">
      <c r="C35" s="92" t="s">
        <v>105</v>
      </c>
      <c r="D35" s="81">
        <v>0.3</v>
      </c>
    </row>
    <row r="36" spans="2:4" ht="11.25" customHeight="1">
      <c r="C36" s="92" t="s">
        <v>106</v>
      </c>
      <c r="D36" s="81">
        <v>0.2</v>
      </c>
    </row>
    <row r="37" spans="2:4" ht="11.25" customHeight="1">
      <c r="C37" s="92" t="s">
        <v>107</v>
      </c>
      <c r="D37" s="81">
        <v>0.1</v>
      </c>
    </row>
    <row r="38" spans="2:4" ht="11.25" customHeight="1">
      <c r="C38" s="92" t="s">
        <v>108</v>
      </c>
      <c r="D38" s="81">
        <f>D36</f>
        <v>0.2</v>
      </c>
    </row>
    <row r="39" spans="2:4" ht="11.25" customHeight="1">
      <c r="C39" s="92" t="s">
        <v>109</v>
      </c>
      <c r="D39" s="81">
        <f>D35</f>
        <v>0.3</v>
      </c>
    </row>
    <row r="40" spans="2:4" ht="11.25" customHeight="1">
      <c r="C40" s="92" t="s">
        <v>110</v>
      </c>
      <c r="D40" s="81">
        <f>IF(D33&gt;D37,(D33-D37)/D33*D38+D37/D33*D39,D39)</f>
        <v>0.25</v>
      </c>
    </row>
    <row r="41" spans="2:4" ht="11.25" customHeight="1">
      <c r="C41" s="92" t="s">
        <v>111</v>
      </c>
      <c r="D41" s="82">
        <f>SUM(D20:H20)-SUM(D28:H28)</f>
        <v>1.22042339520128</v>
      </c>
    </row>
    <row r="42" spans="2:4" ht="11.25" customHeight="1">
      <c r="C42" s="92" t="s">
        <v>112</v>
      </c>
      <c r="D42" s="82">
        <f>D41-D43</f>
        <v>0.91531754640095997</v>
      </c>
    </row>
    <row r="43" spans="2:4" ht="11.25" customHeight="1">
      <c r="C43" s="92" t="s">
        <v>113</v>
      </c>
      <c r="D43" s="82">
        <f>D40*D41</f>
        <v>0.30510584880031999</v>
      </c>
    </row>
    <row r="44" spans="2:4" ht="11.25" customHeight="1">
      <c r="C44" s="92" t="s">
        <v>114</v>
      </c>
      <c r="D44" s="82">
        <f>SUM(D21:H21)</f>
        <v>0.33837594454036807</v>
      </c>
    </row>
    <row r="45" spans="2:4" ht="11.25" customHeight="1">
      <c r="C45" s="93" t="s">
        <v>115</v>
      </c>
      <c r="D45" s="83">
        <f>D43-D44</f>
        <v>-3.3270095740048078E-2</v>
      </c>
    </row>
    <row r="46" spans="2:4" ht="11.25" customHeight="1">
      <c r="D46" s="20"/>
    </row>
    <row r="47" spans="2:4" s="8" customFormat="1" ht="12" customHeight="1">
      <c r="B47" s="21" t="s">
        <v>116</v>
      </c>
    </row>
    <row r="49" spans="2:8" s="22" customFormat="1" ht="11.25" customHeight="1">
      <c r="C49" s="74"/>
      <c r="D49" s="147" t="str">
        <f>'Input | General'!D18</f>
        <v>2025-26</v>
      </c>
      <c r="E49" s="147" t="str">
        <f>'Input | General'!E18</f>
        <v>2026–27</v>
      </c>
      <c r="F49" s="147" t="str">
        <f>'Input | General'!F18</f>
        <v>2027–28</v>
      </c>
      <c r="G49" s="147" t="str">
        <f>'Input | General'!G18</f>
        <v>2028–29</v>
      </c>
      <c r="H49" s="147" t="str">
        <f>'Input | General'!H18</f>
        <v>2029–30</v>
      </c>
    </row>
    <row r="50" spans="2:8" s="22" customFormat="1" ht="11.25" customHeight="1">
      <c r="C50" s="80" t="s">
        <v>117</v>
      </c>
      <c r="D50" s="137">
        <f>1/(1+'Input | Inflation and Disc Rate'!L21)</f>
        <v>0.97059108997379406</v>
      </c>
      <c r="E50" s="137">
        <f>D50/(1+'Input | Inflation and Disc Rate'!M21)</f>
        <v>0.94131615747628183</v>
      </c>
      <c r="F50" s="137">
        <f>E50/(1+'Input | Inflation and Disc Rate'!N21)</f>
        <v>0.91221645263715656</v>
      </c>
      <c r="G50" s="137">
        <f>F50/(1+'Input | Inflation and Disc Rate'!O21)</f>
        <v>0.88316047307305312</v>
      </c>
      <c r="H50" s="138">
        <f>G50/(1+'Input | Inflation and Disc Rate'!P21)</f>
        <v>0.85502998651665518</v>
      </c>
    </row>
    <row r="51" spans="2:8" s="22" customFormat="1" ht="11.25" customHeight="1">
      <c r="C51" s="153" t="str">
        <f>CONCATENATE("CESS Payment Per Year ($", 'Output | Models'!$F$8," million)")</f>
        <v>CESS Payment Per Year ($2024–25 million)</v>
      </c>
      <c r="D51" s="89">
        <f>D45/(SUM(D50:H50))</f>
        <v>-7.29237281248601E-3</v>
      </c>
      <c r="E51" s="89">
        <f>D51</f>
        <v>-7.29237281248601E-3</v>
      </c>
      <c r="F51" s="89">
        <f t="shared" ref="F51:H51" si="5">E51</f>
        <v>-7.29237281248601E-3</v>
      </c>
      <c r="G51" s="89">
        <f t="shared" si="5"/>
        <v>-7.29237281248601E-3</v>
      </c>
      <c r="H51" s="116">
        <f t="shared" si="5"/>
        <v>-7.29237281248601E-3</v>
      </c>
    </row>
    <row r="52" spans="2:8" s="63" customFormat="1" ht="11.25" customHeight="1"/>
    <row r="53" spans="2:8" s="22" customFormat="1" ht="11.25" customHeight="1">
      <c r="C53" s="153" t="str">
        <f>CONCATENATE("Total CESS Payment ($", 'Output | Models'!$F$8," million)")</f>
        <v>Total CESS Payment ($2024–25 million)</v>
      </c>
      <c r="D53" s="122">
        <f>SUM(D51:H51)</f>
        <v>-3.6461864062430051E-2</v>
      </c>
      <c r="E53" s="55"/>
      <c r="F53" s="55"/>
      <c r="G53" s="55"/>
      <c r="H53" s="55"/>
    </row>
    <row r="54" spans="2:8" s="22" customFormat="1" ht="11.25" customHeight="1">
      <c r="C54" s="54"/>
      <c r="D54" s="79"/>
      <c r="E54" s="55"/>
      <c r="F54" s="55"/>
      <c r="G54" s="55"/>
      <c r="H54" s="55"/>
    </row>
    <row r="55" spans="2:8" s="22" customFormat="1" ht="11.25" customHeight="1">
      <c r="C55" s="84"/>
      <c r="D55" s="84"/>
      <c r="E55" s="84"/>
      <c r="F55" s="84"/>
      <c r="G55" s="84"/>
      <c r="H55" s="84"/>
    </row>
    <row r="56" spans="2:8" ht="12" customHeight="1">
      <c r="B56" s="21" t="s">
        <v>14</v>
      </c>
      <c r="C56" s="49"/>
      <c r="D56" s="49"/>
      <c r="E56" s="49"/>
      <c r="F56" s="48"/>
      <c r="G56" s="48"/>
      <c r="H56" s="4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B1:X11"/>
  <sheetViews>
    <sheetView workbookViewId="0">
      <selection activeCell="J8" sqref="J8"/>
    </sheetView>
  </sheetViews>
  <sheetFormatPr defaultColWidth="0" defaultRowHeight="11.25" customHeight="1" zeroHeight="1"/>
  <cols>
    <col min="1" max="2" width="1.28515625" style="40" customWidth="1"/>
    <col min="3" max="3" width="36" style="40" customWidth="1"/>
    <col min="4" max="4" width="23.5703125" style="41" bestFit="1" customWidth="1"/>
    <col min="5" max="5" width="13.5703125" style="41" customWidth="1"/>
    <col min="6" max="6" width="9.140625" style="41" customWidth="1"/>
    <col min="7" max="9" width="2.85546875" style="41" customWidth="1"/>
    <col min="10" max="15" width="9.28515625" style="40" customWidth="1"/>
    <col min="16" max="17" width="3" style="40" customWidth="1"/>
    <col min="18" max="24" width="9.28515625" style="40" hidden="1" customWidth="1"/>
    <col min="25" max="48" width="0" style="40" hidden="1" customWidth="1"/>
    <col min="49" max="16384" width="0" style="40" hidden="1"/>
  </cols>
  <sheetData>
    <row r="1" spans="2:20" s="26" customFormat="1" ht="15.75">
      <c r="B1" s="3" t="str">
        <f>'Input | General'!$B$1</f>
        <v>Directlink 2025-30 Final Decision - Capital expenditure sharing scheme model</v>
      </c>
      <c r="C1" s="27"/>
      <c r="D1" s="27"/>
      <c r="E1" s="27"/>
      <c r="F1" s="28"/>
      <c r="G1" s="28"/>
      <c r="H1" s="28"/>
      <c r="I1" s="28"/>
      <c r="J1" s="85"/>
      <c r="K1" s="86" t="s">
        <v>15</v>
      </c>
      <c r="L1" s="123" t="s">
        <v>16</v>
      </c>
      <c r="M1" s="127" t="s">
        <v>17</v>
      </c>
      <c r="R1" s="87"/>
      <c r="S1" s="63"/>
      <c r="T1" s="63"/>
    </row>
    <row r="2" spans="2:20" s="29" customFormat="1" ht="13.5" thickBot="1">
      <c r="B2" s="30" t="s">
        <v>12</v>
      </c>
      <c r="C2" s="30"/>
      <c r="D2" s="30"/>
      <c r="E2" s="30"/>
      <c r="F2" s="31"/>
      <c r="G2" s="31"/>
      <c r="H2" s="31"/>
      <c r="I2" s="31"/>
    </row>
    <row r="3" spans="2:20" s="32" customFormat="1">
      <c r="D3" s="172"/>
      <c r="E3" s="172"/>
      <c r="F3" s="172"/>
      <c r="G3" s="172"/>
      <c r="H3" s="172"/>
      <c r="I3" s="172"/>
      <c r="J3" s="182"/>
      <c r="K3" s="182"/>
      <c r="L3" s="182"/>
      <c r="M3" s="172"/>
      <c r="N3" s="182"/>
      <c r="O3" s="182"/>
      <c r="P3" s="182"/>
      <c r="Q3" s="182"/>
      <c r="R3" s="182"/>
      <c r="S3" s="182"/>
      <c r="T3" s="182"/>
    </row>
    <row r="4" spans="2:20" s="39" customFormat="1" ht="12.75">
      <c r="B4" s="34" t="s">
        <v>118</v>
      </c>
      <c r="C4" s="33"/>
      <c r="D4" s="33"/>
      <c r="E4" s="33"/>
      <c r="F4" s="33"/>
      <c r="G4" s="35"/>
      <c r="H4" s="35"/>
      <c r="I4" s="35"/>
      <c r="J4" s="36" t="s">
        <v>119</v>
      </c>
      <c r="K4" s="37"/>
      <c r="L4" s="38"/>
      <c r="M4" s="37"/>
      <c r="N4" s="38"/>
      <c r="O4" s="38"/>
      <c r="P4" s="38"/>
      <c r="Q4" s="38"/>
      <c r="R4" s="38"/>
      <c r="S4" s="38"/>
      <c r="T4" s="38"/>
    </row>
    <row r="5" spans="2:20" ht="11.25" customHeight="1">
      <c r="M5" s="42"/>
      <c r="N5" s="42"/>
      <c r="O5" s="42"/>
      <c r="P5" s="42"/>
      <c r="Q5" s="63"/>
      <c r="R5" s="63"/>
      <c r="S5" s="63"/>
      <c r="T5" s="63"/>
    </row>
    <row r="6" spans="2:20" ht="11.25" customHeight="1">
      <c r="C6" s="43" t="s">
        <v>120</v>
      </c>
      <c r="D6" s="44" t="s">
        <v>41</v>
      </c>
      <c r="E6" s="44" t="s">
        <v>42</v>
      </c>
      <c r="F6" s="44" t="s">
        <v>55</v>
      </c>
      <c r="H6" s="44"/>
      <c r="I6" s="44"/>
      <c r="J6" s="148" t="str">
        <f>'Calc | CESS Revenue Increments'!D49</f>
        <v>2025-26</v>
      </c>
      <c r="K6" s="148" t="str">
        <f>'Calc | CESS Revenue Increments'!E49</f>
        <v>2026–27</v>
      </c>
      <c r="L6" s="148" t="str">
        <f>'Calc | CESS Revenue Increments'!F49</f>
        <v>2027–28</v>
      </c>
      <c r="M6" s="148" t="str">
        <f>'Calc | CESS Revenue Increments'!G49</f>
        <v>2028–29</v>
      </c>
      <c r="N6" s="148" t="str">
        <f>'Calc | CESS Revenue Increments'!H49</f>
        <v>2029–30</v>
      </c>
      <c r="O6" s="45" t="s">
        <v>72</v>
      </c>
      <c r="P6" s="108"/>
      <c r="Q6" s="63"/>
      <c r="R6" s="63"/>
      <c r="S6" s="63"/>
      <c r="T6" s="63"/>
    </row>
    <row r="7" spans="2:20" ht="11.25" customHeight="1">
      <c r="C7" s="43"/>
      <c r="D7" s="44"/>
      <c r="E7" s="44"/>
      <c r="F7" s="44"/>
      <c r="H7" s="44"/>
      <c r="I7" s="44"/>
      <c r="O7" s="63"/>
      <c r="P7" s="63"/>
      <c r="Q7" s="63"/>
      <c r="R7" s="63"/>
      <c r="S7" s="63"/>
      <c r="T7" s="63"/>
    </row>
    <row r="8" spans="2:20" ht="11.25" customHeight="1">
      <c r="C8" s="46" t="s">
        <v>121</v>
      </c>
      <c r="D8" s="150" t="s">
        <v>10</v>
      </c>
      <c r="E8" s="41" t="s">
        <v>57</v>
      </c>
      <c r="F8" s="149" t="str">
        <f>IF(LEN(J6)&gt;4,CONCATENATE(LEFT(J6,4)-1&amp;"–"&amp;IF(RIGHT(J6,2)="00","99",IF(RIGHT(J6,2)-1&lt;10,"0","")&amp;RIGHT(J6,2)-1)),J6-1)</f>
        <v>2024–25</v>
      </c>
      <c r="H8" s="44"/>
      <c r="I8" s="44"/>
      <c r="J8" s="180">
        <f>'Calc | CESS Revenue Increments'!D51</f>
        <v>-7.29237281248601E-3</v>
      </c>
      <c r="K8" s="180">
        <f>'Calc | CESS Revenue Increments'!E51</f>
        <v>-7.29237281248601E-3</v>
      </c>
      <c r="L8" s="180">
        <f>'Calc | CESS Revenue Increments'!F51</f>
        <v>-7.29237281248601E-3</v>
      </c>
      <c r="M8" s="180">
        <f>'Calc | CESS Revenue Increments'!G51</f>
        <v>-7.29237281248601E-3</v>
      </c>
      <c r="N8" s="180">
        <f>'Calc | CESS Revenue Increments'!H51</f>
        <v>-7.29237281248601E-3</v>
      </c>
      <c r="O8" s="181">
        <f>SUM(J8:N8)</f>
        <v>-3.6461864062430051E-2</v>
      </c>
      <c r="P8" s="109"/>
      <c r="Q8" s="63"/>
      <c r="R8" s="63"/>
      <c r="S8" s="63"/>
      <c r="T8" s="63"/>
    </row>
    <row r="9" spans="2:20" ht="11.25" customHeight="1">
      <c r="C9" s="46"/>
      <c r="D9" s="47"/>
      <c r="H9" s="44"/>
      <c r="I9" s="44"/>
      <c r="Q9" s="63"/>
      <c r="R9" s="63"/>
      <c r="S9" s="63"/>
      <c r="T9" s="63"/>
    </row>
    <row r="10" spans="2:20" ht="11.25" customHeight="1">
      <c r="D10" s="47"/>
      <c r="H10" s="44"/>
      <c r="I10" s="44"/>
      <c r="J10" s="107"/>
      <c r="K10" s="107"/>
      <c r="L10" s="107"/>
      <c r="M10" s="107"/>
      <c r="N10" s="107"/>
      <c r="Q10" s="63"/>
      <c r="R10" s="63"/>
      <c r="S10" s="63"/>
      <c r="T10" s="63"/>
    </row>
    <row r="11" spans="2:20" s="39" customFormat="1" ht="12.75">
      <c r="B11" s="34" t="s">
        <v>14</v>
      </c>
      <c r="C11" s="33"/>
      <c r="D11" s="33"/>
      <c r="E11" s="33"/>
      <c r="F11" s="35"/>
      <c r="G11" s="35"/>
      <c r="H11" s="35"/>
      <c r="I11" s="35"/>
      <c r="J11" s="38"/>
      <c r="K11" s="37"/>
      <c r="L11" s="38"/>
      <c r="M11" s="37"/>
      <c r="N11" s="38"/>
      <c r="O11" s="38"/>
      <c r="P11" s="38"/>
      <c r="Q11" s="38"/>
      <c r="R11" s="38"/>
      <c r="S11" s="38"/>
      <c r="T11" s="38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6428-54C7-45B2-AA46-CE119A383F61}">
  <dimension ref="A1:I10"/>
  <sheetViews>
    <sheetView tabSelected="1" workbookViewId="0">
      <selection activeCell="I10" sqref="I10"/>
    </sheetView>
  </sheetViews>
  <sheetFormatPr defaultRowHeight="15"/>
  <cols>
    <col min="1" max="1" width="21.7109375" customWidth="1"/>
  </cols>
  <sheetData>
    <row r="1" spans="1:9">
      <c r="A1" t="s">
        <v>70</v>
      </c>
    </row>
    <row r="2" spans="1:9">
      <c r="A2" t="s">
        <v>71</v>
      </c>
      <c r="B2" t="str">
        <f>'Input | Reported Capex'!H6</f>
        <v>2020–21</v>
      </c>
      <c r="C2" t="str">
        <f>'Input | Reported Capex'!I6</f>
        <v>2021–22</v>
      </c>
      <c r="D2" t="str">
        <f>'Input | Reported Capex'!J6</f>
        <v>2022–23</v>
      </c>
      <c r="E2" t="str">
        <f>'Input | Reported Capex'!K6</f>
        <v>2023–24</v>
      </c>
      <c r="F2" t="str">
        <f>'Input | Reported Capex'!L6</f>
        <v>2024–25</v>
      </c>
      <c r="G2" t="s">
        <v>72</v>
      </c>
    </row>
    <row r="3" spans="1:9">
      <c r="A3" t="s">
        <v>73</v>
      </c>
      <c r="B3" s="125">
        <v>4.8725651488499748</v>
      </c>
      <c r="C3" s="125">
        <v>6.5732515165121201</v>
      </c>
      <c r="D3" s="125">
        <v>5.4306567974545237</v>
      </c>
      <c r="E3" s="125">
        <v>4.9604388885912227</v>
      </c>
      <c r="F3" s="125">
        <v>3.8963656666381996</v>
      </c>
      <c r="G3" s="125">
        <f>SUM(B3:F3)</f>
        <v>25.733278018046043</v>
      </c>
    </row>
    <row r="4" spans="1:9">
      <c r="A4" t="s">
        <v>74</v>
      </c>
      <c r="B4" s="125">
        <v>1.7280253212189056</v>
      </c>
      <c r="C4" s="125">
        <v>3.4560506424378112</v>
      </c>
      <c r="D4" s="125">
        <v>3.4560506424378112</v>
      </c>
      <c r="E4" s="125">
        <v>3.4560506424378112</v>
      </c>
      <c r="F4" s="125">
        <v>3.4560506424378112</v>
      </c>
      <c r="G4" s="125">
        <f>SUM(B4:F4)</f>
        <v>15.552227890970149</v>
      </c>
    </row>
    <row r="5" spans="1:9">
      <c r="A5" t="s">
        <v>75</v>
      </c>
      <c r="B5" s="179">
        <f>B3-B4</f>
        <v>3.1445398276310694</v>
      </c>
      <c r="C5" s="179">
        <f t="shared" ref="C5:F5" si="0">C3-C4</f>
        <v>3.1172008740743089</v>
      </c>
      <c r="D5" s="179">
        <f t="shared" si="0"/>
        <v>1.9746061550167124</v>
      </c>
      <c r="E5" s="179">
        <f t="shared" si="0"/>
        <v>1.5043882461534115</v>
      </c>
      <c r="F5" s="179">
        <f t="shared" si="0"/>
        <v>0.44031502420038837</v>
      </c>
      <c r="G5" s="179">
        <f>G3-G4</f>
        <v>10.181050127075894</v>
      </c>
      <c r="H5" t="s">
        <v>76</v>
      </c>
    </row>
    <row r="6" spans="1:9">
      <c r="G6" s="179">
        <f>SUM(B5:F5)</f>
        <v>10.181050127075888</v>
      </c>
      <c r="H6" s="179" t="b">
        <f>G6=G5</f>
        <v>1</v>
      </c>
    </row>
    <row r="8" spans="1:9">
      <c r="A8" t="s">
        <v>70</v>
      </c>
      <c r="H8" t="s">
        <v>76</v>
      </c>
    </row>
    <row r="9" spans="1:9">
      <c r="A9" t="s">
        <v>77</v>
      </c>
      <c r="B9" s="179">
        <v>2.0483167239999998</v>
      </c>
      <c r="C9" s="179">
        <v>1.4343280699999998</v>
      </c>
      <c r="D9" s="179">
        <v>1.4173941500000005</v>
      </c>
      <c r="E9" s="179">
        <v>1.8422799999999999</v>
      </c>
      <c r="F9" s="179">
        <v>3.3413571945271658</v>
      </c>
      <c r="G9" s="179">
        <f>SUM(B9:F9)</f>
        <v>10.083676138527165</v>
      </c>
      <c r="H9" t="b">
        <v>1</v>
      </c>
    </row>
    <row r="10" spans="1:9">
      <c r="B10" t="b">
        <v>1</v>
      </c>
      <c r="C10" t="b">
        <v>1</v>
      </c>
      <c r="D10" t="b">
        <v>1</v>
      </c>
      <c r="E10" t="b">
        <v>1</v>
      </c>
      <c r="F10" t="b">
        <v>1</v>
      </c>
      <c r="G10" t="b">
        <v>1</v>
      </c>
      <c r="I10" s="179"/>
    </row>
  </sheetData>
  <conditionalFormatting sqref="B3:G3">
    <cfRule type="expression" dxfId="1" priority="2">
      <formula>IF(#REF!&lt;&gt;"","FALSE","TRUE")</formula>
    </cfRule>
  </conditionalFormatting>
  <conditionalFormatting sqref="B4:G4">
    <cfRule type="expression" dxfId="0" priority="1">
      <formula>IF(#REF!&lt;&gt;"","FALSE","TRUE")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type xmlns="f8d0b45b-ed36-4138-b48f-2f995afadfe1" xsi:nil="true"/>
    <TaxCatchAll xmlns="a7977982-925b-4afc-922b-76159132e2ea" xsi:nil="true"/>
    <Notes xmlns="f8d0b45b-ed36-4138-b48f-2f995afadfe1" xsi:nil="true"/>
    <lcf76f155ced4ddcb4097134ff3c332f xmlns="f8d0b45b-ed36-4138-b48f-2f995afadfe1">
      <Terms xmlns="http://schemas.microsoft.com/office/infopath/2007/PartnerControls"/>
    </lcf76f155ced4ddcb4097134ff3c332f>
    <SharedWithUsers xmlns="a7977982-925b-4afc-922b-76159132e2ea">
      <UserInfo>
        <DisplayName>Willoughby, Andrew</DisplayName>
        <AccountId>81</AccountId>
        <AccountType/>
      </UserInfo>
    </SharedWithUsers>
    <Formattingcomplete xmlns="f8d0b45b-ed36-4138-b48f-2f995afadfe1">false</Formattingcomplete>
    <Figurescrosschecked xmlns="f8d0b45b-ed36-4138-b48f-2f995afadfe1">false</Figurescrosscheck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668104AD73B409BF177FE55A62C7C" ma:contentTypeVersion="22" ma:contentTypeDescription="Create a new document." ma:contentTypeScope="" ma:versionID="659d4c5fe243346a6757b13c34d38e56">
  <xsd:schema xmlns:xsd="http://www.w3.org/2001/XMLSchema" xmlns:xs="http://www.w3.org/2001/XMLSchema" xmlns:p="http://schemas.microsoft.com/office/2006/metadata/properties" xmlns:ns2="f8d0b45b-ed36-4138-b48f-2f995afadfe1" xmlns:ns3="a7977982-925b-4afc-922b-76159132e2ea" targetNamespace="http://schemas.microsoft.com/office/2006/metadata/properties" ma:root="true" ma:fieldsID="8316925890fcb03dd1554c94f1628fb0" ns2:_="" ns3:_="">
    <xsd:import namespace="f8d0b45b-ed36-4138-b48f-2f995afadfe1"/>
    <xsd:import namespace="a7977982-925b-4afc-922b-76159132e2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Versiontype" minOccurs="0"/>
                <xsd:element ref="ns2:Notes" minOccurs="0"/>
                <xsd:element ref="ns2:MediaServiceSearchProperties" minOccurs="0"/>
                <xsd:element ref="ns2:Formattingcomplete" minOccurs="0"/>
                <xsd:element ref="ns2:Figurescrossche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0b45b-ed36-4138-b48f-2f995afad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Versiontype" ma:index="20" nillable="true" ma:displayName="Version type" ma:format="Dropdown" ma:internalName="Versiontype">
      <xsd:simpleType>
        <xsd:restriction base="dms:Choice">
          <xsd:enumeration value="Working file"/>
          <xsd:enumeration value="Draft"/>
          <xsd:enumeration value="Final"/>
        </xsd:restriction>
      </xsd:simpleType>
    </xsd:element>
    <xsd:element name="Notes" ma:index="2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rmattingcomplete" ma:index="23" nillable="true" ma:displayName="Formatting complete" ma:default="0" ma:format="Dropdown" ma:internalName="Formattingcomplete">
      <xsd:simpleType>
        <xsd:restriction base="dms:Boolean"/>
      </xsd:simpleType>
    </xsd:element>
    <xsd:element name="Figurescrosschecked" ma:index="24" nillable="true" ma:displayName="Figures cross checked" ma:default="0" ma:format="Dropdown" ma:internalName="Figurescrosscheck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77982-925b-4afc-922b-76159132e2e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3607b90-19c7-451a-b9c7-793be0bdc71d}" ma:internalName="TaxCatchAll" ma:showField="CatchAllData" ma:web="a7977982-925b-4afc-922b-76159132e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FF80D8-6200-49A4-B3C0-F1CA2F3549C1}">
  <ds:schemaRefs>
    <ds:schemaRef ds:uri="http://purl.org/dc/terms/"/>
    <ds:schemaRef ds:uri="f8d0b45b-ed36-4138-b48f-2f995afadfe1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a7977982-925b-4afc-922b-76159132e2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F3C6E1-A14E-47CA-AAFC-2A1DA3C91D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5169D-F698-4A7F-AE76-ECC635D40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0b45b-ed36-4138-b48f-2f995afadfe1"/>
    <ds:schemaRef ds:uri="a7977982-925b-4afc-922b-76159132e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AER allowance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2023-06-21T02:21:19Z</dcterms:created>
  <dcterms:modified xsi:type="dcterms:W3CDTF">2024-01-29T05:51:33Z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0x0101000EA668104AD73B409BF177FE55A62C7C</vt:lpwstr>
  </property>
  <property fmtid="{D5CDD505-2E9C-101B-9397-08002B2CF9AE}" pid="3" name="MSIP_Label_8e2e509a-f02b-496b-97a8-09ffbb9893ea_Enabled">
    <vt:lpwstr>true</vt:lpwstr>
  </property>
  <property fmtid="{D5CDD505-2E9C-101B-9397-08002B2CF9AE}" pid="4" name="MSIP_Label_8e2e509a-f02b-496b-97a8-09ffbb9893ea_SetDate">
    <vt:lpwstr>2023-11-23T00:18:43Z</vt:lpwstr>
  </property>
  <property fmtid="{D5CDD505-2E9C-101B-9397-08002B2CF9AE}" pid="5" name="MSIP_Label_8e2e509a-f02b-496b-97a8-09ffbb9893ea_Method">
    <vt:lpwstr>Privileged</vt:lpwstr>
  </property>
  <property fmtid="{D5CDD505-2E9C-101B-9397-08002B2CF9AE}" pid="6" name="MSIP_Label_8e2e509a-f02b-496b-97a8-09ffbb9893ea_Name">
    <vt:lpwstr>APA-Internal</vt:lpwstr>
  </property>
  <property fmtid="{D5CDD505-2E9C-101B-9397-08002B2CF9AE}" pid="7" name="MSIP_Label_8e2e509a-f02b-496b-97a8-09ffbb9893ea_SiteId">
    <vt:lpwstr>234ac309-c216-4661-a5ba-18879f6c4c75</vt:lpwstr>
  </property>
  <property fmtid="{D5CDD505-2E9C-101B-9397-08002B2CF9AE}" pid="8" name="MSIP_Label_8e2e509a-f02b-496b-97a8-09ffbb9893ea_ActionId">
    <vt:lpwstr>059c6e4b-f372-4961-a1f5-a9a1599fbe0e</vt:lpwstr>
  </property>
  <property fmtid="{D5CDD505-2E9C-101B-9397-08002B2CF9AE}" pid="9" name="MSIP_Label_8e2e509a-f02b-496b-97a8-09ffbb9893ea_ContentBits">
    <vt:lpwstr>0</vt:lpwstr>
  </property>
  <property fmtid="{D5CDD505-2E9C-101B-9397-08002B2CF9AE}" pid="10" name="MediaServiceImageTags">
    <vt:lpwstr/>
  </property>
</Properties>
</file>