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NWRegulatory\Revenue Reset 24\Revised Proposal Submission Documents\Models\Public\"/>
    </mc:Choice>
  </mc:AlternateContent>
  <xr:revisionPtr revIDLastSave="0" documentId="13_ncr:1_{823C6564-2549-4151-975D-4CB9EB38DC86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definedNames>
    <definedName name="dollars">#REF!</definedName>
    <definedName name="factor">#REF!</definedName>
    <definedName name="millions">#REF!</definedName>
    <definedName name="Nominal_to_Real">#REF!</definedName>
    <definedName name="number">#REF!</definedName>
    <definedName name="percent" localSheetId="5">#REF!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F27" i="3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9" i="3" l="1"/>
  <c r="F11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E7" i="4" l="1"/>
  <c r="F7" i="4"/>
  <c r="G7" i="4"/>
  <c r="H7" i="4"/>
  <c r="D7" i="4"/>
  <c r="I6" i="3"/>
  <c r="I11" i="3" s="1"/>
  <c r="J6" i="3"/>
  <c r="J11" i="3" s="1"/>
  <c r="K6" i="3"/>
  <c r="K11" i="3" s="1"/>
  <c r="L6" i="3"/>
  <c r="L11" i="3" s="1"/>
  <c r="H6" i="3"/>
  <c r="L19" i="13"/>
  <c r="M19" i="13"/>
  <c r="P19" i="13"/>
  <c r="G19" i="13"/>
  <c r="N19" i="13"/>
  <c r="O19" i="13"/>
  <c r="H19" i="13"/>
  <c r="I19" i="13"/>
  <c r="J19" i="13"/>
  <c r="K19" i="13"/>
  <c r="H11" i="3" l="1"/>
  <c r="J4" i="3"/>
  <c r="F28" i="3" s="1"/>
  <c r="H15" i="3"/>
  <c r="H21" i="3" s="1"/>
  <c r="I15" i="3"/>
  <c r="I21" i="3" s="1"/>
  <c r="L15" i="3"/>
  <c r="L21" i="3" s="1"/>
  <c r="K15" i="3"/>
  <c r="K21" i="3" s="1"/>
  <c r="J15" i="3"/>
  <c r="J21" i="3" s="1"/>
  <c r="L22" i="13"/>
  <c r="G22" i="13" l="1"/>
  <c r="D9" i="4" s="1"/>
  <c r="D11" i="4" s="1"/>
  <c r="H22" i="13"/>
  <c r="I22" i="13"/>
  <c r="J22" i="13"/>
  <c r="K22" i="13"/>
  <c r="H9" i="4" l="1"/>
  <c r="H8" i="4"/>
  <c r="G19" i="4" l="1"/>
  <c r="D25" i="4"/>
  <c r="D27" i="4" s="1"/>
  <c r="M22" i="13"/>
  <c r="E9" i="4"/>
  <c r="E11" i="4" s="1"/>
  <c r="M9" i="13"/>
  <c r="N9" i="13" s="1"/>
  <c r="O9" i="13" s="1"/>
  <c r="P9" i="13" s="1"/>
  <c r="C15" i="13"/>
  <c r="G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5" i="3"/>
  <c r="I25" i="3"/>
  <c r="J25" i="3"/>
  <c r="K25" i="3"/>
  <c r="L25" i="3"/>
  <c r="H11" i="4"/>
  <c r="H15" i="13" l="1"/>
  <c r="D10" i="4"/>
  <c r="D12" i="4" s="1"/>
  <c r="C42" i="4"/>
  <c r="C44" i="4"/>
  <c r="G10" i="13"/>
  <c r="H10" i="13" s="1"/>
  <c r="I10" i="13" s="1"/>
  <c r="J10" i="13" s="1"/>
  <c r="K10" i="13" s="1"/>
  <c r="L10" i="13" s="1"/>
  <c r="I28" i="3" s="1"/>
  <c r="G11" i="4"/>
  <c r="F11" i="4"/>
  <c r="F19" i="4"/>
  <c r="E19" i="4" s="1"/>
  <c r="D19" i="4" s="1"/>
  <c r="D21" i="4" s="1"/>
  <c r="E25" i="4"/>
  <c r="E27" i="4" s="1"/>
  <c r="B1" i="5"/>
  <c r="B1" i="3"/>
  <c r="B1" i="13"/>
  <c r="B1" i="4"/>
  <c r="D20" i="4" l="1"/>
  <c r="I15" i="13"/>
  <c r="E10" i="4"/>
  <c r="E12" i="4" s="1"/>
  <c r="G14" i="4" s="1"/>
  <c r="F13" i="4"/>
  <c r="G13" i="4"/>
  <c r="E13" i="4"/>
  <c r="E18" i="4" s="1"/>
  <c r="E21" i="4" s="1"/>
  <c r="H13" i="4"/>
  <c r="H28" i="3"/>
  <c r="N22" i="13"/>
  <c r="F25" i="4" s="1"/>
  <c r="F27" i="4" s="1"/>
  <c r="M10" i="13"/>
  <c r="N10" i="13" s="1"/>
  <c r="K28" i="3" s="1"/>
  <c r="O22" i="13"/>
  <c r="J15" i="13" l="1"/>
  <c r="F10" i="4"/>
  <c r="F12" i="4" s="1"/>
  <c r="F20" i="4" s="1"/>
  <c r="H14" i="4"/>
  <c r="E20" i="4"/>
  <c r="F14" i="4"/>
  <c r="F18" i="4" s="1"/>
  <c r="F21" i="4" s="1"/>
  <c r="J28" i="3"/>
  <c r="O10" i="13"/>
  <c r="P10" i="13" s="1"/>
  <c r="G25" i="4"/>
  <c r="G27" i="4" s="1"/>
  <c r="G15" i="4" l="1"/>
  <c r="G18" i="4" s="1"/>
  <c r="G21" i="4" s="1"/>
  <c r="K15" i="13"/>
  <c r="G10" i="4"/>
  <c r="G12" i="4" s="1"/>
  <c r="H15" i="4"/>
  <c r="P22" i="13"/>
  <c r="H25" i="4" s="1"/>
  <c r="H27" i="4" s="1"/>
  <c r="L28" i="3"/>
  <c r="H10" i="4" l="1"/>
  <c r="H12" i="4" s="1"/>
  <c r="H20" i="4" s="1"/>
  <c r="L15" i="13"/>
  <c r="H29" i="3"/>
  <c r="D26" i="4" s="1"/>
  <c r="D28" i="4" s="1"/>
  <c r="G20" i="4"/>
  <c r="H16" i="4"/>
  <c r="H18" i="4" s="1"/>
  <c r="H21" i="4" s="1"/>
  <c r="D35" i="4" s="1"/>
  <c r="M15" i="13" l="1"/>
  <c r="I29" i="3"/>
  <c r="E26" i="4" s="1"/>
  <c r="E28" i="4" s="1"/>
  <c r="N15" i="13" l="1"/>
  <c r="J29" i="3"/>
  <c r="F26" i="4" s="1"/>
  <c r="F28" i="4" s="1"/>
  <c r="K29" i="3" l="1"/>
  <c r="G26" i="4" s="1"/>
  <c r="G28" i="4" s="1"/>
  <c r="O15" i="13"/>
  <c r="P15" i="13" l="1"/>
  <c r="L29" i="3"/>
  <c r="H26" i="4" s="1"/>
  <c r="H28" i="4" s="1"/>
  <c r="D31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D44" i="4"/>
  <c r="O8" i="10" l="1"/>
</calcChain>
</file>

<file path=xl/sharedStrings.xml><?xml version="1.0" encoding="utf-8"?>
<sst xmlns="http://schemas.openxmlformats.org/spreadsheetml/2006/main" count="191" uniqueCount="106">
  <si>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</si>
  <si>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</si>
  <si>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</si>
  <si>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</si>
  <si>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</si>
  <si>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</si>
  <si>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</si>
  <si>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</si>
  <si>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</si>
  <si>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</si>
  <si>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</si>
  <si>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</si>
  <si>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</si>
  <si>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</si>
  <si>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</si>
  <si>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</si>
  <si>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</si>
  <si>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</si>
  <si>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</si>
  <si>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</si>
  <si>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</si>
  <si>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</si>
  <si>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</si>
  <si>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</si>
  <si>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</si>
  <si>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</si>
  <si>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</si>
  <si>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</si>
  <si>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</si>
  <si>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</si>
  <si>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</si>
  <si>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</si>
  <si>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</si>
  <si>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</si>
  <si>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</si>
  <si>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</si>
  <si>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</si>
  <si>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</si>
  <si>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</si>
  <si>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</si>
  <si>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</si>
  <si>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</si>
  <si>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</si>
  <si>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</si>
  <si>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</si>
  <si>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</si>
  <si>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</si>
  <si>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</si>
  <si>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</si>
  <si>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</si>
  <si>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</si>
  <si>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</si>
  <si>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</si>
  <si>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</si>
  <si>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</si>
  <si>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</si>
  <si>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</si>
  <si>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</si>
  <si>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</si>
  <si>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</si>
  <si>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</si>
  <si>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</si>
  <si>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</si>
  <si>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</si>
  <si>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</si>
  <si>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</si>
  <si>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</si>
  <si>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</si>
  <si>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</si>
  <si>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</si>
  <si>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</si>
  <si>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</si>
  <si>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</si>
  <si>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</si>
  <si>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</si>
  <si>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</si>
  <si>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</si>
  <si>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</si>
  <si>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</si>
  <si>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</si>
  <si>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</si>
  <si>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</si>
  <si>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</si>
  <si>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</si>
  <si>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</si>
  <si>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</si>
  <si>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</si>
  <si>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</si>
  <si>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</si>
  <si>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</si>
  <si>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</si>
  <si>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</si>
  <si>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</si>
  <si>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</si>
  <si>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</si>
  <si>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</si>
  <si>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</si>
  <si>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</si>
  <si>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</si>
  <si>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2024-29</t>
  </si>
  <si>
    <t>2024-25</t>
  </si>
  <si>
    <t>TasNetworks (T)</t>
  </si>
  <si>
    <t>First year of regulatory period</t>
  </si>
  <si>
    <t>$ nominal, mid year</t>
  </si>
  <si>
    <t>TNSP/ AER</t>
  </si>
  <si>
    <t>Revised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</si>
</sst>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4" formatCode="_-&quot;$&quot;* #,##0.00_-;\-&quot;$&quot;* #,##0.00_-;_-&quot;$&quot;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(&quot;$&quot;#,##0.0_);\(&quot;$&quot;#,##0.0\);_(&quot;-&quot;_)"/>
    <numFmt numFmtId="196" formatCode="_(#,##0.0\x_);\(#,##0.0\x\);_(&quot;-&quot;_)"/>
    <numFmt numFmtId="197" formatCode="_(#,##0.0%_);\(#,##0.0%\);_(&quot;-&quot;_)"/>
    <numFmt numFmtId="198" formatCode="#,##0.0_);[Red]\(#,##0.0\)"/>
    <numFmt numFmtId="199" formatCode="0.00_)"/>
    <numFmt numFmtId="200" formatCode="_-* 0.000;\(\ 0.000\)"/>
    <numFmt numFmtId="201" formatCode="d\-mmm\-yyyy"/>
    <numFmt numFmtId="202" formatCode="_(#,##0_);\(#,##0\);_(#,##0_)"/>
    <numFmt numFmtId="203" formatCode="_(###0_);\(###0\);_(&quot;-&quot;_)"/>
    <numFmt numFmtId="204" formatCode="_)d\-mmm\-yy_);_)d\-mmm\-yy_);_)&quot;-&quot;_)"/>
    <numFmt numFmtId="205" formatCode="dd/mm/yy"/>
    <numFmt numFmtId="206" formatCode="#,##0\x_);\(#,##0\x\);#,##0\x_)"/>
    <numFmt numFmtId="207" formatCode="#,##0%_);\(#,##0%\);#,##0%_)"/>
    <numFmt numFmtId="208" formatCode="###0_);\(###0\);###0_)"/>
    <numFmt numFmtId="209" formatCode="d/m/yy"/>
    <numFmt numFmtId="210" formatCode="_(* &quot;$&quot;#,##0_)_;;_(* \(&quot;$&quot;#,##0\)_;;_(* &quot;$&quot;#,##0_)_;"/>
    <numFmt numFmtId="211" formatCode="dd/mm/yy__;"/>
    <numFmt numFmtId="212" formatCode="_(* #,##0\x_)_;;_(* \(#,##0\x\)_;;_(* #,##0\x_)_;"/>
    <numFmt numFmtId="213" formatCode="_(* #,##0_)_;;_(* \(#,##0\)_;;_(* #,##0_)_;"/>
    <numFmt numFmtId="214" formatCode="_(* #,##0%_)_;;_(* \(#,##0%\)_;;_(* #,##0%_)_;"/>
    <numFmt numFmtId="215" formatCode="###0_)_;;\(###0\)_;;###0_)_;"/>
    <numFmt numFmtId="216" formatCode="#"/>
    <numFmt numFmtId="217" formatCode="_(* &quot;$&quot;#,##0_)_;;[Blue]_(* \(&quot;$&quot;#,##0\)_;;_(* &quot;$&quot;#,##0_)_;"/>
    <numFmt numFmtId="218" formatCode="_(* #,##0\x_)_;;[Blue]_(* \(#,##0\x\)_;;_(* #,##0\x_)_;"/>
    <numFmt numFmtId="219" formatCode="_(* #,##0_)_;;[Blue]_(* \(#,##0\)_;;_(* #,##0_)_;"/>
    <numFmt numFmtId="220" formatCode="_(* #,##0%_)_;;[Blue]_(* \(#,##0%\)_;;_(* #,##0%_)_;"/>
    <numFmt numFmtId="221" formatCode="_(* #,##0_);_(* \(#,##0\);_(* &quot; - &quot;??_);_(@_)"/>
    <numFmt numFmtId="222" formatCode="#,##0_);[Blue]\(#,##0\);#,##0_)"/>
    <numFmt numFmtId="223" formatCode="_(* #,##0_);[Red]_(* \(#,##0\);_(* &quot; - &quot;??_);_(@_)"/>
    <numFmt numFmtId="224" formatCode="#,##0_);\(#,##0\);\-;"/>
    <numFmt numFmtId="225" formatCode="#,##0.00;[Red]\(#,##0.00\)"/>
    <numFmt numFmtId="226" formatCode="_)d/m/yy_)"/>
  </numFmts>
  <fonts count="19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6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3" fillId="85" borderId="0">
      <alignment vertical="center"/>
      <protection locked="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5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7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5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7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8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5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7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" fontId="23" fillId="87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6" fillId="7" borderId="0">
      <alignment horizontal="right"/>
    </xf>
    <xf numFmtId="0" fontId="127" fillId="7" borderId="0">
      <alignment horizontal="right"/>
    </xf>
    <xf numFmtId="0" fontId="128" fillId="7" borderId="35"/>
    <xf numFmtId="0" fontId="128" fillId="0" borderId="0" applyBorder="0">
      <alignment horizontal="centerContinuous"/>
    </xf>
    <xf numFmtId="0" fontId="129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5" fontId="130" fillId="0" borderId="0" applyFill="0" applyBorder="0">
      <alignment horizontal="right" vertical="center"/>
    </xf>
    <xf numFmtId="185" fontId="130" fillId="0" borderId="0" applyFill="0" applyBorder="0">
      <alignment horizontal="right" vertical="center"/>
    </xf>
    <xf numFmtId="0" fontId="131" fillId="0" borderId="0" applyFill="0" applyBorder="0">
      <alignment vertical="center"/>
    </xf>
    <xf numFmtId="0" fontId="132" fillId="0" borderId="0" applyFill="0" applyBorder="0">
      <alignment vertical="center"/>
    </xf>
    <xf numFmtId="0" fontId="133" fillId="0" borderId="0" applyFill="0" applyBorder="0">
      <alignment vertical="center"/>
    </xf>
    <xf numFmtId="0" fontId="130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4" fillId="0" borderId="0" applyFill="0" applyBorder="0">
      <alignment horizontal="left" vertical="center"/>
      <protection locked="0"/>
    </xf>
    <xf numFmtId="0" fontId="135" fillId="0" borderId="0" applyFill="0" applyBorder="0">
      <alignment horizontal="left" vertical="center"/>
    </xf>
    <xf numFmtId="196" fontId="130" fillId="0" borderId="0" applyFill="0" applyBorder="0">
      <alignment horizontal="right" vertical="center"/>
    </xf>
    <xf numFmtId="0" fontId="130" fillId="0" borderId="0" applyFill="0" applyBorder="0">
      <alignment vertical="center"/>
    </xf>
    <xf numFmtId="186" fontId="130" fillId="0" borderId="0" applyFill="0" applyBorder="0">
      <alignment horizontal="right" vertical="center"/>
    </xf>
    <xf numFmtId="197" fontId="130" fillId="0" borderId="0" applyFill="0" applyBorder="0">
      <alignment horizontal="right" vertical="center"/>
    </xf>
    <xf numFmtId="0" fontId="133" fillId="0" borderId="0" applyFill="0" applyBorder="0">
      <alignment vertical="center"/>
    </xf>
    <xf numFmtId="186" fontId="136" fillId="0" borderId="0" applyFill="0" applyBorder="0">
      <alignment horizontal="left" vertical="center"/>
    </xf>
    <xf numFmtId="0" fontId="137" fillId="0" borderId="0" applyFill="0" applyBorder="0">
      <alignment horizontal="left" vertical="center"/>
    </xf>
    <xf numFmtId="187" fontId="130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197" fontId="24" fillId="0" borderId="0" applyFill="0" applyBorder="0">
      <alignment horizontal="right"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79" fillId="0" borderId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4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2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42" fillId="0" borderId="0" applyFont="0" applyFill="0" applyBorder="0" applyAlignment="0" applyProtection="0"/>
    <xf numFmtId="0" fontId="143" fillId="0" borderId="0" applyFill="0" applyBorder="0">
      <alignment vertical="center"/>
    </xf>
    <xf numFmtId="0" fontId="144" fillId="0" borderId="0" applyFill="0" applyBorder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1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0" fillId="0" borderId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142" fillId="0" borderId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6" fontId="23" fillId="28" borderId="0" applyNumberFormat="0" applyFont="0" applyBorder="0" applyAlignment="0">
      <alignment horizontal="right"/>
    </xf>
    <xf numFmtId="0" fontId="146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9" fontId="147" fillId="0" borderId="0">
      <alignment horizont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201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2" fillId="0" borderId="0" applyFill="0" applyBorder="0">
      <alignment vertical="center"/>
    </xf>
    <xf numFmtId="0" fontId="153" fillId="0" borderId="0" applyFill="0" applyBorder="0">
      <alignment vertical="center"/>
    </xf>
    <xf numFmtId="166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6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48" fillId="0" borderId="0"/>
    <xf numFmtId="200" fontId="149" fillId="0" borderId="54">
      <alignment horizontal="right"/>
      <protection locked="0"/>
    </xf>
    <xf numFmtId="199" fontId="150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0" fillId="0" borderId="0"/>
    <xf numFmtId="0" fontId="23" fillId="0" borderId="0"/>
    <xf numFmtId="0" fontId="121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1" fillId="0" borderId="0"/>
    <xf numFmtId="0" fontId="79" fillId="0" borderId="0"/>
    <xf numFmtId="0" fontId="155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0" fillId="0" borderId="0" applyNumberFormat="0" applyFont="0" applyFill="0" applyBorder="0">
      <alignment horizontal="center" vertical="center"/>
      <protection locked="0"/>
    </xf>
    <xf numFmtId="167" fontId="24" fillId="0" borderId="0" applyFont="0" applyFill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6" fillId="0" borderId="0" applyFill="0" applyBorder="0">
      <alignment horizontal="left" vertical="center"/>
      <protection locked="0"/>
    </xf>
    <xf numFmtId="0" fontId="157" fillId="0" borderId="0" applyFill="0" applyBorder="0">
      <alignment horizontal="left" vertical="center"/>
      <protection locked="0"/>
    </xf>
    <xf numFmtId="203" fontId="24" fillId="0" borderId="0" applyFill="0" applyBorder="0">
      <alignment vertical="center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6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3" fontId="24" fillId="0" borderId="0" applyFill="0" applyBorder="0">
      <alignment vertical="center"/>
    </xf>
    <xf numFmtId="167" fontId="79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23" fillId="0" borderId="0"/>
    <xf numFmtId="0" fontId="108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8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2" fillId="84" borderId="0" applyNumberFormat="0" applyBorder="0" applyAlignment="0" applyProtection="0"/>
    <xf numFmtId="0" fontId="118" fillId="84" borderId="0" applyNumberFormat="0" applyBorder="0" applyAlignment="0" applyProtection="0"/>
    <xf numFmtId="0" fontId="118" fillId="62" borderId="0" applyNumberFormat="0" applyBorder="0" applyAlignment="0" applyProtection="0"/>
    <xf numFmtId="0" fontId="118" fillId="65" borderId="0" applyNumberFormat="0" applyBorder="0" applyAlignment="0" applyProtection="0"/>
    <xf numFmtId="0" fontId="122" fillId="69" borderId="0" applyNumberFormat="0" applyBorder="0" applyAlignment="0" applyProtection="0"/>
    <xf numFmtId="0" fontId="118" fillId="69" borderId="0" applyNumberFormat="0" applyBorder="0" applyAlignment="0" applyProtection="0"/>
    <xf numFmtId="0" fontId="118" fillId="77" borderId="0" applyNumberFormat="0" applyBorder="0" applyAlignment="0" applyProtection="0"/>
    <xf numFmtId="0" fontId="122" fillId="81" borderId="0" applyNumberFormat="0" applyBorder="0" applyAlignment="0" applyProtection="0"/>
    <xf numFmtId="0" fontId="118" fillId="81" borderId="0" applyNumberFormat="0" applyBorder="0" applyAlignment="0" applyProtection="0"/>
    <xf numFmtId="16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8" fontId="163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10" fontId="163" fillId="0" borderId="56">
      <alignment horizontal="center" vertical="center"/>
      <protection locked="0"/>
    </xf>
    <xf numFmtId="211" fontId="163" fillId="0" borderId="56">
      <alignment horizontal="right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214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5" fontId="163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4" fontId="163" fillId="0" borderId="56">
      <alignment horizontal="center" vertical="center"/>
      <protection locked="0"/>
    </xf>
    <xf numFmtId="205" fontId="163" fillId="0" borderId="56">
      <alignment horizontal="center" vertical="center"/>
      <protection locked="0"/>
    </xf>
    <xf numFmtId="206" fontId="163" fillId="0" borderId="56">
      <alignment horizontal="center" vertical="center"/>
      <protection locked="0"/>
    </xf>
    <xf numFmtId="37" fontId="163" fillId="0" borderId="56">
      <alignment horizontal="center" vertical="center"/>
      <protection locked="0"/>
    </xf>
    <xf numFmtId="207" fontId="163" fillId="0" borderId="56">
      <alignment horizontal="center" vertical="center"/>
      <protection locked="0"/>
    </xf>
    <xf numFmtId="0" fontId="163" fillId="0" borderId="56">
      <alignment horizontal="center" vertical="center"/>
      <protection locked="0"/>
    </xf>
    <xf numFmtId="208" fontId="163" fillId="0" borderId="56">
      <alignment horizontal="center"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38" fontId="23" fillId="7" borderId="0" applyNumberFormat="0" applyFont="0" applyAlignment="0"/>
    <xf numFmtId="0" fontId="161" fillId="57" borderId="0" applyNumberFormat="0" applyBorder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8" fontId="79" fillId="0" borderId="0" applyFont="0" applyFill="0" applyBorder="0" applyAlignment="0" applyProtection="0"/>
    <xf numFmtId="0" fontId="164" fillId="0" borderId="0" applyFill="0" applyBorder="0">
      <alignment vertical="center"/>
    </xf>
    <xf numFmtId="0" fontId="165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10" fontId="163" fillId="0" borderId="56">
      <alignment horizontal="center" vertical="center"/>
      <protection locked="0"/>
    </xf>
    <xf numFmtId="211" fontId="163" fillId="0" borderId="56">
      <alignment horizontal="right" vertical="center"/>
      <protection locked="0"/>
    </xf>
    <xf numFmtId="212" fontId="163" fillId="0" borderId="56">
      <alignment horizontal="center" vertical="center"/>
      <protection locked="0"/>
    </xf>
    <xf numFmtId="213" fontId="163" fillId="0" borderId="56">
      <alignment horizontal="center" vertical="center"/>
      <protection locked="0"/>
    </xf>
    <xf numFmtId="214" fontId="163" fillId="0" borderId="56">
      <alignment horizontal="center" vertical="center"/>
      <protection locked="0"/>
    </xf>
    <xf numFmtId="0" fontId="163" fillId="0" borderId="56">
      <alignment vertical="center"/>
      <protection locked="0"/>
    </xf>
    <xf numFmtId="215" fontId="163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10" fontId="163" fillId="0" borderId="0" applyFill="0" applyBorder="0">
      <alignment horizontal="center" vertical="center"/>
    </xf>
    <xf numFmtId="211" fontId="163" fillId="0" borderId="0" applyFill="0" applyBorder="0">
      <alignment horizontal="right" vertical="center"/>
    </xf>
    <xf numFmtId="212" fontId="163" fillId="0" borderId="0" applyFill="0" applyBorder="0">
      <alignment horizontal="center" vertical="center"/>
    </xf>
    <xf numFmtId="213" fontId="163" fillId="0" borderId="0" applyFill="0" applyBorder="0">
      <alignment horizontal="center" vertical="center"/>
    </xf>
    <xf numFmtId="214" fontId="163" fillId="0" borderId="0" applyFill="0" applyBorder="0">
      <alignment horizontal="center" vertical="center"/>
    </xf>
    <xf numFmtId="0" fontId="166" fillId="0" borderId="0" applyFill="0" applyBorder="0">
      <alignment horizontal="right" vertical="center"/>
    </xf>
    <xf numFmtId="215" fontId="163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7" fillId="0" borderId="0" applyProtection="0">
      <alignment horizontal="right"/>
    </xf>
    <xf numFmtId="216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4" fillId="0" borderId="0" applyFill="0" applyBorder="0">
      <alignment vertical="center"/>
    </xf>
    <xf numFmtId="217" fontId="163" fillId="0" borderId="0" applyFill="0" applyBorder="0">
      <alignment horizontal="center" vertical="center"/>
    </xf>
    <xf numFmtId="211" fontId="163" fillId="0" borderId="0" applyFill="0" applyBorder="0">
      <alignment horizontal="right" vertical="center"/>
    </xf>
    <xf numFmtId="218" fontId="163" fillId="0" borderId="0" applyFill="0" applyBorder="0">
      <alignment horizontal="center" vertical="center"/>
    </xf>
    <xf numFmtId="219" fontId="163" fillId="0" borderId="0" applyFill="0" applyBorder="0">
      <alignment horizontal="center" vertical="center"/>
    </xf>
    <xf numFmtId="220" fontId="163" fillId="0" borderId="0" applyFill="0" applyBorder="0">
      <alignment horizontal="center" vertical="center"/>
    </xf>
    <xf numFmtId="215" fontId="163" fillId="0" borderId="0" applyFill="0" applyBorder="0">
      <alignment horizontal="right" vertical="center"/>
    </xf>
    <xf numFmtId="0" fontId="168" fillId="0" borderId="0" applyFill="0" applyBorder="0">
      <alignment vertical="center"/>
    </xf>
    <xf numFmtId="0" fontId="169" fillId="0" borderId="0" applyFill="0" applyBorder="0">
      <alignment vertical="center"/>
    </xf>
    <xf numFmtId="0" fontId="166" fillId="0" borderId="0" applyFill="0" applyBorder="0">
      <alignment vertical="center"/>
    </xf>
    <xf numFmtId="0" fontId="163" fillId="0" borderId="0" applyFill="0" applyBorder="0">
      <alignment vertical="center"/>
    </xf>
    <xf numFmtId="16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8" fontId="163" fillId="0" borderId="0" applyFill="0" applyBorder="0">
      <alignment horizontal="center" vertical="center"/>
    </xf>
    <xf numFmtId="0" fontId="170" fillId="0" borderId="0" applyFill="0" applyBorder="0">
      <alignment vertical="center"/>
    </xf>
    <xf numFmtId="221" fontId="119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2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164" fontId="163" fillId="0" borderId="0" applyFill="0" applyBorder="0">
      <alignment horizontal="center" vertical="center"/>
    </xf>
    <xf numFmtId="205" fontId="163" fillId="0" borderId="0" applyFill="0" applyBorder="0">
      <alignment horizontal="center" vertical="center"/>
    </xf>
    <xf numFmtId="206" fontId="163" fillId="0" borderId="0" applyFill="0" applyBorder="0">
      <alignment horizontal="center" vertical="center"/>
    </xf>
    <xf numFmtId="37" fontId="163" fillId="0" borderId="0" applyFill="0" applyBorder="0">
      <alignment horizontal="center" vertical="center"/>
    </xf>
    <xf numFmtId="207" fontId="163" fillId="0" borderId="0" applyFill="0" applyBorder="0">
      <alignment horizontal="center" vertical="center"/>
    </xf>
    <xf numFmtId="0" fontId="163" fillId="0" borderId="0" applyFill="0" applyBorder="0">
      <alignment horizontal="center" vertical="center"/>
    </xf>
    <xf numFmtId="208" fontId="163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0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3" fontId="24" fillId="7" borderId="0"/>
    <xf numFmtId="223" fontId="24" fillId="89" borderId="54"/>
    <xf numFmtId="223" fontId="20" fillId="7" borderId="52"/>
    <xf numFmtId="224" fontId="119" fillId="0" borderId="0" applyBorder="0" applyAlignment="0">
      <protection locked="0"/>
    </xf>
    <xf numFmtId="225" fontId="121" fillId="11" borderId="0">
      <alignment horizontal="right"/>
    </xf>
    <xf numFmtId="0" fontId="171" fillId="0" borderId="0" applyFill="0" applyBorder="0">
      <alignment vertical="center"/>
    </xf>
    <xf numFmtId="210" fontId="17" fillId="0" borderId="0" applyFill="0" applyBorder="0">
      <alignment horizontal="center" vertical="center"/>
    </xf>
    <xf numFmtId="211" fontId="17" fillId="0" borderId="0" applyFill="0" applyBorder="0">
      <alignment horizontal="right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214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5" fontId="17" fillId="0" borderId="0" applyFill="0" applyBorder="0">
      <alignment horizontal="right" vertical="center"/>
    </xf>
    <xf numFmtId="0" fontId="172" fillId="0" borderId="0" applyFill="0" applyBorder="0">
      <alignment vertical="center"/>
    </xf>
    <xf numFmtId="0" fontId="173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8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4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5" fontId="24" fillId="0" borderId="0" applyFill="0" applyBorder="0">
      <alignment vertical="center"/>
    </xf>
    <xf numFmtId="195" fontId="175" fillId="0" borderId="0" applyFill="0" applyBorder="0">
      <alignment horizontal="right" vertical="center"/>
    </xf>
    <xf numFmtId="204" fontId="24" fillId="0" borderId="0" applyFill="0" applyBorder="0">
      <alignment vertical="center"/>
    </xf>
    <xf numFmtId="226" fontId="175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6" fillId="0" borderId="0" applyFill="0" applyBorder="0">
      <alignment vertical="center"/>
    </xf>
    <xf numFmtId="0" fontId="51" fillId="0" borderId="0" applyFill="0" applyBorder="0">
      <alignment vertical="center"/>
    </xf>
    <xf numFmtId="0" fontId="177" fillId="0" borderId="0" applyFill="0" applyBorder="0">
      <alignment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4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79" fillId="0" borderId="0" applyFill="0" applyBorder="0">
      <alignment horizontal="left" vertical="center"/>
    </xf>
    <xf numFmtId="196" fontId="24" fillId="0" borderId="0" applyFill="0" applyBorder="0">
      <alignment vertical="center"/>
    </xf>
    <xf numFmtId="196" fontId="175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5" fillId="0" borderId="0" applyFill="0" applyBorder="0">
      <alignment vertical="center"/>
    </xf>
    <xf numFmtId="186" fontId="24" fillId="0" borderId="0" applyFill="0" applyBorder="0">
      <alignment vertical="center"/>
    </xf>
    <xf numFmtId="172" fontId="175" fillId="0" borderId="0" applyFill="0" applyBorder="0">
      <alignment horizontal="right" vertical="center"/>
    </xf>
    <xf numFmtId="197" fontId="24" fillId="0" borderId="0" applyFill="0" applyBorder="0">
      <alignment vertical="center"/>
    </xf>
    <xf numFmtId="197" fontId="175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78" fillId="0" borderId="0" applyFill="0" applyBorder="0">
      <alignment vertical="center"/>
    </xf>
    <xf numFmtId="0" fontId="138" fillId="0" borderId="0" applyFill="0" applyBorder="0">
      <alignment vertical="center"/>
    </xf>
    <xf numFmtId="172" fontId="18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1" fillId="0" borderId="0" applyFill="0" applyBorder="0">
      <alignment horizontal="left" vertical="center"/>
    </xf>
    <xf numFmtId="203" fontId="24" fillId="0" borderId="0" applyFill="0" applyBorder="0">
      <alignment vertical="center"/>
    </xf>
    <xf numFmtId="187" fontId="175" fillId="0" borderId="0" applyFill="0" applyBorder="0">
      <alignment horizontal="right" vertical="center"/>
    </xf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38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2" fillId="0" borderId="0" applyFill="0" applyBorder="0" applyProtection="0">
      <alignment horizontal="left"/>
    </xf>
    <xf numFmtId="38" fontId="120" fillId="0" borderId="0" applyNumberForma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8" fillId="0" borderId="0" applyFont="0" applyFill="0" applyBorder="0" applyAlignment="0" applyProtection="0"/>
    <xf numFmtId="0" fontId="162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2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9" fillId="0" borderId="0" applyFill="0" applyBorder="0">
      <alignment vertical="center"/>
    </xf>
    <xf numFmtId="0" fontId="139" fillId="0" borderId="0" applyFill="0" applyBorder="0">
      <alignment vertical="center"/>
    </xf>
    <xf numFmtId="0" fontId="156" fillId="0" borderId="0" applyFill="0" applyBorder="0">
      <alignment vertical="center"/>
    </xf>
    <xf numFmtId="0" fontId="156" fillId="0" borderId="0" applyFill="0" applyBorder="0">
      <alignment vertical="center"/>
    </xf>
    <xf numFmtId="16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18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18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18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18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18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18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18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18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18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9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109" fillId="57" borderId="0" applyNumberFormat="0" applyBorder="0" applyAlignment="0" applyProtection="0"/>
    <xf numFmtId="0" fontId="29" fillId="27" borderId="0" applyNumberFormat="0" applyBorder="0" applyAlignment="0" applyProtection="0"/>
    <xf numFmtId="0" fontId="109" fillId="57" borderId="0" applyNumberFormat="0" applyBorder="0" applyAlignment="0" applyProtection="0"/>
    <xf numFmtId="0" fontId="33" fillId="13" borderId="58" applyNumberFormat="0" applyAlignment="0" applyProtection="0"/>
    <xf numFmtId="0" fontId="112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9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4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8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3" fillId="0" borderId="59" applyNumberFormat="0" applyFill="0" applyAlignment="0" applyProtection="0"/>
    <xf numFmtId="0" fontId="18" fillId="0" borderId="0" applyFill="0" applyBorder="0">
      <alignment vertical="center"/>
    </xf>
    <xf numFmtId="0" fontId="183" fillId="0" borderId="59" applyNumberFormat="0" applyFill="0" applyAlignment="0" applyProtection="0"/>
    <xf numFmtId="0" fontId="105" fillId="0" borderId="43" applyNumberFormat="0" applyFill="0" applyAlignment="0" applyProtection="0"/>
    <xf numFmtId="0" fontId="183" fillId="0" borderId="59" applyNumberFormat="0" applyFill="0" applyAlignment="0" applyProtection="0"/>
    <xf numFmtId="0" fontId="183" fillId="0" borderId="59" applyNumberFormat="0" applyFill="0" applyAlignment="0" applyProtection="0"/>
    <xf numFmtId="0" fontId="184" fillId="0" borderId="60" applyNumberFormat="0" applyFill="0" applyAlignment="0" applyProtection="0"/>
    <xf numFmtId="0" fontId="51" fillId="0" borderId="0" applyFill="0" applyBorder="0">
      <alignment vertical="center"/>
    </xf>
    <xf numFmtId="0" fontId="184" fillId="0" borderId="60" applyNumberFormat="0" applyFill="0" applyAlignment="0" applyProtection="0"/>
    <xf numFmtId="0" fontId="106" fillId="0" borderId="44" applyNumberFormat="0" applyFill="0" applyAlignment="0" applyProtection="0"/>
    <xf numFmtId="0" fontId="184" fillId="0" borderId="60" applyNumberFormat="0" applyFill="0" applyAlignment="0" applyProtection="0"/>
    <xf numFmtId="0" fontId="184" fillId="0" borderId="60" applyNumberFormat="0" applyFill="0" applyAlignment="0" applyProtection="0"/>
    <xf numFmtId="0" fontId="154" fillId="0" borderId="61" applyNumberFormat="0" applyFill="0" applyAlignment="0" applyProtection="0"/>
    <xf numFmtId="0" fontId="20" fillId="0" borderId="0" applyFill="0" applyBorder="0">
      <alignment vertical="center"/>
    </xf>
    <xf numFmtId="0" fontId="154" fillId="0" borderId="61" applyNumberFormat="0" applyFill="0" applyAlignment="0" applyProtection="0"/>
    <xf numFmtId="0" fontId="107" fillId="0" borderId="45" applyNumberFormat="0" applyFill="0" applyAlignment="0" applyProtection="0"/>
    <xf numFmtId="0" fontId="154" fillId="0" borderId="61" applyNumberFormat="0" applyFill="0" applyAlignment="0" applyProtection="0"/>
    <xf numFmtId="0" fontId="154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3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5" fillId="0" borderId="0"/>
    <xf numFmtId="0" fontId="37" fillId="0" borderId="0"/>
    <xf numFmtId="0" fontId="185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23" fillId="0" borderId="0"/>
    <xf numFmtId="0" fontId="121" fillId="0" borderId="0"/>
    <xf numFmtId="0" fontId="23" fillId="0" borderId="0"/>
    <xf numFmtId="0" fontId="25" fillId="0" borderId="0"/>
    <xf numFmtId="0" fontId="23" fillId="0" borderId="0"/>
    <xf numFmtId="0" fontId="12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1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6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1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1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5" fontId="24" fillId="0" borderId="0" applyFill="0" applyBorder="0">
      <alignment vertical="center"/>
    </xf>
    <xf numFmtId="204" fontId="24" fillId="0" borderId="0" applyFill="0" applyBorder="0">
      <alignment vertical="center"/>
    </xf>
    <xf numFmtId="196" fontId="24" fillId="0" borderId="0" applyFill="0" applyBorder="0">
      <alignment vertical="center"/>
    </xf>
    <xf numFmtId="186" fontId="24" fillId="0" borderId="0" applyFill="0" applyBorder="0">
      <alignment vertical="center"/>
    </xf>
    <xf numFmtId="197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38" fillId="0" borderId="0" applyFill="0" applyBorder="0">
      <alignment vertical="center"/>
    </xf>
    <xf numFmtId="0" fontId="18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7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79" fillId="0" borderId="0"/>
    <xf numFmtId="168" fontId="79" fillId="0" borderId="0" applyFont="0" applyFill="0" applyBorder="0" applyAlignment="0" applyProtection="0"/>
    <xf numFmtId="0" fontId="160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88" fillId="0" borderId="0" applyFill="0" applyBorder="0">
      <alignment vertical="center"/>
    </xf>
    <xf numFmtId="0" fontId="189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0" fillId="0" borderId="0" applyFill="0" applyBorder="0">
      <alignment vertical="center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204" fontId="24" fillId="0" borderId="55">
      <alignment vertical="center"/>
      <protection locked="0"/>
    </xf>
    <xf numFmtId="204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7" fontId="24" fillId="0" borderId="55">
      <alignment vertical="center"/>
      <protection locked="0"/>
    </xf>
    <xf numFmtId="197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168" fontId="23" fillId="0" borderId="0" applyFont="0" applyFill="0" applyBorder="0" applyAlignment="0" applyProtection="0"/>
    <xf numFmtId="0" fontId="163" fillId="0" borderId="57" applyFill="0">
      <alignment horizontal="center" vertical="center"/>
    </xf>
    <xf numFmtId="0" fontId="166" fillId="0" borderId="57" applyFill="0">
      <alignment horizontal="center" vertical="center"/>
    </xf>
    <xf numFmtId="222" fontId="163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39" fillId="0" borderId="0" applyFill="0" applyBorder="0">
      <alignment horizontal="left" vertical="center"/>
      <protection locked="0"/>
    </xf>
    <xf numFmtId="0" fontId="79" fillId="0" borderId="0"/>
    <xf numFmtId="0" fontId="190" fillId="0" borderId="0" applyFill="0" applyBorder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</cellStyleXfs>
  <cellXfs count="174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 applyAlignment="1">
      <alignment horizontal="center"/>
    </xf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24" fillId="55" borderId="24" xfId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0" fontId="19" fillId="55" borderId="25" xfId="0" applyFont="1" applyFill="1" applyBorder="1" applyAlignment="1">
      <alignment horizontal="center" vertical="center"/>
    </xf>
    <xf numFmtId="0" fontId="19" fillId="55" borderId="25" xfId="0" applyFont="1" applyFill="1" applyBorder="1" applyAlignment="1" applyProtection="1">
      <alignment horizontal="center" vertical="center"/>
      <protection locked="0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169" fontId="24" fillId="55" borderId="2" xfId="0" applyNumberFormat="1" applyFont="1" applyFill="1" applyBorder="1" applyAlignment="1">
      <alignment horizontal="right" vertical="center"/>
    </xf>
    <xf numFmtId="169" fontId="24" fillId="55" borderId="37" xfId="0" applyNumberFormat="1" applyFont="1" applyFill="1" applyBorder="1" applyAlignment="1">
      <alignment horizontal="right" vertical="center"/>
    </xf>
    <xf numFmtId="169" fontId="24" fillId="55" borderId="6" xfId="0" applyNumberFormat="1" applyFont="1" applyFill="1" applyBorder="1" applyAlignment="1">
      <alignment horizontal="right" vertical="center"/>
    </xf>
    <xf numFmtId="168" fontId="24" fillId="55" borderId="2" xfId="302" applyFont="1" applyFill="1" applyBorder="1" applyAlignment="1">
      <alignment horizontal="right" vertical="center"/>
    </xf>
    <xf numFmtId="168" fontId="24" fillId="55" borderId="37" xfId="302" applyFont="1" applyFill="1" applyBorder="1" applyAlignment="1">
      <alignment horizontal="right" vertical="center"/>
    </xf>
    <xf numFmtId="2" fontId="15" fillId="55" borderId="4" xfId="0" applyNumberFormat="1" applyFont="1" applyFill="1" applyBorder="1"/>
    <xf numFmtId="2" fontId="15" fillId="55" borderId="38" xfId="0" applyNumberFormat="1" applyFont="1" applyFill="1" applyBorder="1"/>
    <xf numFmtId="2" fontId="15" fillId="55" borderId="0" xfId="0" applyNumberFormat="1" applyFont="1" applyFill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0" xfId="0" applyNumberFormat="1" applyFont="1" applyFill="1" applyBorder="1" applyAlignment="1">
      <alignment horizontal="right"/>
    </xf>
    <xf numFmtId="2" fontId="15" fillId="55" borderId="36" xfId="0" applyNumberFormat="1" applyFont="1" applyFill="1" applyBorder="1" applyAlignment="1">
      <alignment horizontal="right"/>
    </xf>
    <xf numFmtId="189" fontId="20" fillId="55" borderId="24" xfId="55" applyNumberFormat="1" applyFont="1" applyFill="1" applyBorder="1" applyAlignment="1" applyProtection="1">
      <alignment horizontal="center" vertical="center"/>
    </xf>
    <xf numFmtId="10" fontId="101" fillId="53" borderId="0" xfId="268" applyNumberFormat="1" applyFont="1" applyFill="1" applyAlignment="1">
      <alignment horizontal="center" vertical="center"/>
    </xf>
    <xf numFmtId="0" fontId="88" fillId="3" borderId="23" xfId="3" applyFont="1" applyFill="1" applyBorder="1" applyAlignment="1">
      <alignment horizontal="center"/>
    </xf>
  </cellXfs>
  <cellStyles count="45866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1 5" xfId="45865" xr:uid="{1C718504-5C6E-4EE3-8CE4-D8E015B9E2D1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." xfId="649" xr:uid="{00000000-0005-0000-0000-000061740000}"/>
    <cellStyle name="Heading 4. 2" xfId="706" xr:uid="{00000000-0005-0000-0000-000062740000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10" xfId="45864" xr:uid="{8EA26A10-6961-45A0-A294-D201D41C79B8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 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3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FF00FF"/>
      <color rgb="FFCCCC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zoomScale="115" zoomScaleNormal="115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TasNetworks (T) 2024-29 Revised Proposal - Capital expenditure sharing scheme model</v>
      </c>
      <c r="D1" s="4"/>
      <c r="E1" s="4"/>
    </row>
    <row r="2" spans="2:13" ht="18" customHeight="1">
      <c r="B2" s="27" t="s">
        <v>30</v>
      </c>
    </row>
    <row r="3" spans="2:13" ht="3" customHeight="1">
      <c r="C3" s="2"/>
    </row>
    <row r="4" spans="2:13" s="8" customFormat="1" ht="12.75" customHeight="1">
      <c r="C4" s="23" t="s">
        <v>31</v>
      </c>
      <c r="D4" s="7"/>
      <c r="E4" s="7"/>
    </row>
    <row r="5" spans="2:13" ht="11.25" customHeight="1"/>
    <row r="6" spans="2:13" ht="11.25" customHeight="1">
      <c r="C6" s="25" t="s">
        <v>32</v>
      </c>
      <c r="D6" s="25" t="s">
        <v>33</v>
      </c>
      <c r="E6" s="25"/>
    </row>
    <row r="7" spans="2:13" ht="11.25" customHeight="1">
      <c r="C7" s="90" t="s">
        <v>35</v>
      </c>
      <c r="D7" s="26" t="s">
        <v>46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0" t="s">
        <v>79</v>
      </c>
      <c r="D8" s="26" t="s">
        <v>78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0" t="s">
        <v>55</v>
      </c>
      <c r="D9" s="26" t="s">
        <v>38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0" t="s">
        <v>58</v>
      </c>
      <c r="D10" s="26" t="s">
        <v>39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0" t="s">
        <v>80</v>
      </c>
      <c r="D11" s="26" t="s">
        <v>54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0"/>
      <c r="D12" s="26"/>
      <c r="E12" s="26"/>
      <c r="F12" s="24"/>
      <c r="G12" s="24"/>
      <c r="H12" s="24"/>
      <c r="I12" s="24"/>
      <c r="J12" s="24"/>
      <c r="K12" s="24"/>
      <c r="L12" s="24"/>
      <c r="M12" s="24"/>
    </row>
    <row r="13" spans="2:13" s="8" customFormat="1" ht="12.6" customHeight="1">
      <c r="C13" s="23" t="s">
        <v>34</v>
      </c>
      <c r="D13" s="7"/>
      <c r="E13" s="7"/>
    </row>
    <row r="22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9.28515625" style="11" customWidth="1"/>
    <col min="11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TasNetworks (T) 2024-29 Revised Proposal - Capital expenditure sharing scheme model</v>
      </c>
      <c r="F1" s="87"/>
      <c r="G1" s="88" t="s">
        <v>47</v>
      </c>
      <c r="H1" s="127" t="s">
        <v>48</v>
      </c>
      <c r="I1" s="132" t="s">
        <v>36</v>
      </c>
      <c r="M1" s="89"/>
    </row>
    <row r="2" spans="1:13" s="2" customFormat="1" ht="18" customHeight="1">
      <c r="B2" s="10" t="s">
        <v>35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35</v>
      </c>
    </row>
    <row r="5" spans="1:13" s="24" customFormat="1" ht="11.25" customHeight="1">
      <c r="C5" s="25"/>
    </row>
    <row r="6" spans="1:13" s="60" customFormat="1" ht="11.25" customHeight="1">
      <c r="C6" s="59" t="s">
        <v>0</v>
      </c>
      <c r="D6" s="128" t="s">
        <v>101</v>
      </c>
      <c r="J6" s="69"/>
      <c r="K6" s="69"/>
      <c r="L6" s="69"/>
      <c r="M6" s="69"/>
    </row>
    <row r="7" spans="1:13" s="60" customFormat="1" ht="11.25" customHeight="1">
      <c r="C7" s="59" t="s">
        <v>89</v>
      </c>
      <c r="D7" s="128" t="s">
        <v>105</v>
      </c>
      <c r="I7" s="69"/>
      <c r="J7" s="69"/>
      <c r="K7" s="69"/>
      <c r="L7" s="69"/>
    </row>
    <row r="8" spans="1:13" s="60" customFormat="1" ht="11.25" customHeight="1">
      <c r="C8" s="59" t="s">
        <v>90</v>
      </c>
      <c r="D8" s="128" t="s">
        <v>99</v>
      </c>
      <c r="J8" s="69"/>
      <c r="K8" s="69"/>
      <c r="L8" s="69"/>
      <c r="M8" s="69"/>
    </row>
    <row r="9" spans="1:13" s="60" customFormat="1" ht="11.25" customHeight="1">
      <c r="C9" s="59" t="s">
        <v>102</v>
      </c>
      <c r="D9" s="128" t="s">
        <v>100</v>
      </c>
      <c r="J9" s="69"/>
      <c r="K9" s="69"/>
      <c r="L9" s="69"/>
      <c r="M9" s="69"/>
    </row>
    <row r="10" spans="1:13" s="60" customFormat="1" ht="11.25" customHeight="1">
      <c r="C10" s="59"/>
      <c r="J10" s="69"/>
      <c r="K10" s="69"/>
      <c r="L10" s="69"/>
      <c r="M10" s="69"/>
    </row>
    <row r="11" spans="1:13" s="60" customFormat="1" ht="11.25" customHeight="1">
      <c r="C11" s="78" t="s">
        <v>88</v>
      </c>
      <c r="J11" s="69"/>
      <c r="K11" s="69"/>
      <c r="L11" s="69"/>
      <c r="M11" s="69"/>
    </row>
    <row r="12" spans="1:13" s="60" customFormat="1" ht="11.25" customHeight="1">
      <c r="C12" s="59"/>
      <c r="D12" s="61" t="s">
        <v>63</v>
      </c>
      <c r="E12" s="61" t="s">
        <v>64</v>
      </c>
      <c r="F12" s="61" t="s">
        <v>65</v>
      </c>
      <c r="G12" s="61" t="s">
        <v>66</v>
      </c>
      <c r="H12" s="61" t="s">
        <v>67</v>
      </c>
      <c r="J12" s="69"/>
      <c r="K12" s="69"/>
      <c r="L12" s="69"/>
      <c r="M12" s="69"/>
    </row>
    <row r="13" spans="1:13" s="60" customFormat="1" ht="11.25" customHeight="1">
      <c r="C13" s="59" t="s">
        <v>61</v>
      </c>
      <c r="D13" s="154" t="str">
        <f t="shared" ref="D13:F13" si="0">IF(LEN(E13)&gt;4,CONCATENATE(LEFT(E13,4)-1&amp;"–"&amp;IF(RIGHT(E13,2)="00","99",IF(RIGHT(E13,2)-1&lt;10,"0","")&amp;RIGHT(E13,2)-1)),E13-1)</f>
        <v>2019–20</v>
      </c>
      <c r="E13" s="154" t="str">
        <f t="shared" si="0"/>
        <v>2020–21</v>
      </c>
      <c r="F13" s="154" t="str">
        <f t="shared" si="0"/>
        <v>2021–22</v>
      </c>
      <c r="G13" s="154" t="str">
        <f>IF(LEN(H13)&gt;4,CONCATENATE(LEFT(H13,4)-1&amp;"–"&amp;IF(RIGHT(H13,2)="00","99",IF(RIGHT(H13,2)-1&lt;10,"0","")&amp;RIGHT(H13,2)-1)),H13-1)</f>
        <v>2022–23</v>
      </c>
      <c r="H13" s="154" t="str">
        <f>IF(LEN(D9)&gt;4,CONCATENATE(LEFT(D9,4)-1&amp;"–"&amp;IF(RIGHT(D9,2)="00","99",IF(RIGHT(D9,2)-1&lt;10,"0","")&amp;RIGHT(D9,2)-1)),D9-1)</f>
        <v>2023–24</v>
      </c>
      <c r="J13" s="69"/>
      <c r="K13" s="69"/>
      <c r="L13" s="69"/>
      <c r="M13" s="69"/>
    </row>
    <row r="14" spans="1:13" s="60" customFormat="1" ht="11.25" customHeight="1">
      <c r="C14" s="59" t="s">
        <v>1</v>
      </c>
      <c r="D14" s="128" t="s">
        <v>8</v>
      </c>
      <c r="E14" s="128" t="s">
        <v>8</v>
      </c>
      <c r="F14" s="128" t="s">
        <v>8</v>
      </c>
      <c r="G14" s="128" t="s">
        <v>8</v>
      </c>
      <c r="H14" s="128" t="s">
        <v>8</v>
      </c>
      <c r="J14" s="69"/>
      <c r="K14" s="69"/>
      <c r="L14" s="69"/>
      <c r="M14" s="69"/>
    </row>
    <row r="15" spans="1:13" s="60" customFormat="1" ht="11.25" customHeight="1">
      <c r="C15" s="59" t="s">
        <v>2</v>
      </c>
      <c r="D15" s="128" t="s">
        <v>7</v>
      </c>
      <c r="E15" s="128" t="s">
        <v>7</v>
      </c>
      <c r="F15" s="128" t="s">
        <v>7</v>
      </c>
      <c r="G15" s="128" t="s">
        <v>29</v>
      </c>
      <c r="H15" s="128" t="s">
        <v>29</v>
      </c>
      <c r="J15" s="69"/>
      <c r="K15" s="69"/>
      <c r="L15" s="69"/>
      <c r="M15" s="69"/>
    </row>
    <row r="16" spans="1:13" s="60" customFormat="1" ht="11.25" customHeight="1">
      <c r="C16" s="59"/>
      <c r="D16" s="69"/>
      <c r="E16" s="69"/>
      <c r="F16" s="69"/>
      <c r="G16" s="69"/>
      <c r="H16" s="69"/>
      <c r="J16" s="69"/>
      <c r="K16" s="69"/>
      <c r="L16" s="69"/>
      <c r="M16" s="69"/>
    </row>
    <row r="17" spans="1:13" s="60" customFormat="1" ht="11.25" customHeight="1">
      <c r="C17" s="59"/>
      <c r="D17" s="61" t="s">
        <v>63</v>
      </c>
      <c r="E17" s="61" t="s">
        <v>64</v>
      </c>
      <c r="F17" s="61" t="s">
        <v>65</v>
      </c>
      <c r="G17" s="61" t="s">
        <v>66</v>
      </c>
      <c r="H17" s="61" t="s">
        <v>67</v>
      </c>
      <c r="J17" s="69"/>
      <c r="K17" s="69"/>
      <c r="L17" s="69"/>
      <c r="M17" s="69"/>
    </row>
    <row r="18" spans="1:13" s="60" customFormat="1" ht="11.25" customHeight="1">
      <c r="C18" s="59" t="s">
        <v>62</v>
      </c>
      <c r="D18" s="154" t="str">
        <f>D9</f>
        <v>2024-25</v>
      </c>
      <c r="E18" s="154" t="str">
        <f>IF(LEN(D18)&gt;4,CONCATENATE(LEFT(D18,4)+1&amp;"–"&amp;IF(RIGHT(D18,2)+1&gt;9,"","0")&amp;RIGHT(D18,2)+1),D18+1)</f>
        <v>2025–26</v>
      </c>
      <c r="F18" s="154" t="str">
        <f t="shared" ref="F18:H18" si="1">IF(LEN(E18)&gt;4,CONCATENATE(LEFT(E18,4)+1&amp;"–"&amp;IF(RIGHT(E18,2)+1&gt;9,"","0")&amp;RIGHT(E18,2)+1),E18+1)</f>
        <v>2026–27</v>
      </c>
      <c r="G18" s="154" t="str">
        <f t="shared" si="1"/>
        <v>2027–28</v>
      </c>
      <c r="H18" s="154" t="str">
        <f t="shared" si="1"/>
        <v>2028–29</v>
      </c>
      <c r="J18" s="69"/>
      <c r="K18" s="69"/>
      <c r="L18" s="69"/>
      <c r="M18" s="69"/>
    </row>
    <row r="19" spans="1:13" s="60" customFormat="1" ht="11.25" customHeight="1">
      <c r="C19" s="69"/>
      <c r="D19" s="69"/>
      <c r="E19" s="69"/>
      <c r="F19" s="69"/>
      <c r="G19" s="69"/>
      <c r="H19" s="69"/>
      <c r="J19" s="69"/>
      <c r="K19" s="69"/>
      <c r="L19" s="69"/>
      <c r="M19" s="69"/>
    </row>
    <row r="20" spans="1:13" s="53" customFormat="1" ht="12.75" customHeight="1">
      <c r="A20" s="8"/>
      <c r="B20" s="23" t="s">
        <v>34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99"/>
  </sheetPr>
  <dimension ref="A1:AF28"/>
  <sheetViews>
    <sheetView zoomScale="115" zoomScaleNormal="115" workbookViewId="0"/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TasNetworks (T) 2024-29 Revised Proposal - Capital expenditure sharing scheme model</v>
      </c>
      <c r="D1" s="3"/>
      <c r="E1" s="3"/>
      <c r="F1" s="3"/>
      <c r="G1" s="87"/>
      <c r="I1" s="88" t="s">
        <v>47</v>
      </c>
      <c r="J1" s="127" t="s">
        <v>48</v>
      </c>
      <c r="K1" s="132" t="s">
        <v>36</v>
      </c>
      <c r="N1" s="89"/>
      <c r="O1" s="69"/>
      <c r="P1" s="69"/>
      <c r="Q1" s="69"/>
      <c r="R1" s="69"/>
      <c r="S1" s="69"/>
      <c r="T1" s="69"/>
    </row>
    <row r="2" spans="1:20" s="2" customFormat="1" ht="18" customHeight="1">
      <c r="C2" s="10" t="s">
        <v>91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1" customFormat="1" ht="12.75" customHeight="1">
      <c r="C4" s="23" t="s">
        <v>43</v>
      </c>
      <c r="D4" s="72"/>
      <c r="E4" s="72"/>
      <c r="F4" s="72"/>
      <c r="M4" s="73"/>
    </row>
    <row r="5" spans="1:20" ht="11.25" customHeight="1">
      <c r="A5" s="2"/>
      <c r="B5" s="2"/>
      <c r="C5" s="13"/>
      <c r="D5" s="69"/>
      <c r="E5" s="69"/>
      <c r="F5" s="69"/>
      <c r="N5" s="2"/>
    </row>
    <row r="6" spans="1:20" ht="11.25" customHeight="1">
      <c r="A6" s="2"/>
      <c r="B6" s="2"/>
      <c r="C6" s="13"/>
      <c r="D6" s="65" t="s">
        <v>6</v>
      </c>
      <c r="E6" s="65" t="s">
        <v>52</v>
      </c>
      <c r="F6" s="65"/>
      <c r="N6" s="2"/>
    </row>
    <row r="7" spans="1:20" ht="11.25" customHeight="1">
      <c r="A7" s="2"/>
      <c r="B7" s="2"/>
      <c r="C7" s="13"/>
      <c r="D7" s="69"/>
      <c r="E7" s="69"/>
      <c r="F7" s="142" t="str">
        <f>IF(LEN(G7)&gt;4,CONCATENATE(LEFT(G7,4)-1&amp;"–"&amp;IF(RIGHT(G7,2)="00","99",IF(RIGHT(G7,2)-1&lt;10,"0","")&amp;RIGHT(G7,2)-1)),G7-1)</f>
        <v>2018–19</v>
      </c>
      <c r="G7" s="141" t="str">
        <f>'Input | General'!D13</f>
        <v>2019–20</v>
      </c>
      <c r="H7" s="141" t="str">
        <f>'Input | General'!E13</f>
        <v>2020–21</v>
      </c>
      <c r="I7" s="141" t="str">
        <f>'Input | General'!F13</f>
        <v>2021–22</v>
      </c>
      <c r="J7" s="141" t="str">
        <f>'Input | General'!G13</f>
        <v>2022–23</v>
      </c>
      <c r="K7" s="141" t="str">
        <f>'Input | General'!H13</f>
        <v>2023–24</v>
      </c>
      <c r="L7" s="141" t="str">
        <f>'Input | General'!D18</f>
        <v>2024-25</v>
      </c>
      <c r="M7" s="141" t="str">
        <f>'Input | General'!E18</f>
        <v>2025–26</v>
      </c>
      <c r="N7" s="141" t="str">
        <f>'Input | General'!F18</f>
        <v>2026–27</v>
      </c>
      <c r="O7" s="141" t="str">
        <f>'Input | General'!G18</f>
        <v>2027–28</v>
      </c>
      <c r="P7" s="141" t="str">
        <f>'Input | General'!H18</f>
        <v>2028–29</v>
      </c>
    </row>
    <row r="8" spans="1:20" ht="11.25" customHeight="1">
      <c r="A8" s="2"/>
      <c r="B8" s="2"/>
      <c r="C8" s="70" t="s">
        <v>81</v>
      </c>
      <c r="D8" s="68" t="s">
        <v>86</v>
      </c>
      <c r="E8" s="68" t="s">
        <v>51</v>
      </c>
      <c r="F8" s="153"/>
      <c r="G8" s="129">
        <v>1.8404907975460238E-2</v>
      </c>
      <c r="H8" s="129">
        <v>8.6058519793459354E-3</v>
      </c>
      <c r="I8" s="129">
        <v>3.5000000000000003E-2</v>
      </c>
      <c r="J8" s="129">
        <v>0.08</v>
      </c>
      <c r="K8" s="129">
        <v>4.7E-2</v>
      </c>
      <c r="L8" s="76"/>
      <c r="M8" s="76"/>
      <c r="N8" s="76"/>
      <c r="O8" s="76"/>
      <c r="P8" s="76"/>
    </row>
    <row r="9" spans="1:20" ht="11.25" customHeight="1">
      <c r="A9" s="2"/>
      <c r="B9" s="2"/>
      <c r="C9" s="70" t="s">
        <v>82</v>
      </c>
      <c r="D9" s="68" t="s">
        <v>86</v>
      </c>
      <c r="E9" s="68" t="s">
        <v>51</v>
      </c>
      <c r="F9" s="68"/>
      <c r="G9" s="106"/>
      <c r="H9" s="106"/>
      <c r="I9" s="106"/>
      <c r="J9" s="106"/>
      <c r="K9" s="106"/>
      <c r="L9" s="129">
        <v>3.0599999999999999E-2</v>
      </c>
      <c r="M9" s="116">
        <f t="shared" ref="M9:P9" si="0">L9</f>
        <v>3.0599999999999999E-2</v>
      </c>
      <c r="N9" s="116">
        <f t="shared" si="0"/>
        <v>3.0599999999999999E-2</v>
      </c>
      <c r="O9" s="116">
        <f t="shared" si="0"/>
        <v>3.0599999999999999E-2</v>
      </c>
      <c r="P9" s="116">
        <f t="shared" si="0"/>
        <v>3.0599999999999999E-2</v>
      </c>
    </row>
    <row r="10" spans="1:20" ht="11.25" customHeight="1">
      <c r="A10" s="2"/>
      <c r="B10" s="2"/>
      <c r="C10" s="114" t="str">
        <f>"CPI Index (base year "&amp;F7&amp;")"</f>
        <v>CPI Index (base year 2018–19)</v>
      </c>
      <c r="D10" s="68" t="s">
        <v>86</v>
      </c>
      <c r="E10" s="68" t="s">
        <v>30</v>
      </c>
      <c r="F10" s="112">
        <v>1</v>
      </c>
      <c r="G10" s="103">
        <f>IF(G7&lt;&gt;"",(F10*(1+G8)),"")</f>
        <v>1.0184049079754602</v>
      </c>
      <c r="H10" s="103">
        <f>IF(H7&lt;&gt;"",(G10*(1+H8)),"")</f>
        <v>1.0271691498685365</v>
      </c>
      <c r="I10" s="103">
        <f>IF(I7&lt;&gt;"",(H10*(1+I8)),"")</f>
        <v>1.0631200701139352</v>
      </c>
      <c r="J10" s="103">
        <f>IF(J7&lt;&gt;"",(I10*(1+J8)),"")</f>
        <v>1.14816967572305</v>
      </c>
      <c r="K10" s="103">
        <f>IF(K7&lt;&gt;"",(J10*(1+K8)),"")</f>
        <v>1.2021336504820332</v>
      </c>
      <c r="L10" s="77">
        <f t="shared" ref="L10:P10" si="1">IF(L7&lt;&gt;"",(K10*(1+L9)),"")</f>
        <v>1.2389189401867835</v>
      </c>
      <c r="M10" s="77">
        <f t="shared" si="1"/>
        <v>1.2768298597564991</v>
      </c>
      <c r="N10" s="77">
        <f t="shared" si="1"/>
        <v>1.3159008534650478</v>
      </c>
      <c r="O10" s="77">
        <f t="shared" si="1"/>
        <v>1.3561674195810782</v>
      </c>
      <c r="P10" s="77">
        <f t="shared" si="1"/>
        <v>1.3976661426202592</v>
      </c>
    </row>
    <row r="11" spans="1:20" ht="11.25" customHeight="1">
      <c r="A11" s="2"/>
      <c r="B11" s="2"/>
      <c r="C11" s="70"/>
      <c r="D11" s="68"/>
      <c r="E11" s="68"/>
      <c r="F11" s="68"/>
      <c r="G11" s="76"/>
      <c r="H11" s="76"/>
      <c r="I11" s="76"/>
      <c r="J11" s="76"/>
      <c r="K11" s="107"/>
      <c r="L11" s="107"/>
      <c r="M11" s="107"/>
      <c r="N11" s="107"/>
      <c r="O11" s="107"/>
      <c r="P11" s="107"/>
    </row>
    <row r="12" spans="1:20" ht="11.25" customHeight="1">
      <c r="A12" s="2"/>
      <c r="B12" s="2"/>
      <c r="C12" s="70"/>
      <c r="D12" s="68"/>
      <c r="E12" s="68"/>
      <c r="F12" s="68"/>
      <c r="G12" s="105"/>
      <c r="H12" s="105"/>
      <c r="I12" s="105"/>
      <c r="J12" s="105"/>
      <c r="K12" s="105"/>
      <c r="L12" s="19"/>
      <c r="M12" s="19"/>
    </row>
    <row r="13" spans="1:20" ht="11.25" customHeight="1">
      <c r="A13" s="2"/>
      <c r="B13" s="2"/>
      <c r="C13" s="70" t="s">
        <v>81</v>
      </c>
      <c r="D13" s="68" t="s">
        <v>49</v>
      </c>
      <c r="E13" s="68" t="s">
        <v>51</v>
      </c>
      <c r="F13" s="153"/>
      <c r="G13" s="172">
        <v>1.8404907975460238E-2</v>
      </c>
      <c r="H13" s="172">
        <v>8.6058519793459354E-3</v>
      </c>
      <c r="I13" s="172">
        <v>3.4982935153583528E-2</v>
      </c>
      <c r="J13" s="172">
        <v>7.8318219291014096E-2</v>
      </c>
      <c r="K13" s="172">
        <v>4.1000000000000002E-2</v>
      </c>
      <c r="L13" s="105"/>
      <c r="M13" s="105"/>
      <c r="N13" s="105"/>
      <c r="O13" s="105"/>
      <c r="P13" s="105"/>
    </row>
    <row r="14" spans="1:20" ht="11.25" customHeight="1">
      <c r="A14" s="2"/>
      <c r="B14" s="2"/>
      <c r="C14" s="70" t="s">
        <v>82</v>
      </c>
      <c r="D14" s="68" t="s">
        <v>49</v>
      </c>
      <c r="E14" s="68" t="s">
        <v>51</v>
      </c>
      <c r="F14" s="68"/>
      <c r="G14" s="76"/>
      <c r="H14" s="76"/>
      <c r="I14" s="76"/>
      <c r="J14" s="76"/>
      <c r="K14" s="76"/>
      <c r="L14" s="129">
        <v>2.7997811278454687E-2</v>
      </c>
      <c r="M14" s="129">
        <v>2.7997811278454687E-2</v>
      </c>
      <c r="N14" s="129">
        <v>2.7997811278454687E-2</v>
      </c>
      <c r="O14" s="129">
        <v>2.7997811278454687E-2</v>
      </c>
      <c r="P14" s="129">
        <v>2.7997811278454687E-2</v>
      </c>
    </row>
    <row r="15" spans="1:20" ht="11.25" customHeight="1">
      <c r="A15" s="2"/>
      <c r="B15" s="2"/>
      <c r="C15" s="114" t="str">
        <f>"CPI Index (base year "&amp;F7&amp;")"</f>
        <v>CPI Index (base year 2018–19)</v>
      </c>
      <c r="D15" s="68" t="s">
        <v>49</v>
      </c>
      <c r="E15" s="68" t="s">
        <v>30</v>
      </c>
      <c r="F15" s="112">
        <v>1</v>
      </c>
      <c r="G15" s="103">
        <f>IF(G7&lt;&gt;"",(F15*(1+G13)),"")</f>
        <v>1.0184049079754602</v>
      </c>
      <c r="H15" s="103">
        <f>IF(H7&lt;&gt;"",(G15*(1+H13)),"")</f>
        <v>1.0271691498685365</v>
      </c>
      <c r="I15" s="103">
        <f>IF(I7&lt;&gt;"",(H15*(1+I13)),"")</f>
        <v>1.0631025416301489</v>
      </c>
      <c r="J15" s="103">
        <f>IF(J7&lt;&gt;"",(I15*(1+J13)),"")</f>
        <v>1.1463628396143735</v>
      </c>
      <c r="K15" s="77">
        <f>IF(K7&lt;&gt;"",(J15*(1+K13)),"")</f>
        <v>1.1933637160385626</v>
      </c>
      <c r="L15" s="77">
        <f t="shared" ref="L15:P15" si="2">IF(L7&lt;&gt;"",(K15*(1+L14)),"")</f>
        <v>1.2267752881467657</v>
      </c>
      <c r="M15" s="77">
        <f t="shared" si="2"/>
        <v>1.2611223111453707</v>
      </c>
      <c r="N15" s="77">
        <f t="shared" si="2"/>
        <v>1.2964309756118673</v>
      </c>
      <c r="O15" s="77">
        <f t="shared" si="2"/>
        <v>1.3327282054025913</v>
      </c>
      <c r="P15" s="77">
        <f t="shared" si="2"/>
        <v>1.3700416781829265</v>
      </c>
    </row>
    <row r="16" spans="1:20" ht="11.25" customHeight="1">
      <c r="A16" s="2"/>
      <c r="B16" s="2"/>
      <c r="C16" s="70"/>
      <c r="D16" s="68"/>
      <c r="E16" s="68"/>
      <c r="F16" s="68"/>
      <c r="G16" s="76"/>
      <c r="H16" s="76"/>
      <c r="I16" s="76"/>
      <c r="J16" s="76"/>
      <c r="K16" s="108"/>
      <c r="L16" s="108"/>
      <c r="M16" s="108"/>
      <c r="N16" s="108"/>
      <c r="O16" s="108"/>
      <c r="P16" s="108"/>
    </row>
    <row r="17" spans="1:16" s="71" customFormat="1" ht="12.75" customHeight="1">
      <c r="C17" s="23" t="s">
        <v>68</v>
      </c>
      <c r="D17" s="72"/>
      <c r="E17" s="72"/>
      <c r="F17" s="72"/>
      <c r="M17" s="73"/>
    </row>
    <row r="18" spans="1:16" ht="11.25" customHeight="1">
      <c r="A18" s="13"/>
      <c r="B18" s="69"/>
      <c r="C18" s="69"/>
      <c r="D18" s="69"/>
      <c r="E18" s="69"/>
      <c r="F18" s="65"/>
      <c r="N18" s="2"/>
    </row>
    <row r="19" spans="1:16" ht="11.25" customHeight="1">
      <c r="C19" s="13"/>
      <c r="D19" s="65" t="s">
        <v>6</v>
      </c>
      <c r="E19" s="65" t="s">
        <v>52</v>
      </c>
      <c r="F19" s="69"/>
      <c r="G19" s="141" t="str">
        <f>G7</f>
        <v>2019–20</v>
      </c>
      <c r="H19" s="141" t="str">
        <f t="shared" ref="H19:P19" si="3">H7</f>
        <v>2020–21</v>
      </c>
      <c r="I19" s="141" t="str">
        <f t="shared" si="3"/>
        <v>2021–22</v>
      </c>
      <c r="J19" s="141" t="str">
        <f t="shared" si="3"/>
        <v>2022–23</v>
      </c>
      <c r="K19" s="141" t="str">
        <f t="shared" si="3"/>
        <v>2023–24</v>
      </c>
      <c r="L19" s="141" t="str">
        <f t="shared" si="3"/>
        <v>2024-25</v>
      </c>
      <c r="M19" s="141" t="str">
        <f t="shared" si="3"/>
        <v>2025–26</v>
      </c>
      <c r="N19" s="141" t="str">
        <f t="shared" si="3"/>
        <v>2026–27</v>
      </c>
      <c r="O19" s="141" t="str">
        <f t="shared" si="3"/>
        <v>2027–28</v>
      </c>
      <c r="P19" s="141" t="str">
        <f t="shared" si="3"/>
        <v>2028–29</v>
      </c>
    </row>
    <row r="20" spans="1:16" ht="11.25" customHeight="1">
      <c r="C20" s="70" t="s">
        <v>10</v>
      </c>
      <c r="D20" s="68" t="s">
        <v>104</v>
      </c>
      <c r="E20" s="68" t="s">
        <v>51</v>
      </c>
      <c r="F20" s="69"/>
      <c r="G20" s="129">
        <v>3.0469467608914114E-2</v>
      </c>
      <c r="H20" s="129">
        <v>2.8386711189609892E-2</v>
      </c>
      <c r="I20" s="129">
        <v>2.6231506509346358E-2</v>
      </c>
      <c r="J20" s="129">
        <v>2.5019388450489899E-2</v>
      </c>
      <c r="K20" s="129">
        <v>2.5180508469199392E-2</v>
      </c>
      <c r="L20" s="76"/>
      <c r="M20" s="76"/>
      <c r="N20" s="76"/>
      <c r="O20" s="76"/>
      <c r="P20" s="76"/>
    </row>
    <row r="21" spans="1:16" ht="11.25" customHeight="1">
      <c r="C21" s="124" t="s">
        <v>96</v>
      </c>
      <c r="D21" s="68" t="s">
        <v>49</v>
      </c>
      <c r="E21" s="68" t="s">
        <v>51</v>
      </c>
      <c r="F21" s="69"/>
      <c r="G21" s="69"/>
      <c r="H21" s="69"/>
      <c r="I21" s="69"/>
      <c r="J21" s="69"/>
      <c r="K21" s="69"/>
      <c r="L21" s="129">
        <v>2.8935154190592761E-2</v>
      </c>
      <c r="M21" s="129">
        <v>3.0224521992621912E-2</v>
      </c>
      <c r="N21" s="129">
        <v>3.0783874034799388E-2</v>
      </c>
      <c r="O21" s="129">
        <v>3.1560330726095653E-2</v>
      </c>
      <c r="P21" s="129">
        <v>3.2655000747403393E-2</v>
      </c>
    </row>
    <row r="22" spans="1:16" ht="11.25" customHeight="1">
      <c r="C22" s="70" t="s">
        <v>69</v>
      </c>
      <c r="D22" s="68" t="s">
        <v>60</v>
      </c>
      <c r="E22" s="68" t="s">
        <v>51</v>
      </c>
      <c r="F22" s="69"/>
      <c r="G22" s="117">
        <f>IF(AND(G13&lt;&gt;"",G20&lt;&gt;""),((1+G20)*(1+G13)-1),"")</f>
        <v>4.9435163331777776E-2</v>
      </c>
      <c r="H22" s="117">
        <f>IF(AND(H13&lt;&gt;"",H20&lt;&gt;""),((1+H20)*(1+H13)-1),"")</f>
        <v>3.7236855003634162E-2</v>
      </c>
      <c r="I22" s="117">
        <f>IF(AND(I13&lt;&gt;"",I20&lt;&gt;""),((1+I20)*(1+I13)-1),"")</f>
        <v>6.2132096754127231E-2</v>
      </c>
      <c r="J22" s="117">
        <f>IF(AND(J13&lt;&gt;"",J20&lt;&gt;""),((1+J20)*(1+J13)-1),"")</f>
        <v>0.10529708169269658</v>
      </c>
      <c r="K22" s="117">
        <f>IF(AND(K13&lt;&gt;"",K20&lt;&gt;""),((1+K20)*(1+K13)-1),"")</f>
        <v>6.721290931643642E-2</v>
      </c>
      <c r="L22" s="117">
        <f>IF(AND(L14&lt;&gt;"",L21&lt;&gt;""),((1+L21)*(1+L14)-1),"")</f>
        <v>5.7743086455388504E-2</v>
      </c>
      <c r="M22" s="117">
        <f t="shared" ref="M22:P22" si="4">IF(AND(M14&lt;&gt;"",M21&lt;&gt;""),((1+M21)*(1+M14)-1),"")</f>
        <v>5.9068553733807372E-2</v>
      </c>
      <c r="N22" s="117">
        <f t="shared" si="4"/>
        <v>5.9643566408900117E-2</v>
      </c>
      <c r="O22" s="117">
        <f t="shared" si="4"/>
        <v>6.0441762188105264E-2</v>
      </c>
      <c r="P22" s="117">
        <f t="shared" si="4"/>
        <v>6.1567080574081556E-2</v>
      </c>
    </row>
    <row r="23" spans="1:16" ht="11.25" customHeight="1">
      <c r="A23" s="2"/>
      <c r="B23" s="2"/>
      <c r="C23" s="70"/>
      <c r="D23" s="68"/>
      <c r="E23" s="68"/>
      <c r="F23" s="69"/>
      <c r="G23" s="76"/>
      <c r="H23" s="16"/>
      <c r="I23" s="16"/>
      <c r="J23" s="16"/>
      <c r="K23" s="16"/>
      <c r="N23" s="2"/>
    </row>
    <row r="24" spans="1:16" s="53" customFormat="1" ht="12.75" customHeight="1">
      <c r="A24" s="8"/>
      <c r="B24" s="23" t="s">
        <v>34</v>
      </c>
      <c r="D24" s="54"/>
      <c r="E24" s="54"/>
    </row>
    <row r="25" spans="1:16" ht="18" hidden="1" customHeight="1">
      <c r="G25" s="75"/>
      <c r="H25" s="75"/>
      <c r="I25" s="75"/>
      <c r="J25" s="75"/>
      <c r="K25" s="75"/>
      <c r="L25" s="75"/>
      <c r="M25" s="75"/>
    </row>
    <row r="26" spans="1:16" ht="18" hidden="1" customHeight="1">
      <c r="G26" s="75"/>
      <c r="H26" s="75"/>
      <c r="I26" s="75"/>
      <c r="J26" s="75"/>
      <c r="K26" s="75"/>
      <c r="L26" s="75"/>
      <c r="M26" s="75"/>
    </row>
    <row r="27" spans="1:16" ht="18" hidden="1" customHeight="1">
      <c r="G27" s="75"/>
      <c r="H27" s="75"/>
      <c r="I27" s="75"/>
      <c r="J27" s="75"/>
      <c r="K27" s="75"/>
      <c r="L27" s="75"/>
      <c r="M27" s="75"/>
    </row>
    <row r="28" spans="1:16" ht="18" hidden="1" customHeight="1">
      <c r="G28" s="75"/>
      <c r="H28" s="75"/>
      <c r="I28" s="75"/>
      <c r="J28" s="75"/>
      <c r="K28" s="75"/>
      <c r="L28" s="75"/>
      <c r="M28" s="7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2"/>
  <sheetViews>
    <sheetView zoomScale="70" zoomScaleNormal="70" workbookViewId="0"/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15.42578125" style="13" customWidth="1"/>
    <col min="7" max="7" width="2.85546875" style="13" customWidth="1"/>
    <col min="8" max="12" width="13.7109375" style="2" bestFit="1" customWidth="1"/>
    <col min="13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TasNetworks (T) 2024-29 Revised Proposal - Capital expenditure sharing scheme model</v>
      </c>
      <c r="D1" s="3"/>
      <c r="E1" s="3"/>
      <c r="F1" s="3"/>
      <c r="G1" s="3"/>
      <c r="H1" s="87"/>
      <c r="I1" s="88" t="s">
        <v>47</v>
      </c>
      <c r="J1" s="127" t="s">
        <v>48</v>
      </c>
      <c r="K1" s="132" t="s">
        <v>36</v>
      </c>
    </row>
    <row r="2" spans="2:14" ht="18" customHeight="1">
      <c r="B2" s="10" t="s">
        <v>37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40</v>
      </c>
      <c r="D4" s="6"/>
      <c r="E4" s="6"/>
      <c r="F4" s="6"/>
      <c r="G4" s="6"/>
      <c r="J4" s="8" t="str">
        <f>CONCATENATE("$ real, Jun ",LEFT(H6,4))</f>
        <v>$ real, Jun 2019</v>
      </c>
    </row>
    <row r="5" spans="2:14" ht="10.5" customHeight="1">
      <c r="D5" s="58"/>
      <c r="E5" s="58"/>
      <c r="F5" s="58"/>
      <c r="G5" s="58"/>
    </row>
    <row r="6" spans="2:14" s="58" customFormat="1" ht="10.5" customHeight="1">
      <c r="D6" s="65" t="s">
        <v>6</v>
      </c>
      <c r="E6" s="65" t="s">
        <v>52</v>
      </c>
      <c r="F6" s="65" t="s">
        <v>4</v>
      </c>
      <c r="G6" s="55"/>
      <c r="H6" s="143" t="str">
        <f>IF('Input | General'!D14="Yes",'Input | General'!D13,"n/a")</f>
        <v>2019–20</v>
      </c>
      <c r="I6" s="143" t="str">
        <f>IF('Input | General'!E14="Yes",'Input | General'!E13,"n/a")</f>
        <v>2020–21</v>
      </c>
      <c r="J6" s="143" t="str">
        <f>IF('Input | General'!F14="Yes",'Input | General'!F13,"n/a")</f>
        <v>2021–22</v>
      </c>
      <c r="K6" s="143" t="str">
        <f>IF('Input | General'!G14="Yes",'Input | General'!G13,"n/a")</f>
        <v>2022–23</v>
      </c>
      <c r="L6" s="143" t="str">
        <f>IF('Input | General'!H14="Yes",'Input | General'!H13,"n/a")</f>
        <v>2023–24</v>
      </c>
    </row>
    <row r="7" spans="2:14" s="58" customFormat="1" ht="10.5" customHeight="1"/>
    <row r="8" spans="2:14" ht="10.5" customHeight="1">
      <c r="C8" s="70" t="s">
        <v>3</v>
      </c>
      <c r="D8" s="68" t="s">
        <v>49</v>
      </c>
      <c r="E8" s="68" t="s">
        <v>50</v>
      </c>
      <c r="F8" s="155" t="str">
        <f>'Input | Inflation and Disc Rate'!$F$7</f>
        <v>2018–19</v>
      </c>
      <c r="G8" s="58"/>
      <c r="H8" s="130">
        <v>56.14251221210165</v>
      </c>
      <c r="I8" s="130">
        <v>53.951828026082602</v>
      </c>
      <c r="J8" s="130">
        <v>50.66622504577132</v>
      </c>
      <c r="K8" s="130">
        <v>42.75595263811352</v>
      </c>
      <c r="L8" s="130">
        <v>37.905315692831522</v>
      </c>
    </row>
    <row r="9" spans="2:14" ht="10.5" customHeight="1">
      <c r="C9" s="70" t="s">
        <v>92</v>
      </c>
      <c r="D9" s="68" t="s">
        <v>49</v>
      </c>
      <c r="E9" s="68" t="s">
        <v>50</v>
      </c>
      <c r="F9" s="155" t="str">
        <f>'Input | Inflation and Disc Rate'!$F$7</f>
        <v>2018–19</v>
      </c>
      <c r="G9" s="58"/>
      <c r="H9" s="130"/>
      <c r="I9" s="130"/>
      <c r="J9" s="130"/>
      <c r="K9" s="130"/>
      <c r="L9" s="130"/>
    </row>
    <row r="10" spans="2:14" s="58" customFormat="1" ht="10.5" customHeight="1">
      <c r="H10" s="57"/>
      <c r="I10" s="57"/>
      <c r="J10" s="57"/>
      <c r="K10" s="57"/>
      <c r="L10" s="57"/>
    </row>
    <row r="11" spans="2:14" ht="10.5" customHeight="1">
      <c r="C11" s="67" t="s">
        <v>5</v>
      </c>
      <c r="D11" s="66" t="s">
        <v>60</v>
      </c>
      <c r="E11" s="157" t="s">
        <v>50</v>
      </c>
      <c r="F11" s="156" t="str">
        <f>'Input | Inflation and Disc Rate'!$F$7</f>
        <v>2018–19</v>
      </c>
      <c r="G11" s="58"/>
      <c r="H11" s="158">
        <f>IF(H6="", "", H8-H9)</f>
        <v>56.14251221210165</v>
      </c>
      <c r="I11" s="158">
        <f t="shared" ref="I11:L11" si="0">IF(I6="", "", I8-I9)</f>
        <v>53.951828026082602</v>
      </c>
      <c r="J11" s="158">
        <f t="shared" si="0"/>
        <v>50.66622504577132</v>
      </c>
      <c r="K11" s="158">
        <f t="shared" si="0"/>
        <v>42.75595263811352</v>
      </c>
      <c r="L11" s="158">
        <f t="shared" si="0"/>
        <v>37.905315692831522</v>
      </c>
    </row>
    <row r="12" spans="2:14" ht="10.5" customHeight="1">
      <c r="D12" s="58"/>
      <c r="E12" s="58"/>
      <c r="F12" s="58"/>
      <c r="G12" s="58"/>
      <c r="M12" s="62"/>
      <c r="N12" s="62"/>
    </row>
    <row r="13" spans="2:14" s="8" customFormat="1" ht="12.75" customHeight="1">
      <c r="B13" s="64" t="s">
        <v>41</v>
      </c>
      <c r="D13" s="15"/>
      <c r="E13" s="15"/>
      <c r="F13" s="15"/>
      <c r="G13" s="15"/>
      <c r="J13" s="8" t="s">
        <v>103</v>
      </c>
    </row>
    <row r="14" spans="2:14" ht="10.5" customHeight="1">
      <c r="B14" s="63"/>
      <c r="C14" s="2"/>
    </row>
    <row r="15" spans="2:14" ht="10.5" customHeight="1">
      <c r="B15" s="63"/>
      <c r="C15" s="58"/>
      <c r="D15" s="65" t="s">
        <v>6</v>
      </c>
      <c r="E15" s="65" t="s">
        <v>52</v>
      </c>
      <c r="F15" s="65" t="s">
        <v>4</v>
      </c>
      <c r="G15" s="55"/>
      <c r="H15" s="143" t="str">
        <f>H6</f>
        <v>2019–20</v>
      </c>
      <c r="I15" s="143" t="str">
        <f>I6</f>
        <v>2020–21</v>
      </c>
      <c r="J15" s="143" t="str">
        <f>J6</f>
        <v>2021–22</v>
      </c>
      <c r="K15" s="143" t="str">
        <f>K6</f>
        <v>2022–23</v>
      </c>
      <c r="L15" s="143" t="str">
        <f>L6</f>
        <v>2023–24</v>
      </c>
      <c r="M15" s="58"/>
      <c r="N15" s="58"/>
    </row>
    <row r="16" spans="2:14" ht="10.5" customHeight="1">
      <c r="B16" s="63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</row>
    <row r="17" spans="1:14" ht="10.5" customHeight="1">
      <c r="B17" s="63"/>
      <c r="C17" s="70" t="s">
        <v>77</v>
      </c>
      <c r="D17" s="68" t="s">
        <v>49</v>
      </c>
      <c r="E17" s="68" t="s">
        <v>50</v>
      </c>
      <c r="F17" s="68" t="s">
        <v>53</v>
      </c>
      <c r="G17" s="58"/>
      <c r="H17" s="131">
        <v>50.309614957962623</v>
      </c>
      <c r="I17" s="131">
        <v>44.774620835772893</v>
      </c>
      <c r="J17" s="131">
        <v>45.548456315603843</v>
      </c>
      <c r="K17" s="131">
        <v>56.853034653877643</v>
      </c>
      <c r="L17" s="131">
        <v>70.875963883285934</v>
      </c>
    </row>
    <row r="18" spans="1:14" ht="10.5" customHeight="1">
      <c r="B18" s="63"/>
      <c r="C18" s="70" t="s">
        <v>92</v>
      </c>
      <c r="D18" s="68" t="s">
        <v>49</v>
      </c>
      <c r="E18" s="68" t="s">
        <v>50</v>
      </c>
      <c r="F18" s="68" t="s">
        <v>53</v>
      </c>
      <c r="G18" s="115"/>
      <c r="H18" s="131">
        <v>2.517337673605877E-2</v>
      </c>
      <c r="I18" s="131">
        <v>2.229531332932818E-2</v>
      </c>
      <c r="J18" s="131">
        <v>0.15833519491219886</v>
      </c>
      <c r="K18" s="131">
        <v>0.5908808223869878</v>
      </c>
      <c r="L18" s="131">
        <v>0.5908808223869878</v>
      </c>
    </row>
    <row r="19" spans="1:14" ht="10.5" customHeight="1">
      <c r="B19" s="63"/>
      <c r="C19" s="125" t="s">
        <v>97</v>
      </c>
      <c r="D19" s="68" t="s">
        <v>49</v>
      </c>
      <c r="E19" s="68" t="s">
        <v>50</v>
      </c>
      <c r="F19" s="68" t="s">
        <v>53</v>
      </c>
      <c r="G19" s="115"/>
      <c r="H19" s="131">
        <v>0.47196539670661963</v>
      </c>
      <c r="I19" s="131">
        <v>0.55431451133563348</v>
      </c>
      <c r="J19" s="131">
        <v>1.7196584556707564</v>
      </c>
      <c r="K19" s="131">
        <v>1.6672455154014072</v>
      </c>
      <c r="L19" s="131">
        <v>0.96950029342825239</v>
      </c>
    </row>
    <row r="20" spans="1:14" ht="10.5" customHeight="1">
      <c r="B20" s="63"/>
      <c r="C20" s="58"/>
      <c r="D20" s="58"/>
      <c r="E20" s="58"/>
      <c r="F20" s="58"/>
      <c r="G20" s="58"/>
      <c r="H20" s="57"/>
      <c r="I20" s="57"/>
      <c r="J20" s="57"/>
      <c r="K20" s="57"/>
      <c r="L20" s="57"/>
      <c r="M20" s="58"/>
      <c r="N20" s="58"/>
    </row>
    <row r="21" spans="1:14" ht="10.5" customHeight="1">
      <c r="B21" s="63"/>
      <c r="C21" s="67" t="s">
        <v>76</v>
      </c>
      <c r="D21" s="66" t="s">
        <v>60</v>
      </c>
      <c r="E21" s="144" t="s">
        <v>50</v>
      </c>
      <c r="F21" s="144" t="s">
        <v>53</v>
      </c>
      <c r="G21" s="58"/>
      <c r="H21" s="158">
        <f>IF(H15="", "", H17-H18-H19)</f>
        <v>49.812476184519944</v>
      </c>
      <c r="I21" s="158">
        <f t="shared" ref="I21:L21" si="1">IF(I15="", "", I17-I18-I19)</f>
        <v>44.19801101110793</v>
      </c>
      <c r="J21" s="158">
        <f t="shared" si="1"/>
        <v>43.670462665020892</v>
      </c>
      <c r="K21" s="158">
        <f t="shared" si="1"/>
        <v>54.594908316089253</v>
      </c>
      <c r="L21" s="158">
        <f t="shared" si="1"/>
        <v>69.315582767470687</v>
      </c>
    </row>
    <row r="22" spans="1:14" ht="10.5" customHeight="1">
      <c r="B22" s="63"/>
      <c r="C22" s="2"/>
      <c r="M22" s="62"/>
      <c r="N22" s="62"/>
    </row>
    <row r="23" spans="1:14" s="8" customFormat="1" ht="12.75" customHeight="1">
      <c r="B23" s="64" t="s">
        <v>42</v>
      </c>
      <c r="D23" s="15"/>
      <c r="E23" s="15"/>
      <c r="F23" s="15"/>
      <c r="G23" s="15"/>
    </row>
    <row r="24" spans="1:14" ht="10.5" customHeight="1">
      <c r="D24" s="58"/>
      <c r="E24" s="58"/>
      <c r="F24" s="58"/>
      <c r="G24" s="58"/>
    </row>
    <row r="25" spans="1:14" ht="10.5" customHeight="1">
      <c r="D25" s="58"/>
      <c r="E25" s="58"/>
      <c r="F25" s="58"/>
      <c r="G25" s="58"/>
      <c r="H25" s="143" t="str">
        <f>'Input | General'!D18</f>
        <v>2024-25</v>
      </c>
      <c r="I25" s="143" t="str">
        <f>'Input | General'!E18</f>
        <v>2025–26</v>
      </c>
      <c r="J25" s="143" t="str">
        <f>'Input | General'!F18</f>
        <v>2026–27</v>
      </c>
      <c r="K25" s="143" t="str">
        <f>'Input | General'!G18</f>
        <v>2027–28</v>
      </c>
      <c r="L25" s="143" t="str">
        <f>'Input | General'!H18</f>
        <v>2028–29</v>
      </c>
    </row>
    <row r="26" spans="1:14" s="14" customFormat="1" ht="10.5" customHeight="1">
      <c r="C26" s="13"/>
      <c r="D26" s="58"/>
      <c r="E26" s="58"/>
      <c r="F26" s="58"/>
      <c r="G26" s="58"/>
    </row>
    <row r="27" spans="1:14" ht="11.25" customHeight="1">
      <c r="C27" s="74" t="s">
        <v>85</v>
      </c>
      <c r="D27" s="56" t="s">
        <v>86</v>
      </c>
      <c r="E27" s="68" t="s">
        <v>50</v>
      </c>
      <c r="F27" s="155" t="str">
        <f>J13</f>
        <v>$ nominal, mid year</v>
      </c>
      <c r="G27" s="58"/>
      <c r="H27" s="130">
        <v>0</v>
      </c>
      <c r="I27" s="130">
        <v>0</v>
      </c>
      <c r="J27" s="130">
        <v>0</v>
      </c>
      <c r="K27" s="130">
        <v>0</v>
      </c>
      <c r="L27" s="130">
        <v>0</v>
      </c>
    </row>
    <row r="28" spans="1:14" ht="11.25" customHeight="1">
      <c r="C28" s="74" t="s">
        <v>85</v>
      </c>
      <c r="D28" s="56" t="s">
        <v>60</v>
      </c>
      <c r="E28" s="68" t="s">
        <v>50</v>
      </c>
      <c r="F28" s="155" t="str">
        <f>J4</f>
        <v>$ real, Jun 2019</v>
      </c>
      <c r="G28" s="58"/>
      <c r="H28" s="159">
        <f>IF(H27&lt;&gt;"",H27/('Input | Inflation and Disc Rate'!K10*(1+'Input | Inflation and Disc Rate'!L9)^0.5),"")</f>
        <v>0</v>
      </c>
      <c r="I28" s="159">
        <f>IF(I27&lt;&gt;"",I27/('Input | Inflation and Disc Rate'!L10*(1+'Input | Inflation and Disc Rate'!M9)^0.5),"")</f>
        <v>0</v>
      </c>
      <c r="J28" s="159">
        <f>IF(J27&lt;&gt;"",J27/('Input | Inflation and Disc Rate'!M10*(1+'Input | Inflation and Disc Rate'!N9)^0.5),"")</f>
        <v>0</v>
      </c>
      <c r="K28" s="159">
        <f>IF(K27&lt;&gt;"",K27/('Input | Inflation and Disc Rate'!N10*(1+'Input | Inflation and Disc Rate'!O9)^0.5),"")</f>
        <v>0</v>
      </c>
      <c r="L28" s="159">
        <f>IF(L27&lt;&gt;"",L27/('Input | Inflation and Disc Rate'!O10*(1+'Input | Inflation and Disc Rate'!P9)^0.5),"")</f>
        <v>0</v>
      </c>
    </row>
    <row r="29" spans="1:14" ht="11.25" customHeight="1">
      <c r="C29" s="74" t="s">
        <v>85</v>
      </c>
      <c r="D29" s="56" t="s">
        <v>49</v>
      </c>
      <c r="E29" s="68" t="s">
        <v>50</v>
      </c>
      <c r="F29" s="155" t="str">
        <f>J13</f>
        <v>$ nominal, mid year</v>
      </c>
      <c r="G29" s="58"/>
      <c r="H29" s="159">
        <f>IF(H27&lt;&gt;"",H28*'Input | Inflation and Disc Rate'!K15*(1+'Input | Inflation and Disc Rate'!L14)^0.5,"")</f>
        <v>0</v>
      </c>
      <c r="I29" s="159">
        <f>IF(I27&lt;&gt;"",I28*'Input | Inflation and Disc Rate'!L15*(1+'Input | Inflation and Disc Rate'!M14)^0.5,"")</f>
        <v>0</v>
      </c>
      <c r="J29" s="159">
        <f>IF(J27&lt;&gt;"",J28*'Input | Inflation and Disc Rate'!M15*(1+'Input | Inflation and Disc Rate'!N14)^0.5,"")</f>
        <v>0</v>
      </c>
      <c r="K29" s="159">
        <f>IF(K27&lt;&gt;"",K28*'Input | Inflation and Disc Rate'!N15*(1+'Input | Inflation and Disc Rate'!O14)^0.5,"")</f>
        <v>0</v>
      </c>
      <c r="L29" s="159">
        <f>IF(L27&lt;&gt;"",L28*'Input | Inflation and Disc Rate'!O15*(1+'Input | Inflation and Disc Rate'!P14)^0.5,"")</f>
        <v>0</v>
      </c>
    </row>
    <row r="30" spans="1:14" ht="10.5" customHeight="1">
      <c r="D30" s="58"/>
      <c r="E30" s="58"/>
      <c r="F30" s="58"/>
      <c r="G30" s="58"/>
      <c r="M30" s="62"/>
      <c r="N30" s="62"/>
    </row>
    <row r="31" spans="1:14" s="53" customFormat="1" ht="12.75" customHeight="1">
      <c r="A31" s="8"/>
      <c r="B31" s="23" t="s">
        <v>34</v>
      </c>
      <c r="D31" s="54"/>
      <c r="E31" s="54"/>
      <c r="F31" s="54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8:L9">
    <cfRule type="expression" dxfId="2" priority="19">
      <formula>IF($H$6&lt;&gt;"","FALSE","TRUE")</formula>
    </cfRule>
  </conditionalFormatting>
  <conditionalFormatting sqref="H17:L19">
    <cfRule type="expression" dxfId="1" priority="9">
      <formula>IF($H$6&lt;&gt;"","FALSE","TRUE")</formula>
    </cfRule>
  </conditionalFormatting>
  <conditionalFormatting sqref="H27:L27">
    <cfRule type="expression" dxfId="0" priority="3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="85" zoomScaleNormal="85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TasNetworks (T) 2024-29 Revised Proposal - Capital expenditure sharing scheme model</v>
      </c>
      <c r="C1" s="2"/>
      <c r="J1" s="102"/>
      <c r="K1" s="88" t="s">
        <v>47</v>
      </c>
      <c r="L1" s="127" t="s">
        <v>48</v>
      </c>
      <c r="M1" s="132" t="s">
        <v>36</v>
      </c>
      <c r="N1"/>
      <c r="Q1" s="89"/>
      <c r="R1" s="69"/>
      <c r="S1" s="69"/>
      <c r="T1" s="69"/>
      <c r="U1" s="69"/>
      <c r="V1" s="69"/>
      <c r="W1" s="69"/>
    </row>
    <row r="2" spans="2:23" ht="18" customHeight="1">
      <c r="B2" s="10" t="s">
        <v>84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44</v>
      </c>
      <c r="J4" s="18"/>
      <c r="K4" s="18"/>
    </row>
    <row r="5" spans="2:23" ht="11.25" customHeight="1">
      <c r="C5" s="79"/>
      <c r="D5" s="79"/>
      <c r="E5" s="79"/>
      <c r="F5" s="79"/>
      <c r="G5" s="79"/>
      <c r="H5" s="79"/>
      <c r="I5" s="69"/>
      <c r="J5" s="69"/>
      <c r="K5" s="69"/>
      <c r="L5" s="69"/>
      <c r="M5" s="69"/>
      <c r="N5" s="69"/>
      <c r="O5" s="69"/>
    </row>
    <row r="6" spans="2:23" ht="11.25" customHeight="1">
      <c r="C6" s="98" t="s">
        <v>11</v>
      </c>
      <c r="D6" s="99"/>
      <c r="E6" s="100"/>
      <c r="F6" s="100"/>
      <c r="G6" s="100"/>
      <c r="H6" s="100"/>
      <c r="I6" s="81"/>
    </row>
    <row r="7" spans="2:23" ht="11.25" customHeight="1">
      <c r="C7" s="97" t="s">
        <v>9</v>
      </c>
      <c r="D7" s="143" t="str">
        <f>IF('Input | General'!D14="Yes",'Input | General'!D13,"n/a")</f>
        <v>2019–20</v>
      </c>
      <c r="E7" s="143" t="str">
        <f>IF('Input | General'!E14="Yes",'Input | General'!E13,"n/a")</f>
        <v>2020–21</v>
      </c>
      <c r="F7" s="143" t="str">
        <f>IF('Input | General'!F14="Yes",'Input | General'!F13,"n/a")</f>
        <v>2021–22</v>
      </c>
      <c r="G7" s="143" t="str">
        <f>IF('Input | General'!G14="Yes",'Input | General'!G13,"n/a")</f>
        <v>2022–23</v>
      </c>
      <c r="H7" s="145" t="str">
        <f>IF('Input | General'!H14="Yes",'Input | General'!H13,"n/a")</f>
        <v>2023–24</v>
      </c>
      <c r="I7" s="81"/>
    </row>
    <row r="8" spans="2:23" ht="11.25" customHeight="1">
      <c r="C8" s="95" t="s">
        <v>94</v>
      </c>
      <c r="D8" s="133">
        <f>'Input | Inflation and Disc Rate'!G20</f>
        <v>3.0469467608914114E-2</v>
      </c>
      <c r="E8" s="134">
        <f>'Input | Inflation and Disc Rate'!H20</f>
        <v>2.8386711189609892E-2</v>
      </c>
      <c r="F8" s="134">
        <f>'Input | Inflation and Disc Rate'!I20</f>
        <v>2.6231506509346358E-2</v>
      </c>
      <c r="G8" s="134">
        <f>'Input | Inflation and Disc Rate'!J20</f>
        <v>2.5019388450489899E-2</v>
      </c>
      <c r="H8" s="135">
        <f>'Input | Inflation and Disc Rate'!K20</f>
        <v>2.5180508469199392E-2</v>
      </c>
      <c r="I8" s="81"/>
      <c r="J8" s="69"/>
      <c r="K8" s="69"/>
    </row>
    <row r="9" spans="2:23" ht="11.25" customHeight="1">
      <c r="C9" s="95" t="s">
        <v>95</v>
      </c>
      <c r="D9" s="133">
        <f>'Input | Inflation and Disc Rate'!G22</f>
        <v>4.9435163331777776E-2</v>
      </c>
      <c r="E9" s="134">
        <f>'Input | Inflation and Disc Rate'!H22</f>
        <v>3.7236855003634162E-2</v>
      </c>
      <c r="F9" s="134">
        <f>'Input | Inflation and Disc Rate'!I22</f>
        <v>6.2132096754127231E-2</v>
      </c>
      <c r="G9" s="134">
        <f>'Input | Inflation and Disc Rate'!J22</f>
        <v>0.10529708169269658</v>
      </c>
      <c r="H9" s="135">
        <f>'Input | Inflation and Disc Rate'!K22</f>
        <v>6.721290931643642E-2</v>
      </c>
      <c r="I9" s="81"/>
      <c r="J9" s="69"/>
      <c r="K9" s="69"/>
    </row>
    <row r="10" spans="2:23" ht="11.25" customHeight="1">
      <c r="C10" s="93" t="s">
        <v>13</v>
      </c>
      <c r="D10" s="138">
        <f>'Input | Reported Capex'!H$11*'Input | Inflation and Disc Rate'!G$15*(1+'Input | Inflation and Disc Rate'!G$20)^0.5</f>
        <v>58.040332257962412</v>
      </c>
      <c r="E10" s="136">
        <f>'Input | Reported Capex'!I$11*'Input | Inflation and Disc Rate'!H$15*(1+'Input | Inflation and Disc Rate'!H$20)^0.5</f>
        <v>56.198711655723912</v>
      </c>
      <c r="F10" s="136">
        <f>'Input | Reported Capex'!J$11*'Input | Inflation and Disc Rate'!I$15*(1+'Input | Inflation and Disc Rate'!I$20)^0.5</f>
        <v>54.565278502621346</v>
      </c>
      <c r="G10" s="136">
        <f>'Input | Reported Capex'!K$11*'Input | Inflation and Disc Rate'!J$15*(1+'Input | Inflation and Disc Rate'!J$20)^0.5</f>
        <v>49.623195460395301</v>
      </c>
      <c r="H10" s="137">
        <f>'Input | Reported Capex'!L$11*'Input | Inflation and Disc Rate'!K$15*(1+'Input | Inflation and Disc Rate'!K$20)^0.5</f>
        <v>45.800805634734672</v>
      </c>
      <c r="I10" s="81"/>
      <c r="J10" s="69"/>
      <c r="K10" s="69"/>
      <c r="N10" s="113"/>
    </row>
    <row r="11" spans="2:23" ht="11.25" customHeight="1">
      <c r="C11" s="93" t="s">
        <v>15</v>
      </c>
      <c r="D11" s="138">
        <f>'Input | Reported Capex'!H21*(1+D$9)^0.5</f>
        <v>51.028868332686059</v>
      </c>
      <c r="E11" s="136">
        <f>'Input | Reported Capex'!I21*(1+E$9)^0.5</f>
        <v>45.013387338261346</v>
      </c>
      <c r="F11" s="136">
        <f>'Input | Reported Capex'!J21*(1+F$9)^0.5</f>
        <v>45.006688497465476</v>
      </c>
      <c r="G11" s="136">
        <f>'Input | Reported Capex'!K21*(1+G$9)^0.5</f>
        <v>57.397325010860662</v>
      </c>
      <c r="H11" s="137">
        <f>'Input | Reported Capex'!L21*(1+H$9)^0.5</f>
        <v>71.607154112621757</v>
      </c>
      <c r="I11" s="81"/>
      <c r="J11" s="69"/>
      <c r="K11" s="69"/>
    </row>
    <row r="12" spans="2:23" s="14" customFormat="1" ht="11.25" customHeight="1">
      <c r="C12" s="93" t="s">
        <v>17</v>
      </c>
      <c r="D12" s="126">
        <f>(D10-D11)</f>
        <v>7.0114639252763524</v>
      </c>
      <c r="E12" s="118">
        <f>(E10-E11)</f>
        <v>11.185324317462566</v>
      </c>
      <c r="F12" s="118">
        <f t="shared" ref="F12:H12" si="0">(F10-F11)</f>
        <v>9.558590005155871</v>
      </c>
      <c r="G12" s="118">
        <f t="shared" si="0"/>
        <v>-7.7741295504653607</v>
      </c>
      <c r="H12" s="120">
        <f t="shared" si="0"/>
        <v>-25.806348477887084</v>
      </c>
      <c r="I12" s="81"/>
      <c r="J12" s="69"/>
      <c r="K12" s="69"/>
    </row>
    <row r="13" spans="2:23" ht="11.25" customHeight="1">
      <c r="C13" s="93" t="s">
        <v>71</v>
      </c>
      <c r="D13" s="126"/>
      <c r="E13" s="118">
        <f>$D$12*$E$8</f>
        <v>0.19903240146318832</v>
      </c>
      <c r="F13" s="118">
        <f>$D$12*$F$8*(1+'Input | Inflation and Disc Rate'!H13)</f>
        <v>0.18550406074908296</v>
      </c>
      <c r="G13" s="118">
        <f>$D$12*$G$8*(1+'Input | Inflation and Disc Rate'!H13)*(1+'Input | Inflation and Disc Rate'!I13)</f>
        <v>0.18312180764018327</v>
      </c>
      <c r="H13" s="120">
        <f>$D$12*$H$8*(1+'Input | Inflation and Disc Rate'!H13)*(1+'Input | Inflation and Disc Rate'!I13)*(1+'Input | Inflation and Disc Rate'!J13)</f>
        <v>0.19873520877064943</v>
      </c>
      <c r="I13" s="81"/>
      <c r="J13" s="69"/>
      <c r="K13" s="69"/>
      <c r="L13" s="80"/>
      <c r="M13" s="80"/>
      <c r="N13" s="80"/>
      <c r="O13" s="80"/>
    </row>
    <row r="14" spans="2:23" ht="11.25" customHeight="1">
      <c r="C14" s="93" t="s">
        <v>72</v>
      </c>
      <c r="D14" s="126"/>
      <c r="E14" s="119"/>
      <c r="F14" s="118">
        <f>$E$12*F$8</f>
        <v>0.29340790764266944</v>
      </c>
      <c r="G14" s="118">
        <f>$E$12*G$8*(1+'Input | Inflation and Disc Rate'!I13)</f>
        <v>0.28963994753799577</v>
      </c>
      <c r="H14" s="120">
        <f>$E$12*H$8*(1+'Input | Inflation and Disc Rate'!I13)*(1+'Input | Inflation and Disc Rate'!J13)</f>
        <v>0.31433533877836461</v>
      </c>
      <c r="I14" s="81"/>
      <c r="J14" s="69"/>
      <c r="K14" s="69"/>
      <c r="L14" s="80"/>
      <c r="M14" s="80"/>
      <c r="N14" s="81"/>
      <c r="O14" s="81"/>
    </row>
    <row r="15" spans="2:23" ht="11.25" customHeight="1">
      <c r="C15" s="93" t="s">
        <v>73</v>
      </c>
      <c r="D15" s="126"/>
      <c r="E15" s="118"/>
      <c r="F15" s="118"/>
      <c r="G15" s="118">
        <f>$F$12*G$8</f>
        <v>0.23915007637796498</v>
      </c>
      <c r="H15" s="120">
        <f>$F$12*$H$8*(1+'Input | Inflation and Disc Rate'!J13)</f>
        <v>0.25954058104253025</v>
      </c>
      <c r="I15" s="81"/>
      <c r="J15" s="69"/>
      <c r="K15" s="69"/>
      <c r="L15" s="80"/>
      <c r="M15" s="80"/>
      <c r="N15" s="80"/>
      <c r="O15" s="80"/>
    </row>
    <row r="16" spans="2:23" ht="11.25" customHeight="1">
      <c r="C16" s="93" t="s">
        <v>74</v>
      </c>
      <c r="D16" s="126"/>
      <c r="E16" s="118"/>
      <c r="F16" s="118"/>
      <c r="G16" s="118"/>
      <c r="H16" s="120">
        <f>$G$12*$H$8</f>
        <v>-0.19575653498614629</v>
      </c>
      <c r="I16" s="81"/>
      <c r="J16" s="69"/>
      <c r="K16" s="69"/>
      <c r="L16" s="80"/>
      <c r="M16" s="80"/>
      <c r="N16" s="80"/>
      <c r="O16" s="80"/>
    </row>
    <row r="17" spans="3:15" ht="11.25" customHeight="1">
      <c r="C17" s="93" t="s">
        <v>75</v>
      </c>
      <c r="D17" s="126"/>
      <c r="E17" s="118"/>
      <c r="F17" s="118"/>
      <c r="G17" s="118"/>
      <c r="H17" s="120"/>
      <c r="I17" s="81"/>
      <c r="J17" s="69"/>
      <c r="K17" s="69"/>
      <c r="L17" s="80"/>
      <c r="M17" s="80"/>
      <c r="N17" s="80"/>
      <c r="O17" s="80"/>
    </row>
    <row r="18" spans="3:15" s="14" customFormat="1" ht="11.25" customHeight="1">
      <c r="C18" s="94" t="s">
        <v>19</v>
      </c>
      <c r="D18" s="104">
        <f>SUM(D13:D17)</f>
        <v>0</v>
      </c>
      <c r="E18" s="121">
        <f>SUM(E13:E17)</f>
        <v>0.19903240146318832</v>
      </c>
      <c r="F18" s="121">
        <f t="shared" ref="F18:H18" si="1">SUM(F13:F17)</f>
        <v>0.47891196839175243</v>
      </c>
      <c r="G18" s="121">
        <f t="shared" si="1"/>
        <v>0.71191183155614401</v>
      </c>
      <c r="H18" s="122">
        <f t="shared" si="1"/>
        <v>0.57685459360539793</v>
      </c>
      <c r="I18" s="81"/>
      <c r="J18" s="69"/>
      <c r="K18" s="69"/>
      <c r="L18" s="80"/>
      <c r="M18" s="80"/>
      <c r="N18" s="80"/>
      <c r="O18" s="80"/>
    </row>
    <row r="19" spans="3:15" ht="11.25" customHeight="1">
      <c r="C19" s="95" t="s">
        <v>93</v>
      </c>
      <c r="D19" s="104">
        <f t="shared" ref="D19:E19" si="2">E19*(1+E$9)</f>
        <v>1.2995307669167411</v>
      </c>
      <c r="E19" s="121">
        <f t="shared" si="2"/>
        <v>1.2528775473488047</v>
      </c>
      <c r="F19" s="121">
        <f>G19*(1+G$9)</f>
        <v>1.1795873142122295</v>
      </c>
      <c r="G19" s="121">
        <f>H19*(1+H$9)</f>
        <v>1.0672129093164364</v>
      </c>
      <c r="H19" s="123">
        <v>1</v>
      </c>
      <c r="I19" s="81"/>
      <c r="J19" s="69"/>
      <c r="K19" s="69"/>
      <c r="L19" s="81"/>
      <c r="M19" s="81"/>
      <c r="N19" s="81"/>
      <c r="O19" s="81"/>
    </row>
    <row r="20" spans="3:15" s="14" customFormat="1" ht="11.25" customHeight="1">
      <c r="C20" s="93" t="s">
        <v>20</v>
      </c>
      <c r="D20" s="126">
        <f>D12*D19</f>
        <v>9.1116130920234415</v>
      </c>
      <c r="E20" s="118">
        <f>E12*E19</f>
        <v>14.013841697163443</v>
      </c>
      <c r="F20" s="118">
        <f t="shared" ref="F20:H20" si="3">F12*F19</f>
        <v>11.275191511837676</v>
      </c>
      <c r="G20" s="118">
        <f t="shared" si="3"/>
        <v>-8.2966514149550168</v>
      </c>
      <c r="H20" s="120">
        <f t="shared" si="3"/>
        <v>-25.806348477887084</v>
      </c>
      <c r="I20" s="81"/>
      <c r="J20" s="69"/>
      <c r="K20" s="69"/>
      <c r="L20" s="81"/>
      <c r="M20" s="81"/>
      <c r="N20" s="81"/>
      <c r="O20" s="81"/>
    </row>
    <row r="21" spans="3:15" s="14" customFormat="1" ht="11.25" customHeight="1">
      <c r="C21" s="94" t="s">
        <v>21</v>
      </c>
      <c r="D21" s="104">
        <f>D18*D19</f>
        <v>0</v>
      </c>
      <c r="E21" s="121">
        <f>E18*E19</f>
        <v>0.24936322698814203</v>
      </c>
      <c r="F21" s="121">
        <f t="shared" ref="F21:H21" si="4">F18*F19</f>
        <v>0.56491848253931942</v>
      </c>
      <c r="G21" s="121">
        <f t="shared" si="4"/>
        <v>0.75976149693182526</v>
      </c>
      <c r="H21" s="122">
        <f t="shared" si="4"/>
        <v>0.57685459360539793</v>
      </c>
      <c r="I21" s="81"/>
      <c r="J21" s="69"/>
      <c r="K21" s="69"/>
      <c r="L21" s="81"/>
      <c r="M21" s="81"/>
      <c r="N21" s="81"/>
      <c r="O21" s="81"/>
    </row>
    <row r="22" spans="3:15" s="69" customFormat="1" ht="11.25" customHeight="1"/>
    <row r="23" spans="3:15" ht="11.25" customHeight="1">
      <c r="C23" s="98" t="s">
        <v>12</v>
      </c>
      <c r="D23" s="99"/>
      <c r="E23" s="100"/>
      <c r="F23" s="100"/>
      <c r="G23" s="100"/>
      <c r="H23" s="100"/>
      <c r="I23" s="81"/>
      <c r="J23" s="69"/>
      <c r="K23" s="69"/>
      <c r="L23" s="81"/>
      <c r="M23" s="81"/>
      <c r="N23" s="81"/>
      <c r="O23" s="81"/>
    </row>
    <row r="24" spans="3:15" ht="11.25" customHeight="1">
      <c r="C24" s="92" t="s">
        <v>9</v>
      </c>
      <c r="D24" s="146" t="str">
        <f>'Input | General'!$D$18</f>
        <v>2024-25</v>
      </c>
      <c r="E24" s="146" t="str">
        <f>'Input | General'!$E$18</f>
        <v>2025–26</v>
      </c>
      <c r="F24" s="146" t="str">
        <f>'Input | General'!$F$18</f>
        <v>2026–27</v>
      </c>
      <c r="G24" s="146" t="str">
        <f>'Input | General'!$G$18</f>
        <v>2027–28</v>
      </c>
      <c r="H24" s="147" t="str">
        <f>'Input | General'!$H$18</f>
        <v>2028–29</v>
      </c>
      <c r="I24" s="81"/>
      <c r="J24" s="69"/>
      <c r="K24" s="69"/>
      <c r="L24" s="81"/>
      <c r="M24" s="81"/>
      <c r="N24" s="81"/>
      <c r="O24" s="81"/>
    </row>
    <row r="25" spans="3:15" ht="11.25" customHeight="1">
      <c r="C25" s="96" t="s">
        <v>70</v>
      </c>
      <c r="D25" s="139">
        <f>'Input | Inflation and Disc Rate'!L$22</f>
        <v>5.7743086455388504E-2</v>
      </c>
      <c r="E25" s="139">
        <f>'Input | Inflation and Disc Rate'!M$22</f>
        <v>5.9068553733807372E-2</v>
      </c>
      <c r="F25" s="139">
        <f>'Input | Inflation and Disc Rate'!N$22</f>
        <v>5.9643566408900117E-2</v>
      </c>
      <c r="G25" s="139">
        <f>'Input | Inflation and Disc Rate'!O$22</f>
        <v>6.0441762188105264E-2</v>
      </c>
      <c r="H25" s="140">
        <f>'Input | Inflation and Disc Rate'!P$22</f>
        <v>6.1567080574081556E-2</v>
      </c>
      <c r="I25" s="81"/>
      <c r="J25" s="69"/>
      <c r="K25" s="69"/>
      <c r="L25" s="81"/>
      <c r="M25" s="81"/>
      <c r="N25" s="81"/>
      <c r="O25" s="81"/>
    </row>
    <row r="26" spans="3:15" ht="11.25" customHeight="1">
      <c r="C26" s="97" t="s">
        <v>14</v>
      </c>
      <c r="D26" s="136">
        <f>'Input | Reported Capex'!H29</f>
        <v>0</v>
      </c>
      <c r="E26" s="136">
        <f>'Input | Reported Capex'!I29</f>
        <v>0</v>
      </c>
      <c r="F26" s="136">
        <f>'Input | Reported Capex'!J29</f>
        <v>0</v>
      </c>
      <c r="G26" s="136">
        <f>'Input | Reported Capex'!K29</f>
        <v>0</v>
      </c>
      <c r="H26" s="137">
        <f>'Input | Reported Capex'!L29</f>
        <v>0</v>
      </c>
      <c r="I26" s="81"/>
      <c r="J26" s="69"/>
      <c r="K26" s="69"/>
      <c r="L26" s="81"/>
      <c r="M26" s="81"/>
      <c r="N26" s="81"/>
      <c r="O26" s="81"/>
    </row>
    <row r="27" spans="3:15" ht="11.25" customHeight="1">
      <c r="C27" s="97" t="s">
        <v>16</v>
      </c>
      <c r="D27" s="167">
        <f>1/(1+D25)^(0.5)</f>
        <v>0.97232152979074815</v>
      </c>
      <c r="E27" s="167">
        <f>1/((1+E25)^(0.5)*(1+D25))</f>
        <v>0.91866626386968575</v>
      </c>
      <c r="F27" s="167">
        <f>1/((1+F25)^(0.5)*(1+E25)*(1+D25))</f>
        <v>0.86719313017444732</v>
      </c>
      <c r="G27" s="167">
        <f>1/((1+G25)^(0.5)*(1+F25)*(1+E25)*(1+D25))</f>
        <v>0.81807385763015672</v>
      </c>
      <c r="H27" s="168">
        <f>1/((1+H25)^(0.5)*(1+G25)*(1+F25)*(1+E25)*(1+D25))</f>
        <v>0.77103728898451296</v>
      </c>
      <c r="I27" s="81"/>
      <c r="J27" s="69"/>
      <c r="K27" s="69"/>
      <c r="L27" s="81"/>
      <c r="M27" s="81"/>
      <c r="N27" s="81"/>
      <c r="O27" s="81"/>
    </row>
    <row r="28" spans="3:15" ht="11.25" customHeight="1">
      <c r="C28" s="92" t="s">
        <v>18</v>
      </c>
      <c r="D28" s="169">
        <f>D26*D27</f>
        <v>0</v>
      </c>
      <c r="E28" s="169">
        <f t="shared" ref="E28:G28" si="5">E26*E27</f>
        <v>0</v>
      </c>
      <c r="F28" s="169">
        <f t="shared" si="5"/>
        <v>0</v>
      </c>
      <c r="G28" s="169">
        <f t="shared" si="5"/>
        <v>0</v>
      </c>
      <c r="H28" s="170">
        <f>H26*H27</f>
        <v>0</v>
      </c>
      <c r="I28" s="81"/>
      <c r="J28" s="69"/>
      <c r="K28" s="69"/>
      <c r="L28" s="81"/>
      <c r="M28" s="81"/>
      <c r="N28" s="81"/>
      <c r="O28" s="81"/>
    </row>
    <row r="29" spans="3:15" ht="11.25" customHeight="1">
      <c r="C29" s="80"/>
      <c r="D29" s="82"/>
      <c r="E29" s="82"/>
      <c r="F29" s="82"/>
      <c r="G29" s="82"/>
      <c r="H29" s="82"/>
      <c r="I29" s="81"/>
      <c r="J29" s="69"/>
      <c r="K29" s="69"/>
      <c r="L29" s="81"/>
      <c r="M29" s="81"/>
      <c r="N29" s="81"/>
      <c r="O29" s="81"/>
    </row>
    <row r="30" spans="3:15" ht="11.25" customHeight="1">
      <c r="C30" s="91" t="s">
        <v>22</v>
      </c>
      <c r="D30" s="101"/>
      <c r="E30" s="80"/>
      <c r="F30" s="80"/>
      <c r="G30" s="80"/>
      <c r="H30" s="80"/>
      <c r="I30" s="81"/>
      <c r="J30" s="69"/>
      <c r="K30" s="69"/>
      <c r="L30" s="81"/>
      <c r="M30" s="81"/>
      <c r="N30" s="81"/>
      <c r="O30" s="81"/>
    </row>
    <row r="31" spans="3:15" ht="11.25" customHeight="1">
      <c r="C31" s="93" t="s">
        <v>23</v>
      </c>
      <c r="D31" s="165">
        <f>SUM(D20:H20)-SUM(D28:H28)</f>
        <v>0.2976464081824588</v>
      </c>
      <c r="E31" s="80"/>
      <c r="F31" s="80"/>
      <c r="G31" s="80"/>
      <c r="H31" s="80"/>
      <c r="I31" s="81"/>
      <c r="J31" s="69"/>
      <c r="K31" s="69"/>
      <c r="L31" s="81"/>
      <c r="M31" s="81"/>
      <c r="N31" s="81"/>
      <c r="O31" s="81"/>
    </row>
    <row r="32" spans="3:15" ht="11.25" customHeight="1">
      <c r="C32" s="93" t="s">
        <v>24</v>
      </c>
      <c r="D32" s="85">
        <v>0.3</v>
      </c>
      <c r="E32" s="80"/>
      <c r="F32" s="80"/>
      <c r="G32" s="80"/>
      <c r="H32" s="80"/>
      <c r="I32" s="81"/>
      <c r="J32" s="69"/>
      <c r="K32" s="69"/>
      <c r="L32" s="81"/>
      <c r="M32" s="81"/>
      <c r="N32" s="81"/>
      <c r="O32" s="81"/>
    </row>
    <row r="33" spans="1:16382" ht="11.25" customHeight="1">
      <c r="C33" s="93" t="s">
        <v>25</v>
      </c>
      <c r="D33" s="165">
        <f>(1-D32)*D31</f>
        <v>0.20835248572772114</v>
      </c>
      <c r="E33" s="80"/>
      <c r="F33" s="80"/>
      <c r="G33" s="80"/>
      <c r="H33" s="80"/>
      <c r="I33" s="81"/>
      <c r="J33" s="69"/>
      <c r="K33" s="69"/>
      <c r="L33" s="81"/>
      <c r="M33" s="81"/>
      <c r="N33" s="81"/>
      <c r="O33" s="81"/>
    </row>
    <row r="34" spans="1:16382" ht="11.25" customHeight="1">
      <c r="C34" s="93" t="s">
        <v>26</v>
      </c>
      <c r="D34" s="165">
        <f>D32*D31</f>
        <v>8.9293922454737634E-2</v>
      </c>
      <c r="E34" s="80"/>
      <c r="F34" s="80"/>
      <c r="G34" s="80"/>
      <c r="H34" s="80"/>
      <c r="I34" s="81"/>
      <c r="J34" s="69"/>
      <c r="K34" s="69"/>
      <c r="L34" s="81"/>
      <c r="M34" s="81"/>
      <c r="N34" s="81"/>
      <c r="O34" s="81"/>
    </row>
    <row r="35" spans="1:16382" ht="11.25" customHeight="1">
      <c r="C35" s="93" t="s">
        <v>27</v>
      </c>
      <c r="D35" s="165">
        <f>SUM(D21:H21)</f>
        <v>2.1508978000646843</v>
      </c>
      <c r="E35" s="80"/>
      <c r="F35" s="80"/>
      <c r="G35" s="80"/>
      <c r="H35" s="80"/>
      <c r="I35" s="81"/>
      <c r="J35" s="69"/>
      <c r="K35" s="69"/>
      <c r="L35" s="81"/>
      <c r="M35" s="81"/>
      <c r="N35" s="81"/>
      <c r="O35" s="81"/>
    </row>
    <row r="36" spans="1:16382" ht="11.25" customHeight="1">
      <c r="C36" s="94" t="s">
        <v>28</v>
      </c>
      <c r="D36" s="166">
        <f>D34-D35</f>
        <v>-2.0616038776099468</v>
      </c>
      <c r="E36" s="80"/>
      <c r="F36" s="80"/>
      <c r="G36" s="80"/>
      <c r="H36" s="80"/>
      <c r="I36" s="81"/>
      <c r="J36" s="69"/>
      <c r="K36" s="69"/>
      <c r="L36" s="81"/>
      <c r="M36" s="81"/>
      <c r="N36" s="81"/>
      <c r="O36" s="81"/>
    </row>
    <row r="37" spans="1:16382" ht="11.25" customHeight="1">
      <c r="D37" s="20"/>
      <c r="J37" s="2"/>
    </row>
    <row r="38" spans="1:16382" s="8" customFormat="1" ht="12" customHeight="1">
      <c r="B38" s="23" t="s">
        <v>45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78"/>
      <c r="D40" s="148" t="str">
        <f>'Input | General'!D18</f>
        <v>2024-25</v>
      </c>
      <c r="E40" s="148" t="str">
        <f>'Input | General'!E18</f>
        <v>2025–26</v>
      </c>
      <c r="F40" s="148" t="str">
        <f>'Input | General'!F18</f>
        <v>2026–27</v>
      </c>
      <c r="G40" s="148" t="str">
        <f>'Input | General'!G18</f>
        <v>2027–28</v>
      </c>
      <c r="H40" s="148" t="str">
        <f>'Input | General'!H18</f>
        <v>2028–29</v>
      </c>
    </row>
    <row r="41" spans="1:16382" s="24" customFormat="1" ht="11.25" customHeight="1">
      <c r="C41" s="84" t="s">
        <v>98</v>
      </c>
      <c r="D41" s="163">
        <f>1/(1+'Input | Inflation and Disc Rate'!L21)</f>
        <v>0.97187854446147837</v>
      </c>
      <c r="E41" s="163">
        <f>D41/(1+'Input | Inflation and Disc Rate'!M21)</f>
        <v>0.94336576514574433</v>
      </c>
      <c r="F41" s="163">
        <f>E41/(1+'Input | Inflation and Disc Rate'!N21)</f>
        <v>0.91519259168570977</v>
      </c>
      <c r="G41" s="163">
        <f>F41/(1+'Input | Inflation and Disc Rate'!O21)</f>
        <v>0.88719250287719298</v>
      </c>
      <c r="H41" s="164">
        <f>G41/(1+'Input | Inflation and Disc Rate'!P21)</f>
        <v>0.85913737137288915</v>
      </c>
    </row>
    <row r="42" spans="1:16382" s="24" customFormat="1" ht="11.25" customHeight="1">
      <c r="C42" s="152" t="str">
        <f>CONCATENATE("CESS Payment Per Year ($", 'Output | Models'!$F$8," million)")</f>
        <v>CESS Payment Per Year ($2023–24 million)</v>
      </c>
      <c r="D42" s="160">
        <f>D36/(SUM(D41:H41))</f>
        <v>-0.45044984346298611</v>
      </c>
      <c r="E42" s="160">
        <f>D42</f>
        <v>-0.45044984346298611</v>
      </c>
      <c r="F42" s="160">
        <f t="shared" ref="F42:H42" si="6">E42</f>
        <v>-0.45044984346298611</v>
      </c>
      <c r="G42" s="160">
        <f t="shared" si="6"/>
        <v>-0.45044984346298611</v>
      </c>
      <c r="H42" s="161">
        <f t="shared" si="6"/>
        <v>-0.45044984346298611</v>
      </c>
    </row>
    <row r="43" spans="1:16382" s="69" customFormat="1" ht="11.25" customHeight="1"/>
    <row r="44" spans="1:16382" s="24" customFormat="1" ht="11.25" customHeight="1">
      <c r="C44" s="152" t="str">
        <f>CONCATENATE("Total CESS Payment ($", 'Output | Models'!$F$8," million)")</f>
        <v>Total CESS Payment ($2023–24 million)</v>
      </c>
      <c r="D44" s="162">
        <f>SUM(D42:H42)</f>
        <v>-2.2522492173149304</v>
      </c>
      <c r="E44" s="60"/>
      <c r="F44" s="60"/>
      <c r="G44" s="60"/>
      <c r="H44" s="60"/>
    </row>
    <row r="45" spans="1:16382" s="24" customFormat="1" ht="11.25" customHeight="1">
      <c r="C45" s="59"/>
      <c r="D45" s="83"/>
      <c r="E45" s="60"/>
      <c r="F45" s="60"/>
      <c r="G45" s="60"/>
      <c r="H45" s="60"/>
    </row>
    <row r="46" spans="1:16382" s="24" customFormat="1" ht="11.25" customHeight="1"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16382" ht="12" customHeight="1">
      <c r="A47" s="23"/>
      <c r="B47" s="23" t="s">
        <v>34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zoomScale="145" zoomScaleNormal="145" workbookViewId="0"/>
  </sheetViews>
  <sheetFormatPr defaultColWidth="0" defaultRowHeight="11.25" customHeight="1" zeroHeight="1"/>
  <cols>
    <col min="1" max="2" width="1.28515625" style="44" customWidth="1"/>
    <col min="3" max="3" width="36" style="44" customWidth="1"/>
    <col min="4" max="4" width="23.5703125" style="45" bestFit="1" customWidth="1"/>
    <col min="5" max="5" width="13.5703125" style="45" customWidth="1"/>
    <col min="6" max="6" width="9.140625" style="45" customWidth="1"/>
    <col min="7" max="9" width="2.85546875" style="45" customWidth="1"/>
    <col min="10" max="15" width="9.28515625" style="44" customWidth="1"/>
    <col min="16" max="17" width="3" style="44" customWidth="1"/>
    <col min="18" max="24" width="9.28515625" style="44" hidden="1" customWidth="1"/>
    <col min="25" max="48" width="0" style="44" hidden="1" customWidth="1"/>
    <col min="49" max="16384" width="0" style="44" hidden="1"/>
  </cols>
  <sheetData>
    <row r="1" spans="1:27" s="28" customFormat="1" ht="15.75">
      <c r="B1" s="3" t="str">
        <f>'Input | General'!$B$1</f>
        <v>TasNetworks (T) 2024-29 Revised Proposal - Capital expenditure sharing scheme model</v>
      </c>
      <c r="C1" s="29"/>
      <c r="D1" s="29"/>
      <c r="E1" s="29"/>
      <c r="F1" s="30"/>
      <c r="G1" s="30"/>
      <c r="H1" s="30"/>
      <c r="I1" s="30"/>
      <c r="J1" s="87"/>
      <c r="K1" s="88" t="s">
        <v>47</v>
      </c>
      <c r="L1" s="127" t="s">
        <v>48</v>
      </c>
      <c r="M1" s="132" t="s">
        <v>36</v>
      </c>
      <c r="R1" s="89"/>
      <c r="S1" s="69"/>
      <c r="T1" s="69"/>
      <c r="U1" s="69"/>
      <c r="V1" s="69"/>
      <c r="W1" s="69"/>
    </row>
    <row r="2" spans="1:27" s="31" customFormat="1" ht="13.5" thickBot="1">
      <c r="B2" s="32" t="s">
        <v>80</v>
      </c>
      <c r="C2" s="32"/>
      <c r="D2" s="32"/>
      <c r="E2" s="32"/>
      <c r="F2" s="33"/>
      <c r="G2" s="33"/>
      <c r="H2" s="33"/>
      <c r="I2" s="33"/>
    </row>
    <row r="3" spans="1:27" s="34" customFormat="1">
      <c r="D3" s="35"/>
      <c r="E3" s="35"/>
      <c r="F3" s="35"/>
      <c r="G3" s="35"/>
      <c r="H3" s="35"/>
      <c r="I3" s="35"/>
      <c r="J3" s="173"/>
      <c r="K3" s="173"/>
      <c r="L3" s="173"/>
      <c r="M3" s="35"/>
      <c r="N3" s="173"/>
      <c r="O3" s="173"/>
      <c r="P3" s="173"/>
      <c r="Q3" s="173"/>
      <c r="R3" s="173"/>
      <c r="S3" s="173"/>
      <c r="T3" s="173"/>
      <c r="U3" s="36"/>
      <c r="V3" s="36"/>
      <c r="W3" s="36"/>
      <c r="X3" s="36"/>
      <c r="Y3" s="36"/>
      <c r="Z3" s="36"/>
      <c r="AA3" s="36"/>
    </row>
    <row r="4" spans="1:27" s="43" customFormat="1" ht="12.75">
      <c r="A4" s="37"/>
      <c r="B4" s="38" t="s">
        <v>56</v>
      </c>
      <c r="C4" s="37"/>
      <c r="D4" s="37"/>
      <c r="E4" s="37"/>
      <c r="F4" s="37"/>
      <c r="G4" s="39"/>
      <c r="H4" s="39"/>
      <c r="I4" s="39"/>
      <c r="J4" s="40" t="s">
        <v>57</v>
      </c>
      <c r="K4" s="41"/>
      <c r="L4" s="42"/>
      <c r="M4" s="41"/>
      <c r="N4" s="42"/>
      <c r="O4" s="42"/>
      <c r="P4" s="42"/>
      <c r="Q4" s="42"/>
      <c r="R4" s="42"/>
      <c r="S4" s="42"/>
      <c r="T4" s="42"/>
      <c r="U4" s="42"/>
      <c r="V4" s="42"/>
      <c r="W4" s="41"/>
      <c r="X4" s="41"/>
    </row>
    <row r="5" spans="1:27" ht="11.25" customHeight="1">
      <c r="M5" s="46"/>
      <c r="N5" s="46"/>
      <c r="O5" s="46"/>
      <c r="P5" s="46"/>
      <c r="Q5" s="69"/>
      <c r="R5" s="69"/>
      <c r="S5" s="69"/>
      <c r="T5" s="69"/>
      <c r="U5" s="69"/>
      <c r="V5" s="69"/>
      <c r="W5" s="69"/>
      <c r="X5" s="69"/>
    </row>
    <row r="6" spans="1:27" ht="11.25" customHeight="1">
      <c r="C6" s="47" t="s">
        <v>59</v>
      </c>
      <c r="D6" s="48" t="s">
        <v>6</v>
      </c>
      <c r="E6" s="48" t="s">
        <v>52</v>
      </c>
      <c r="F6" s="48" t="s">
        <v>4</v>
      </c>
      <c r="H6" s="48"/>
      <c r="I6" s="48"/>
      <c r="J6" s="149" t="str">
        <f>'Calc | CESS Revenue Increments'!D40</f>
        <v>2024-25</v>
      </c>
      <c r="K6" s="149" t="str">
        <f>'Calc | CESS Revenue Increments'!E40</f>
        <v>2025–26</v>
      </c>
      <c r="L6" s="149" t="str">
        <f>'Calc | CESS Revenue Increments'!F40</f>
        <v>2026–27</v>
      </c>
      <c r="M6" s="149" t="str">
        <f>'Calc | CESS Revenue Increments'!G40</f>
        <v>2027–28</v>
      </c>
      <c r="N6" s="149" t="str">
        <f>'Calc | CESS Revenue Increments'!H40</f>
        <v>2028–29</v>
      </c>
      <c r="O6" s="49" t="s">
        <v>87</v>
      </c>
      <c r="P6" s="110"/>
      <c r="Q6" s="69"/>
      <c r="R6" s="69"/>
      <c r="S6" s="69"/>
      <c r="T6" s="69"/>
      <c r="U6" s="69"/>
      <c r="V6" s="69"/>
      <c r="W6" s="69"/>
      <c r="X6" s="69"/>
    </row>
    <row r="7" spans="1:27" ht="11.25" customHeight="1">
      <c r="C7" s="47"/>
      <c r="D7" s="48"/>
      <c r="E7" s="48"/>
      <c r="F7" s="48"/>
      <c r="H7" s="48"/>
      <c r="I7" s="48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7" ht="11.25" customHeight="1">
      <c r="C8" s="50" t="s">
        <v>83</v>
      </c>
      <c r="D8" s="151" t="s">
        <v>58</v>
      </c>
      <c r="E8" s="45" t="s">
        <v>50</v>
      </c>
      <c r="F8" s="150" t="str">
        <f>IF(LEN(J6)&gt;4,CONCATENATE(LEFT(J6,4)-1&amp;"–"&amp;IF(RIGHT(J6,2)="00","99",IF(RIGHT(J6,2)-1&lt;10,"0","")&amp;RIGHT(J6,2)-1)),J6-1)</f>
        <v>2023–24</v>
      </c>
      <c r="H8" s="48"/>
      <c r="I8" s="48"/>
      <c r="J8" s="159">
        <f>'Calc | CESS Revenue Increments'!D42</f>
        <v>-0.45044984346298611</v>
      </c>
      <c r="K8" s="159">
        <f>'Calc | CESS Revenue Increments'!E42</f>
        <v>-0.45044984346298611</v>
      </c>
      <c r="L8" s="159">
        <f>'Calc | CESS Revenue Increments'!F42</f>
        <v>-0.45044984346298611</v>
      </c>
      <c r="M8" s="159">
        <f>'Calc | CESS Revenue Increments'!G42</f>
        <v>-0.45044984346298611</v>
      </c>
      <c r="N8" s="159">
        <f>'Calc | CESS Revenue Increments'!H42</f>
        <v>-0.45044984346298611</v>
      </c>
      <c r="O8" s="171">
        <f>SUM(J8:N8)</f>
        <v>-2.2522492173149304</v>
      </c>
      <c r="P8" s="111"/>
      <c r="Q8" s="69"/>
      <c r="R8" s="69"/>
      <c r="S8" s="69"/>
      <c r="T8" s="69"/>
      <c r="U8" s="69"/>
      <c r="V8" s="69"/>
      <c r="W8" s="69"/>
      <c r="X8" s="69"/>
    </row>
    <row r="9" spans="1:27" ht="11.25" customHeight="1">
      <c r="C9" s="50"/>
      <c r="D9" s="51"/>
      <c r="H9" s="48"/>
      <c r="I9" s="48"/>
      <c r="Q9" s="69"/>
      <c r="R9" s="69"/>
      <c r="S9" s="69"/>
      <c r="T9" s="69"/>
      <c r="U9" s="69"/>
      <c r="V9" s="69"/>
      <c r="W9" s="69"/>
      <c r="X9" s="69"/>
    </row>
    <row r="10" spans="1:27" ht="11.25" customHeight="1">
      <c r="D10" s="51"/>
      <c r="H10" s="48"/>
      <c r="I10" s="48"/>
      <c r="J10" s="109"/>
      <c r="K10" s="109"/>
      <c r="L10" s="109"/>
      <c r="M10" s="109"/>
      <c r="N10" s="109"/>
      <c r="Q10" s="69"/>
      <c r="R10" s="69"/>
      <c r="S10" s="69"/>
      <c r="T10" s="69"/>
      <c r="U10" s="69"/>
      <c r="V10" s="69"/>
      <c r="W10" s="69"/>
      <c r="X10" s="69"/>
    </row>
    <row r="11" spans="1:27" s="43" customFormat="1" ht="12.75">
      <c r="A11" s="37"/>
      <c r="B11" s="38" t="s">
        <v>34</v>
      </c>
      <c r="C11" s="37"/>
      <c r="D11" s="37"/>
      <c r="E11" s="37"/>
      <c r="F11" s="39"/>
      <c r="G11" s="39"/>
      <c r="H11" s="39"/>
      <c r="I11" s="39"/>
      <c r="J11" s="42"/>
      <c r="K11" s="41"/>
      <c r="L11" s="42"/>
      <c r="M11" s="41"/>
      <c r="N11" s="42"/>
      <c r="O11" s="42"/>
      <c r="P11" s="42"/>
      <c r="Q11" s="42"/>
      <c r="R11" s="42"/>
      <c r="S11" s="42"/>
      <c r="T11" s="42"/>
      <c r="U11" s="42"/>
      <c r="V11" s="42"/>
      <c r="W11" s="41"/>
      <c r="X11" s="41"/>
    </row>
    <row r="17" spans="13:20" hidden="1">
      <c r="M17" s="52"/>
      <c r="N17" s="52"/>
      <c r="O17" s="52"/>
      <c r="P17" s="52"/>
      <c r="Q17" s="52"/>
      <c r="R17" s="52"/>
      <c r="S17" s="52"/>
      <c r="T17" s="52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et 19 Document" ma:contentTypeID="0x01010001E02CCC3410964E993CCD35D068A93E020400B33A8282AA128C46B9519161BB0CE2EF" ma:contentTypeVersion="1" ma:contentTypeDescription="" ma:contentTypeScope="" ma:versionID="1e40297206b0edaf3a2c5e6449a09884">
  <xsd:schema xmlns:xsd="http://www.w3.org/2001/XMLSchema" xmlns:xs="http://www.w3.org/2001/XMLSchema" xmlns:p="http://schemas.microsoft.com/office/2006/metadata/properties" xmlns:ns2="8f493e50-f4fa-4672-bec5-6587e791f720" xmlns:ns3="http://schemas.microsoft.com/sharepoint/v4" targetNamespace="http://schemas.microsoft.com/office/2006/metadata/properties" ma:root="true" ma:fieldsID="8a12f07564f1142908ff6534816f5c77" ns2:_="" ns3:_="">
    <xsd:import namespace="8f493e50-f4fa-4672-bec5-6587e791f72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m5487619c60d4cdf829961d62f0a4c8b" minOccurs="0"/>
                <xsd:element ref="ns2:TaxCatchAll" minOccurs="0"/>
                <xsd:element ref="ns2:TaxCatchAllLabel" minOccurs="0"/>
                <xsd:element ref="ns2:de1a554c53354888900e11ba3ff10e9e" minOccurs="0"/>
                <xsd:element ref="ns2:d515513357cb4f278bf18cadf524fc2b" minOccurs="0"/>
                <xsd:element ref="ns2:Confidential1" minOccurs="0"/>
                <xsd:element ref="ns2:Business_x0020_Groups" minOccurs="0"/>
                <xsd:element ref="ns3:IconOverlay" minOccurs="0"/>
                <xsd:element ref="ns2:Attachment_x0020_Category" minOccurs="0"/>
                <xsd:element ref="ns2:Attachment_x0020_ID" minOccurs="0"/>
                <xsd:element ref="ns2:Document_x0020_Category" minOccurs="0"/>
                <xsd:element ref="ns2:Published_x0020_Externall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493e50-f4fa-4672-bec5-6587e791f720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2" nillable="true" ma:displayName="Record Number" ma:internalName="Record_x0020_Number">
      <xsd:simpleType>
        <xsd:restriction base="dms:Text">
          <xsd:maxLength value="255"/>
        </xsd:restriction>
      </xsd:simpleType>
    </xsd:element>
    <xsd:element name="m5487619c60d4cdf829961d62f0a4c8b" ma:index="9" nillable="true" ma:taxonomy="true" ma:internalName="m5487619c60d4cdf829961d62f0a4c8b" ma:taxonomyFieldName="Determination_x0020_Activity" ma:displayName="Determination Activity" ma:default="16;#Revenue Proposal|f3980111-814c-44b7-9aa4-fe076fe6d80d" ma:fieldId="{65487619-c60d-4cdf-8299-61d62f0a4c8b}" ma:sspId="ad4ba584-9f2e-4c1f-a403-05b05b3bfc09" ma:termSetId="ef65c028-b485-4826-ace0-e6ca04857ea0" ma:anchorId="8c5389de-5c03-4935-a18a-40ceada24933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3910154b-12ea-4dcd-bebd-7986f904c7cd}" ma:internalName="TaxCatchAll" ma:showField="CatchAllData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3910154b-12ea-4dcd-bebd-7986f904c7cd}" ma:internalName="TaxCatchAllLabel" ma:readOnly="true" ma:showField="CatchAllDataLabel" ma:web="8f493e50-f4fa-4672-bec5-6587e791f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1a554c53354888900e11ba3ff10e9e" ma:index="13" nillable="true" ma:taxonomy="true" ma:internalName="de1a554c53354888900e11ba3ff10e9e" ma:taxonomyFieldName="Determination_x0020_Category" ma:displayName="Determination Category" ma:default="55;#Supporting Documentation|54f61c4a-23b8-4acc-b5f4-9c145a97108c" ma:fieldId="{de1a554c-5335-4888-900e-11ba3ff10e9e}" ma:sspId="ad4ba584-9f2e-4c1f-a403-05b05b3bfc09" ma:termSetId="ef65c028-b485-4826-ace0-e6ca04857ea0" ma:anchorId="ef143162-b2b2-4c33-83f2-f70325f64e16" ma:open="false" ma:isKeyword="false">
      <xsd:complexType>
        <xsd:sequence>
          <xsd:element ref="pc:Terms" minOccurs="0" maxOccurs="1"/>
        </xsd:sequence>
      </xsd:complexType>
    </xsd:element>
    <xsd:element name="d515513357cb4f278bf18cadf524fc2b" ma:index="15" nillable="true" ma:taxonomy="true" ma:internalName="d515513357cb4f278bf18cadf524fc2b" ma:taxonomyFieldName="Network" ma:displayName="Network" ma:default="" ma:fieldId="{d5155133-57cb-4f27-8bf1-8cadf524fc2b}" ma:sspId="ad4ba584-9f2e-4c1f-a403-05b05b3bfc09" ma:termSetId="ef65c028-b485-4826-ace0-e6ca04857ea0" ma:anchorId="2d6cdb2a-e191-4ee3-a7c5-b46afdb155e4" ma:open="false" ma:isKeyword="false">
      <xsd:complexType>
        <xsd:sequence>
          <xsd:element ref="pc:Terms" minOccurs="0" maxOccurs="1"/>
        </xsd:sequence>
      </xsd:complexType>
    </xsd:element>
    <xsd:element name="Confidential1" ma:index="17" nillable="true" ma:displayName="Confidential" ma:default="No" ma:format="RadioButtons" ma:internalName="Confidential1">
      <xsd:simpleType>
        <xsd:restriction base="dms:Choice">
          <xsd:enumeration value="Yes"/>
          <xsd:enumeration value="No"/>
        </xsd:restriction>
      </xsd:simpleType>
    </xsd:element>
    <xsd:element name="Business_x0020_Groups" ma:index="18" nillable="true" ma:displayName="Business Groups" ma:default="F&amp;R - Finance &amp; Regulation" ma:format="Dropdown" ma:internalName="Business_x0020_Groups">
      <xsd:simpleType>
        <xsd:restriction base="dms:Choice">
          <xsd:enumeration value="F&amp;R - Finance &amp; Regulation"/>
          <xsd:enumeration value="OPS - Operations"/>
          <xsd:enumeration value="DSC - Digital, Strategy &amp; Customer"/>
          <xsd:enumeration value="GOV - Governance"/>
          <xsd:enumeration value="P&amp;T - People &amp; Transformation"/>
        </xsd:restriction>
      </xsd:simpleType>
    </xsd:element>
    <xsd:element name="Attachment_x0020_Category" ma:index="20" nillable="true" ma:displayName="Attachment Category" ma:default="Not Applicable" ma:format="Dropdown" ma:internalName="Attachment_x0020_Category">
      <xsd:simpleType>
        <xsd:restriction base="dms:Choice">
          <xsd:enumeration value="Primary Attachment"/>
          <xsd:enumeration value="Secondary Attachment"/>
          <xsd:enumeration value="Not Applicable"/>
        </xsd:restriction>
      </xsd:simpleType>
    </xsd:element>
    <xsd:element name="Attachment_x0020_ID" ma:index="21" nillable="true" ma:displayName="Attachment ID" ma:description="E.g. TN123, TN123T%, TN123P, TN123T" ma:internalName="Attachment_x0020_ID">
      <xsd:simpleType>
        <xsd:restriction base="dms:Text">
          <xsd:maxLength value="255"/>
        </xsd:restriction>
      </xsd:simpleType>
    </xsd:element>
    <xsd:element name="Document_x0020_Category" ma:index="22" nillable="true" ma:displayName="Document Category" ma:format="Dropdown" ma:internalName="Document_x0020_Category">
      <xsd:simpleType>
        <xsd:restriction base="dms:Choice">
          <xsd:enumeration value="Overview"/>
          <xsd:enumeration value="Fact Sheet"/>
          <xsd:enumeration value="Submission"/>
          <xsd:enumeration value="Supporting Information"/>
          <xsd:enumeration value="Correspondence"/>
          <xsd:enumeration value="Presentation"/>
          <xsd:enumeration value="Strategy"/>
        </xsd:restriction>
      </xsd:simpleType>
    </xsd:element>
    <xsd:element name="Published_x0020_Externally" ma:index="23" nillable="true" ma:displayName="Published Externally" ma:default="No" ma:format="RadioButtons" ma:internalName="Published_x0020_Externally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5487619c60d4cdf829961d62f0a4c8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Revenue Proposal</TermName>
          <TermId xmlns="http://schemas.microsoft.com/office/infopath/2007/PartnerControls">f3980111-814c-44b7-9aa4-fe076fe6d80d</TermId>
        </TermInfo>
      </Terms>
    </m5487619c60d4cdf829961d62f0a4c8b>
    <de1a554c53354888900e11ba3ff10e9e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Supporting Documentation</TermName>
          <TermId xmlns="http://schemas.microsoft.com/office/infopath/2007/PartnerControls">54f61c4a-23b8-4acc-b5f4-9c145a97108c</TermId>
        </TermInfo>
      </Terms>
    </de1a554c53354888900e11ba3ff10e9e>
    <TaxCatchAll xmlns="8f493e50-f4fa-4672-bec5-6587e791f720">
      <Value>55</Value>
      <Value>65</Value>
      <Value>16</Value>
    </TaxCatchAll>
    <IconOverlay xmlns="http://schemas.microsoft.com/sharepoint/v4" xsi:nil="true"/>
    <Record_x0020_Number xmlns="8f493e50-f4fa-4672-bec5-6587e791f720">R0002550755</Record_x0020_Number>
    <d515513357cb4f278bf18cadf524fc2b xmlns="8f493e50-f4fa-4672-bec5-6587e791f720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Transmission</TermName>
          <TermId xmlns="http://schemas.microsoft.com/office/infopath/2007/PartnerControls">057fc33d-fae5-41b9-87e5-dc1e3aa504ba</TermId>
        </TermInfo>
      </Terms>
    </d515513357cb4f278bf18cadf524fc2b>
    <Business_x0020_Groups xmlns="8f493e50-f4fa-4672-bec5-6587e791f720">F&amp;R - Finance &amp; Regulation</Business_x0020_Groups>
    <Published_x0020_Externally xmlns="8f493e50-f4fa-4672-bec5-6587e791f720">No</Published_x0020_Externally>
    <Document_x0020_Category xmlns="8f493e50-f4fa-4672-bec5-6587e791f720" xsi:nil="true"/>
    <Attachment_x0020_Category xmlns="8f493e50-f4fa-4672-bec5-6587e791f720">Not Applicable</Attachment_x0020_Category>
    <Confidential1 xmlns="8f493e50-f4fa-4672-bec5-6587e791f720">No</Confidential1>
    <Attachment_x0020_ID xmlns="8f493e50-f4fa-4672-bec5-6587e791f7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Props1.xml><?xml version="1.0" encoding="utf-8"?>
<ds:datastoreItem xmlns:ds="http://schemas.openxmlformats.org/officeDocument/2006/customXml" ds:itemID="{E6257D72-B48E-4D67-ADC4-2C6375CB0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493e50-f4fa-4672-bec5-6587e791f720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4F8E04-C638-4F6D-A8E7-D71B1897B206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sharepoint/v4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8f493e50-f4fa-4672-bec5-6587e791f72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192F24B-470D-48AA-B5E7-31690CF756D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FD421B-5164-49F6-A38F-B6A5D1BBC3D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FINAL RIN</dc:subject>
  <dc:creator>Sam Riewoldt</dc:creator>
  <cp:keywords>TNSP; 2025-29; Tas; CESS</cp:keywords>
  <dc:description>4. CESS</dc:description>
  <cp:lastModifiedBy>Kim Frankcombe</cp:lastModifiedBy>
  <dcterms:created xsi:type="dcterms:W3CDTF">2017-09-22T02:00:05Z</dcterms:created>
  <dcterms:modified xsi:type="dcterms:W3CDTF">2023-11-06T22:47:51Z</dcterms:modified>
  <cp:category>TNSP;2025-29;Tas;CESS</cp:category>
  <cp:contentStatus>FINAL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Determination Category">
    <vt:lpwstr>55;#Supporting Documentation|54f61c4a-23b8-4acc-b5f4-9c145a97108c</vt:lpwstr>
  </property>
  <property fmtid="{D5CDD505-2E9C-101B-9397-08002B2CF9AE}" pid="4" name="Determination Activity">
    <vt:lpwstr>16;#Revenue Proposal|f3980111-814c-44b7-9aa4-fe076fe6d80d</vt:lpwstr>
  </property>
  <property fmtid="{D5CDD505-2E9C-101B-9397-08002B2CF9AE}" pid="5" name="ContentTypeId">
    <vt:lpwstr>0x01010001E02CCC3410964E993CCD35D068A93E020400B33A8282AA128C46B9519161BB0CE2EF</vt:lpwstr>
  </property>
  <property fmtid="{D5CDD505-2E9C-101B-9397-08002B2CF9AE}" pid="6" name="RecordPoint_WorkflowType">
    <vt:lpwstr>ActiveSubmitStub</vt:lpwstr>
  </property>
  <property fmtid="{D5CDD505-2E9C-101B-9397-08002B2CF9AE}" pid="7" name="RecordPoint_ActiveItemSiteId">
    <vt:lpwstr>{813152b7-69c2-464f-b7a1-05afac6a8a9a}</vt:lpwstr>
  </property>
  <property fmtid="{D5CDD505-2E9C-101B-9397-08002B2CF9AE}" pid="8" name="RecordPoint_ActiveItemListId">
    <vt:lpwstr>{4f21547d-fdf7-4dcf-89e7-31956e76b9a8}</vt:lpwstr>
  </property>
  <property fmtid="{D5CDD505-2E9C-101B-9397-08002B2CF9AE}" pid="9" name="RecordPoint_ActiveItemUniqueId">
    <vt:lpwstr>{ca16dc46-469a-4161-96e9-321026e4348d}</vt:lpwstr>
  </property>
  <property fmtid="{D5CDD505-2E9C-101B-9397-08002B2CF9AE}" pid="10" name="RecordPoint_ActiveItemWebId">
    <vt:lpwstr>{0e6c1e0d-ce9b-4acb-bd7f-e21f20d4c138}</vt:lpwstr>
  </property>
  <property fmtid="{D5CDD505-2E9C-101B-9397-08002B2CF9AE}" pid="11" name="RecordPoint_RecordNumberSubmitted">
    <vt:lpwstr>R0002550755</vt:lpwstr>
  </property>
  <property fmtid="{D5CDD505-2E9C-101B-9397-08002B2CF9AE}" pid="12" name="RecordPoint_SubmissionCompleted">
    <vt:lpwstr>2023-10-13T11:20:15.3969951+11:00</vt:lpwstr>
  </property>
  <property fmtid="{D5CDD505-2E9C-101B-9397-08002B2CF9AE}" pid="13" name="Network">
    <vt:lpwstr>65;#Transmission|057fc33d-fae5-41b9-87e5-dc1e3aa504ba</vt:lpwstr>
  </property>
  <property fmtid="{D5CDD505-2E9C-101B-9397-08002B2CF9AE}" pid="14" name="RecordPoint_SubmissionDate">
    <vt:lpwstr/>
  </property>
  <property fmtid="{D5CDD505-2E9C-101B-9397-08002B2CF9AE}" pid="15" name="RecordPoint_ActiveItemMoved">
    <vt:lpwstr/>
  </property>
  <property fmtid="{D5CDD505-2E9C-101B-9397-08002B2CF9AE}" pid="16" name="RecordPoint_RecordFormat">
    <vt:lpwstr/>
  </property>
</Properties>
</file>